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0370" windowHeight="12435" tabRatio="837" firstSheet="31" activeTab="36"/>
  </bookViews>
  <sheets>
    <sheet name="dolnośląskie" sheetId="1" r:id="rId1"/>
    <sheet name="kujawsko-pomorskie" sheetId="4" r:id="rId2"/>
    <sheet name="lubelskie" sheetId="5" r:id="rId3"/>
    <sheet name="lubuskie" sheetId="6" r:id="rId4"/>
    <sheet name="łódzkie" sheetId="7" r:id="rId5"/>
    <sheet name="małopolskie" sheetId="8" r:id="rId6"/>
    <sheet name="mazowieckie" sheetId="9" r:id="rId7"/>
    <sheet name="opolskie" sheetId="10" r:id="rId8"/>
    <sheet name="podkarpackie" sheetId="11" r:id="rId9"/>
    <sheet name="podlaskie" sheetId="12" r:id="rId10"/>
    <sheet name="pomorskie" sheetId="13" r:id="rId11"/>
    <sheet name="ślaskie" sheetId="14" r:id="rId12"/>
    <sheet name="świętokrzyskie" sheetId="15" r:id="rId13"/>
    <sheet name="warmińsko-mazurskie" sheetId="16" r:id="rId14"/>
    <sheet name="wielkopolskie" sheetId="17" r:id="rId15"/>
    <sheet name="zachodniopomorskie" sheetId="18" r:id="rId16"/>
    <sheet name="Agencja Rynku Rolnego" sheetId="19" r:id="rId17"/>
    <sheet name="ARiMR" sheetId="20" r:id="rId18"/>
    <sheet name="MRiRW" sheetId="21" r:id="rId19"/>
    <sheet name="Centrum Doradztwa Rolniczego" sheetId="22" r:id="rId20"/>
    <sheet name="ODR woj. dolnośląskie" sheetId="23" r:id="rId21"/>
    <sheet name="ODR woj. kujawsko-pomorskie" sheetId="24" r:id="rId22"/>
    <sheet name="ODR woj. lubelskie" sheetId="25" r:id="rId23"/>
    <sheet name="ODR woj. lubuskie" sheetId="26" r:id="rId24"/>
    <sheet name="ODR woj. łódzkie" sheetId="27" r:id="rId25"/>
    <sheet name="ODR woj. małopolskie" sheetId="28" r:id="rId26"/>
    <sheet name="ODR woj. mazowieckie" sheetId="29" r:id="rId27"/>
    <sheet name="ODR woj. opolskie" sheetId="30" r:id="rId28"/>
    <sheet name="ODR woj. podkarpackie" sheetId="31" r:id="rId29"/>
    <sheet name="ODR woj. podlaskie" sheetId="32" r:id="rId30"/>
    <sheet name="ODR woj. pomorskie" sheetId="33" r:id="rId31"/>
    <sheet name="ODR woj. ślaskie" sheetId="34" r:id="rId32"/>
    <sheet name="ODR woj. świętokrzyskie" sheetId="35" r:id="rId33"/>
    <sheet name="ODR woj. warmińsko-mazurskie" sheetId="36" r:id="rId34"/>
    <sheet name="ODR woj. wielkopolskie" sheetId="37" r:id="rId35"/>
    <sheet name="ODR woj. zachodniopomorskie" sheetId="38" r:id="rId36"/>
    <sheet name="Podsumowanie" sheetId="2" r:id="rId37"/>
  </sheets>
  <calcPr calcId="145621"/>
</workbook>
</file>

<file path=xl/calcChain.xml><?xml version="1.0" encoding="utf-8"?>
<calcChain xmlns="http://schemas.openxmlformats.org/spreadsheetml/2006/main">
  <c r="F213" i="32" l="1"/>
  <c r="M185" i="5" l="1"/>
  <c r="G192" i="21"/>
  <c r="G193" i="21"/>
  <c r="G194" i="21"/>
  <c r="G195" i="21"/>
  <c r="G196" i="21"/>
  <c r="I147" i="21"/>
  <c r="I148" i="21"/>
  <c r="I149" i="21"/>
  <c r="I150" i="21"/>
  <c r="I151" i="21"/>
  <c r="I146" i="21"/>
  <c r="G137" i="21" l="1"/>
  <c r="G134" i="21"/>
  <c r="G135" i="21"/>
  <c r="G136" i="21"/>
  <c r="G133" i="21"/>
  <c r="G132" i="21"/>
  <c r="D209" i="14"/>
  <c r="E209" i="14"/>
  <c r="F209" i="14"/>
  <c r="G209" i="14"/>
  <c r="H209" i="14"/>
  <c r="I209" i="14"/>
  <c r="J209" i="14"/>
  <c r="K209" i="14"/>
  <c r="L209" i="14"/>
  <c r="D219" i="14"/>
  <c r="E219" i="14"/>
  <c r="F219" i="14"/>
  <c r="D92" i="14" l="1"/>
  <c r="K92" i="14"/>
  <c r="E213" i="32" l="1"/>
  <c r="E219" i="32"/>
  <c r="E213" i="38"/>
  <c r="F213" i="29"/>
  <c r="E213" i="29"/>
  <c r="H79" i="26"/>
  <c r="E219" i="26"/>
  <c r="F219" i="26"/>
  <c r="F213" i="26"/>
  <c r="E213" i="26"/>
  <c r="I219" i="27"/>
  <c r="H219" i="27"/>
  <c r="G219" i="27"/>
  <c r="F219" i="27"/>
  <c r="E219" i="27"/>
  <c r="D219" i="27"/>
  <c r="F213" i="27"/>
  <c r="E213" i="27"/>
  <c r="L209" i="27"/>
  <c r="K209" i="27"/>
  <c r="J209" i="27"/>
  <c r="I209" i="27"/>
  <c r="H209" i="27"/>
  <c r="G209" i="27"/>
  <c r="F209" i="27"/>
  <c r="E209" i="27"/>
  <c r="D209" i="27"/>
  <c r="L196" i="27"/>
  <c r="K196" i="27"/>
  <c r="J196" i="27"/>
  <c r="I196" i="27"/>
  <c r="H196" i="27"/>
  <c r="F196" i="27"/>
  <c r="E196" i="27"/>
  <c r="D196" i="27"/>
  <c r="G195" i="27"/>
  <c r="G194" i="27"/>
  <c r="G193" i="27"/>
  <c r="G192" i="27"/>
  <c r="G191" i="27"/>
  <c r="G190" i="27"/>
  <c r="G189" i="27"/>
  <c r="G196" i="27" s="1"/>
  <c r="O185" i="27"/>
  <c r="N185" i="27"/>
  <c r="M185" i="27"/>
  <c r="L185" i="27"/>
  <c r="K185" i="27"/>
  <c r="J185" i="27"/>
  <c r="I185" i="27"/>
  <c r="H185" i="27"/>
  <c r="F185" i="27"/>
  <c r="E185" i="27"/>
  <c r="D185" i="27"/>
  <c r="G184" i="27"/>
  <c r="G183" i="27"/>
  <c r="G182" i="27"/>
  <c r="G181" i="27"/>
  <c r="G180" i="27"/>
  <c r="G185" i="27" s="1"/>
  <c r="G179" i="27"/>
  <c r="G178" i="27"/>
  <c r="I172" i="27"/>
  <c r="H172" i="27"/>
  <c r="G172" i="27"/>
  <c r="F172" i="27"/>
  <c r="E172" i="27"/>
  <c r="D172" i="27"/>
  <c r="K171" i="27"/>
  <c r="J171" i="27"/>
  <c r="K170" i="27"/>
  <c r="J170" i="27"/>
  <c r="K169" i="27"/>
  <c r="J169" i="27"/>
  <c r="K168" i="27"/>
  <c r="J168" i="27"/>
  <c r="K167" i="27"/>
  <c r="J167" i="27"/>
  <c r="K166" i="27"/>
  <c r="J166" i="27"/>
  <c r="K165" i="27"/>
  <c r="K172" i="27" s="1"/>
  <c r="J165" i="27"/>
  <c r="J172" i="27" s="1"/>
  <c r="J162" i="27"/>
  <c r="I162" i="27"/>
  <c r="H162" i="27"/>
  <c r="F162" i="27"/>
  <c r="E162" i="27"/>
  <c r="D162" i="27"/>
  <c r="G161" i="27"/>
  <c r="G160" i="27"/>
  <c r="G159" i="27"/>
  <c r="G158" i="27"/>
  <c r="G157" i="27"/>
  <c r="G156" i="27"/>
  <c r="G155" i="27"/>
  <c r="G162" i="27" s="1"/>
  <c r="N151" i="27"/>
  <c r="M151" i="27"/>
  <c r="L151" i="27"/>
  <c r="K151" i="27"/>
  <c r="J151" i="27"/>
  <c r="H151" i="27"/>
  <c r="G151" i="27"/>
  <c r="F151" i="27"/>
  <c r="E151" i="27"/>
  <c r="D151" i="27"/>
  <c r="I150" i="27"/>
  <c r="I149" i="27"/>
  <c r="I148" i="27"/>
  <c r="I147" i="27"/>
  <c r="I146" i="27"/>
  <c r="I145" i="27"/>
  <c r="I144" i="27"/>
  <c r="I151" i="27" s="1"/>
  <c r="F137" i="27"/>
  <c r="E137" i="27"/>
  <c r="D137" i="27"/>
  <c r="G136" i="27"/>
  <c r="G135" i="27"/>
  <c r="G134" i="27"/>
  <c r="G133" i="27"/>
  <c r="G132" i="27"/>
  <c r="G131" i="27"/>
  <c r="G137" i="27" s="1"/>
  <c r="L127" i="27"/>
  <c r="K127" i="27"/>
  <c r="I127" i="27"/>
  <c r="H127" i="27"/>
  <c r="G127" i="27"/>
  <c r="F127" i="27"/>
  <c r="E127" i="27"/>
  <c r="D127" i="27"/>
  <c r="L116" i="27"/>
  <c r="K116" i="27"/>
  <c r="I116" i="27"/>
  <c r="H116" i="27"/>
  <c r="G116" i="27"/>
  <c r="F116" i="27"/>
  <c r="E116" i="27"/>
  <c r="D116" i="27"/>
  <c r="M105" i="27"/>
  <c r="L105" i="27"/>
  <c r="K105" i="27"/>
  <c r="J105" i="27"/>
  <c r="I105" i="27"/>
  <c r="H105" i="27"/>
  <c r="G105" i="27"/>
  <c r="F105" i="27"/>
  <c r="E105" i="27"/>
  <c r="D105" i="27"/>
  <c r="K92" i="27"/>
  <c r="J92" i="27"/>
  <c r="I92" i="27"/>
  <c r="H92" i="27"/>
  <c r="G92" i="27"/>
  <c r="F92" i="27"/>
  <c r="E92" i="27"/>
  <c r="D92" i="27"/>
  <c r="O79" i="27"/>
  <c r="N79" i="27"/>
  <c r="M79" i="27"/>
  <c r="L79" i="27"/>
  <c r="K79" i="27"/>
  <c r="J79" i="27"/>
  <c r="I79" i="27"/>
  <c r="F79" i="27"/>
  <c r="E79" i="27"/>
  <c r="D79" i="27"/>
  <c r="G78" i="27"/>
  <c r="G77" i="27"/>
  <c r="G76" i="27"/>
  <c r="G75" i="27"/>
  <c r="G74" i="27"/>
  <c r="G73" i="27"/>
  <c r="G72" i="27"/>
  <c r="G79" i="27" s="1"/>
  <c r="L69" i="27"/>
  <c r="K69" i="27"/>
  <c r="I69" i="27"/>
  <c r="H69" i="27"/>
  <c r="G69" i="27"/>
  <c r="F69" i="27"/>
  <c r="E69" i="27"/>
  <c r="D69" i="27"/>
  <c r="K58" i="27"/>
  <c r="J58" i="27"/>
  <c r="I58" i="27"/>
  <c r="H58" i="27"/>
  <c r="G58" i="27"/>
  <c r="F58" i="27"/>
  <c r="E58" i="27"/>
  <c r="D58" i="27"/>
  <c r="E47" i="27"/>
  <c r="D47" i="27"/>
  <c r="F35" i="27"/>
  <c r="E35" i="27"/>
  <c r="G35" i="27" s="1"/>
  <c r="D35" i="27"/>
  <c r="G34" i="27"/>
  <c r="G33" i="27"/>
  <c r="G32" i="27"/>
  <c r="G31" i="27"/>
  <c r="G30" i="27"/>
  <c r="G29" i="27"/>
  <c r="G28" i="27"/>
  <c r="O24" i="27"/>
  <c r="N24" i="27"/>
  <c r="M24" i="27"/>
  <c r="L24" i="27"/>
  <c r="K24" i="27"/>
  <c r="J24" i="27"/>
  <c r="I24" i="27"/>
  <c r="H24" i="27"/>
  <c r="F24" i="27"/>
  <c r="E24" i="27"/>
  <c r="D24" i="27"/>
  <c r="G24" i="27" s="1"/>
  <c r="G23" i="27"/>
  <c r="G22" i="27"/>
  <c r="G21" i="27"/>
  <c r="G20" i="27"/>
  <c r="G19" i="27"/>
  <c r="G18" i="27"/>
  <c r="G17" i="27"/>
  <c r="I146" i="16" l="1"/>
  <c r="I146" i="18"/>
  <c r="K167" i="22" l="1"/>
  <c r="J167" i="22"/>
  <c r="J172" i="21"/>
  <c r="K168" i="21"/>
  <c r="J168" i="21"/>
  <c r="J167" i="21"/>
  <c r="K167" i="21"/>
  <c r="K172" i="21" s="1"/>
  <c r="I146" i="22"/>
  <c r="F23" i="2" l="1"/>
  <c r="E34" i="2"/>
  <c r="E23" i="2"/>
  <c r="E22" i="2"/>
  <c r="F223" i="21" l="1"/>
  <c r="F218" i="21"/>
  <c r="E218" i="21"/>
  <c r="E223" i="21" s="1"/>
  <c r="F217" i="21"/>
  <c r="E217" i="21"/>
  <c r="E216" i="21"/>
  <c r="F214" i="21"/>
  <c r="E214" i="21"/>
  <c r="E213" i="21" s="1"/>
  <c r="L209" i="21"/>
  <c r="K209" i="21"/>
  <c r="J209" i="21"/>
  <c r="I209" i="21"/>
  <c r="H209" i="21"/>
  <c r="G209" i="21"/>
  <c r="F209" i="21"/>
  <c r="E209" i="21"/>
  <c r="D209" i="21"/>
  <c r="L196" i="21"/>
  <c r="K196" i="21"/>
  <c r="J196" i="21"/>
  <c r="I196" i="21"/>
  <c r="H196" i="21"/>
  <c r="F196" i="21"/>
  <c r="E196" i="21"/>
  <c r="D192" i="21"/>
  <c r="D196" i="21" s="1"/>
  <c r="G191" i="21"/>
  <c r="O185" i="21"/>
  <c r="N185" i="21"/>
  <c r="M185" i="21"/>
  <c r="L185" i="21"/>
  <c r="K185" i="21"/>
  <c r="J185" i="21"/>
  <c r="I185" i="21"/>
  <c r="H185" i="21"/>
  <c r="G185" i="21"/>
  <c r="F185" i="21"/>
  <c r="E185" i="21"/>
  <c r="D181" i="21"/>
  <c r="D180" i="21"/>
  <c r="I172" i="21"/>
  <c r="H172" i="21"/>
  <c r="G172" i="21"/>
  <c r="F172" i="21"/>
  <c r="E172" i="21"/>
  <c r="D172" i="21"/>
  <c r="J162" i="21"/>
  <c r="I162" i="21"/>
  <c r="H162" i="21"/>
  <c r="F162" i="21"/>
  <c r="E162" i="21"/>
  <c r="D162" i="21"/>
  <c r="G158" i="21"/>
  <c r="G157" i="21"/>
  <c r="N151" i="21"/>
  <c r="M151" i="21"/>
  <c r="L151" i="21"/>
  <c r="K151" i="21"/>
  <c r="J151" i="21"/>
  <c r="H151" i="21"/>
  <c r="D151" i="21"/>
  <c r="G147" i="21"/>
  <c r="F147" i="21"/>
  <c r="G146" i="21"/>
  <c r="F146" i="21"/>
  <c r="F151" i="21" s="1"/>
  <c r="E146" i="21"/>
  <c r="F137" i="21"/>
  <c r="E137" i="21"/>
  <c r="D137" i="21"/>
  <c r="M105" i="21"/>
  <c r="L105" i="21"/>
  <c r="K105" i="21"/>
  <c r="J105" i="21"/>
  <c r="I105" i="21"/>
  <c r="H105" i="21"/>
  <c r="G105" i="21"/>
  <c r="F105" i="21"/>
  <c r="E105" i="21"/>
  <c r="D105" i="21"/>
  <c r="K58" i="21"/>
  <c r="J58" i="21"/>
  <c r="I58" i="21"/>
  <c r="H58" i="21"/>
  <c r="G58" i="21"/>
  <c r="F58" i="21"/>
  <c r="E58" i="21"/>
  <c r="D58" i="21"/>
  <c r="E47" i="21"/>
  <c r="D47" i="21"/>
  <c r="F213" i="21" l="1"/>
  <c r="E151" i="21"/>
  <c r="G162" i="21"/>
  <c r="G151" i="21"/>
  <c r="D185" i="21"/>
  <c r="E219" i="21"/>
  <c r="E222" i="21" s="1"/>
  <c r="E224" i="21" s="1"/>
  <c r="F219" i="21"/>
  <c r="F222" i="21" s="1"/>
  <c r="F224" i="21" s="1"/>
  <c r="F218" i="2" l="1"/>
  <c r="E218" i="2"/>
  <c r="L208" i="2"/>
  <c r="K208" i="2"/>
  <c r="J208" i="2"/>
  <c r="I208" i="2"/>
  <c r="H208" i="2"/>
  <c r="G208" i="2"/>
  <c r="F208" i="2"/>
  <c r="E208" i="2"/>
  <c r="D208" i="2"/>
  <c r="L207" i="2"/>
  <c r="K207" i="2"/>
  <c r="J207" i="2"/>
  <c r="J212" i="2" s="1"/>
  <c r="I207" i="2"/>
  <c r="H207" i="2"/>
  <c r="G207" i="2"/>
  <c r="F207" i="2"/>
  <c r="F212" i="2" s="1"/>
  <c r="E207" i="2"/>
  <c r="E212" i="2" s="1"/>
  <c r="D207" i="2"/>
  <c r="E195" i="2"/>
  <c r="O184" i="2"/>
  <c r="N184" i="2"/>
  <c r="M184" i="2"/>
  <c r="L184" i="2"/>
  <c r="K184" i="2"/>
  <c r="J184" i="2"/>
  <c r="N183" i="2"/>
  <c r="J183" i="2"/>
  <c r="E184" i="2"/>
  <c r="D184" i="2"/>
  <c r="I171" i="2"/>
  <c r="H171" i="2"/>
  <c r="G171" i="2"/>
  <c r="F171" i="2"/>
  <c r="E171" i="2"/>
  <c r="D171" i="2"/>
  <c r="I170" i="2"/>
  <c r="H170" i="2"/>
  <c r="G170" i="2"/>
  <c r="F170" i="2"/>
  <c r="E170" i="2"/>
  <c r="D170" i="2"/>
  <c r="J170" i="2" s="1"/>
  <c r="J161" i="2"/>
  <c r="I161" i="2"/>
  <c r="H161" i="2"/>
  <c r="J160" i="2"/>
  <c r="I160" i="2"/>
  <c r="H160" i="2"/>
  <c r="F161" i="2"/>
  <c r="E161" i="2"/>
  <c r="D161" i="2"/>
  <c r="F160" i="2"/>
  <c r="E160" i="2"/>
  <c r="D160" i="2"/>
  <c r="G160" i="2" s="1"/>
  <c r="N150" i="2"/>
  <c r="M150" i="2"/>
  <c r="L150" i="2"/>
  <c r="K150" i="2"/>
  <c r="J150" i="2"/>
  <c r="N149" i="2"/>
  <c r="M149" i="2"/>
  <c r="L149" i="2"/>
  <c r="L154" i="2" s="1"/>
  <c r="K149" i="2"/>
  <c r="J149" i="2"/>
  <c r="H150" i="2"/>
  <c r="G150" i="2"/>
  <c r="F150" i="2"/>
  <c r="E150" i="2"/>
  <c r="D150" i="2"/>
  <c r="H149" i="2"/>
  <c r="H154" i="2" s="1"/>
  <c r="G149" i="2"/>
  <c r="F149" i="2"/>
  <c r="E149" i="2"/>
  <c r="D149" i="2"/>
  <c r="I149" i="2" s="1"/>
  <c r="F136" i="2"/>
  <c r="F135" i="2"/>
  <c r="L126" i="2"/>
  <c r="K126" i="2"/>
  <c r="J126" i="2"/>
  <c r="I126" i="2"/>
  <c r="H126" i="2"/>
  <c r="G126" i="2"/>
  <c r="F126" i="2"/>
  <c r="E126" i="2"/>
  <c r="L125" i="2"/>
  <c r="L130" i="2" s="1"/>
  <c r="K125" i="2"/>
  <c r="K130" i="2" s="1"/>
  <c r="J125" i="2"/>
  <c r="I125" i="2"/>
  <c r="I130" i="2" s="1"/>
  <c r="H125" i="2"/>
  <c r="H130" i="2" s="1"/>
  <c r="G125" i="2"/>
  <c r="F125" i="2"/>
  <c r="E125" i="2"/>
  <c r="E130" i="2" s="1"/>
  <c r="K115" i="2"/>
  <c r="J115" i="2"/>
  <c r="I115" i="2"/>
  <c r="H115" i="2"/>
  <c r="G115" i="2"/>
  <c r="F115" i="2"/>
  <c r="E115" i="2"/>
  <c r="K114" i="2"/>
  <c r="K119" i="2" s="1"/>
  <c r="J114" i="2"/>
  <c r="I114" i="2"/>
  <c r="H114" i="2"/>
  <c r="G114" i="2"/>
  <c r="G119" i="2" s="1"/>
  <c r="F114" i="2"/>
  <c r="E114" i="2"/>
  <c r="D114" i="2"/>
  <c r="M104" i="2"/>
  <c r="L104" i="2"/>
  <c r="K104" i="2"/>
  <c r="J104" i="2"/>
  <c r="I104" i="2"/>
  <c r="H104" i="2"/>
  <c r="G104" i="2"/>
  <c r="F104" i="2"/>
  <c r="M103" i="2"/>
  <c r="L103" i="2"/>
  <c r="K103" i="2"/>
  <c r="K108" i="2" s="1"/>
  <c r="J103" i="2"/>
  <c r="J108" i="2" s="1"/>
  <c r="I103" i="2"/>
  <c r="I108" i="2" s="1"/>
  <c r="H103" i="2"/>
  <c r="H108" i="2" s="1"/>
  <c r="G103" i="2"/>
  <c r="G108" i="2" s="1"/>
  <c r="F103" i="2"/>
  <c r="E104" i="2"/>
  <c r="D104" i="2"/>
  <c r="D103" i="2"/>
  <c r="K91" i="2"/>
  <c r="J91" i="2"/>
  <c r="I91" i="2"/>
  <c r="H91" i="2"/>
  <c r="G91" i="2"/>
  <c r="F91" i="2"/>
  <c r="E91" i="2"/>
  <c r="K90" i="2"/>
  <c r="K95" i="2" s="1"/>
  <c r="J90" i="2"/>
  <c r="I90" i="2"/>
  <c r="H90" i="2"/>
  <c r="G90" i="2"/>
  <c r="G95" i="2" s="1"/>
  <c r="F90" i="2"/>
  <c r="E90" i="2"/>
  <c r="D91" i="2"/>
  <c r="D90" i="2"/>
  <c r="O78" i="2"/>
  <c r="N78" i="2"/>
  <c r="M78" i="2"/>
  <c r="L78" i="2"/>
  <c r="K78" i="2"/>
  <c r="J78" i="2"/>
  <c r="I78" i="2"/>
  <c r="H78" i="2"/>
  <c r="N77" i="2"/>
  <c r="M77" i="2"/>
  <c r="M82" i="2" s="1"/>
  <c r="L77" i="2"/>
  <c r="J77" i="2"/>
  <c r="H77" i="2"/>
  <c r="H82" i="2" s="1"/>
  <c r="F78" i="2"/>
  <c r="E78" i="2"/>
  <c r="D78" i="2"/>
  <c r="F77" i="2"/>
  <c r="E77" i="2"/>
  <c r="K68" i="2"/>
  <c r="J68" i="2"/>
  <c r="I68" i="2"/>
  <c r="H68" i="2"/>
  <c r="G68" i="2"/>
  <c r="F68" i="2"/>
  <c r="E68" i="2"/>
  <c r="K67" i="2"/>
  <c r="K72" i="2" s="1"/>
  <c r="J67" i="2"/>
  <c r="I67" i="2"/>
  <c r="I72" i="2" s="1"/>
  <c r="H67" i="2"/>
  <c r="F67" i="2"/>
  <c r="E67" i="2"/>
  <c r="E72" i="2" s="1"/>
  <c r="K57" i="2"/>
  <c r="J57" i="2"/>
  <c r="I57" i="2"/>
  <c r="H57" i="2"/>
  <c r="G57" i="2"/>
  <c r="F57" i="2"/>
  <c r="E57" i="2"/>
  <c r="D57" i="2"/>
  <c r="K56" i="2"/>
  <c r="K61" i="2" s="1"/>
  <c r="J56" i="2"/>
  <c r="I56" i="2"/>
  <c r="I61" i="2" s="1"/>
  <c r="H56" i="2"/>
  <c r="H61" i="2" s="1"/>
  <c r="G56" i="2"/>
  <c r="G61" i="2" s="1"/>
  <c r="F56" i="2"/>
  <c r="E56" i="2"/>
  <c r="E61" i="2" s="1"/>
  <c r="D56" i="2"/>
  <c r="D61" i="2" s="1"/>
  <c r="E46" i="2"/>
  <c r="O23" i="2"/>
  <c r="N23" i="2"/>
  <c r="M23" i="2"/>
  <c r="L23" i="2"/>
  <c r="K23" i="2"/>
  <c r="J23" i="2"/>
  <c r="I23" i="2"/>
  <c r="N22" i="2"/>
  <c r="M22" i="2"/>
  <c r="J22" i="2"/>
  <c r="J27" i="2" s="1"/>
  <c r="F21" i="2"/>
  <c r="E21" i="2"/>
  <c r="I222" i="2"/>
  <c r="H222" i="2"/>
  <c r="G222" i="2"/>
  <c r="G198" i="2"/>
  <c r="G197" i="2"/>
  <c r="G196" i="2"/>
  <c r="G193" i="2"/>
  <c r="G192" i="2"/>
  <c r="G187" i="2"/>
  <c r="G186" i="2"/>
  <c r="G185" i="2"/>
  <c r="J188" i="2"/>
  <c r="G181" i="2"/>
  <c r="K174" i="2"/>
  <c r="J174" i="2"/>
  <c r="K173" i="2"/>
  <c r="J173" i="2"/>
  <c r="K172" i="2"/>
  <c r="J172" i="2"/>
  <c r="J169" i="2"/>
  <c r="K168" i="2"/>
  <c r="J168" i="2"/>
  <c r="G164" i="2"/>
  <c r="G163" i="2"/>
  <c r="G162" i="2"/>
  <c r="G159" i="2"/>
  <c r="G158" i="2"/>
  <c r="I153" i="2"/>
  <c r="I152" i="2"/>
  <c r="I151" i="2"/>
  <c r="I148" i="2"/>
  <c r="I147" i="2"/>
  <c r="G139" i="2"/>
  <c r="G138" i="2"/>
  <c r="G137" i="2"/>
  <c r="G130" i="2"/>
  <c r="F130" i="2"/>
  <c r="L108" i="2"/>
  <c r="H95" i="2"/>
  <c r="G81" i="2"/>
  <c r="G80" i="2"/>
  <c r="G79" i="2"/>
  <c r="G75" i="2"/>
  <c r="J61" i="2"/>
  <c r="F61" i="2"/>
  <c r="G37" i="2"/>
  <c r="G36" i="2"/>
  <c r="G35" i="2"/>
  <c r="G32" i="2"/>
  <c r="G31" i="2"/>
  <c r="G26" i="2"/>
  <c r="G25" i="2"/>
  <c r="G24" i="2"/>
  <c r="M27" i="2"/>
  <c r="G20" i="2"/>
  <c r="G154" i="2" l="1"/>
  <c r="M108" i="2"/>
  <c r="D212" i="2"/>
  <c r="L212" i="2"/>
  <c r="L82" i="2"/>
  <c r="F119" i="2"/>
  <c r="F72" i="2"/>
  <c r="J82" i="2"/>
  <c r="H119" i="2"/>
  <c r="F108" i="2"/>
  <c r="F165" i="2"/>
  <c r="H165" i="2"/>
  <c r="G175" i="2"/>
  <c r="K171" i="2"/>
  <c r="H72" i="2"/>
  <c r="N82" i="2"/>
  <c r="I150" i="2"/>
  <c r="K170" i="2"/>
  <c r="N27" i="2"/>
  <c r="G161" i="2"/>
  <c r="G165" i="2" s="1"/>
  <c r="I212" i="2"/>
  <c r="E154" i="2"/>
  <c r="J171" i="2"/>
  <c r="J175" i="2" s="1"/>
  <c r="E119" i="2"/>
  <c r="I119" i="2"/>
  <c r="E95" i="2"/>
  <c r="J154" i="2"/>
  <c r="I165" i="2"/>
  <c r="J95" i="2"/>
  <c r="G212" i="2"/>
  <c r="D95" i="2"/>
  <c r="D108" i="2"/>
  <c r="K212" i="2"/>
  <c r="H212" i="2"/>
  <c r="F95" i="2"/>
  <c r="I95" i="2"/>
  <c r="F175" i="2"/>
  <c r="G78" i="2"/>
  <c r="N188" i="2"/>
  <c r="F140" i="2"/>
  <c r="J165" i="2"/>
  <c r="H175" i="2"/>
  <c r="E82" i="2"/>
  <c r="M154" i="2"/>
  <c r="E165" i="2"/>
  <c r="I175" i="2"/>
  <c r="K154" i="2"/>
  <c r="F82" i="2"/>
  <c r="N154" i="2"/>
  <c r="D175" i="2"/>
  <c r="E175" i="2"/>
  <c r="D154" i="2"/>
  <c r="F154" i="2"/>
  <c r="E27" i="2"/>
  <c r="D165" i="2"/>
  <c r="K169" i="2"/>
  <c r="D222" i="2"/>
  <c r="G134" i="2"/>
  <c r="G21" i="2"/>
  <c r="G182" i="2"/>
  <c r="G76" i="2"/>
  <c r="I219" i="20"/>
  <c r="H219" i="20"/>
  <c r="G219" i="20"/>
  <c r="F219" i="20"/>
  <c r="E219" i="20"/>
  <c r="D219" i="20"/>
  <c r="L209" i="20"/>
  <c r="I209" i="20"/>
  <c r="H209" i="20"/>
  <c r="E209" i="20"/>
  <c r="D209" i="20"/>
  <c r="L196" i="20"/>
  <c r="K196" i="20"/>
  <c r="J196" i="20"/>
  <c r="I196" i="20"/>
  <c r="H196" i="20"/>
  <c r="F196" i="20"/>
  <c r="E196" i="20"/>
  <c r="D196" i="20"/>
  <c r="G195" i="20"/>
  <c r="G194" i="20"/>
  <c r="G193" i="20"/>
  <c r="G192" i="20"/>
  <c r="G191" i="20"/>
  <c r="G190" i="20"/>
  <c r="G189" i="20"/>
  <c r="O185" i="20"/>
  <c r="N185" i="20"/>
  <c r="M185" i="20"/>
  <c r="L185" i="20"/>
  <c r="K185" i="20"/>
  <c r="J185" i="20"/>
  <c r="I185" i="20"/>
  <c r="H185" i="20"/>
  <c r="F185" i="20"/>
  <c r="E185" i="20"/>
  <c r="D185" i="20"/>
  <c r="G184" i="20"/>
  <c r="G183" i="20"/>
  <c r="G182" i="20"/>
  <c r="G181" i="20"/>
  <c r="G180" i="20"/>
  <c r="G179" i="20"/>
  <c r="G178" i="20"/>
  <c r="J162" i="20"/>
  <c r="I162" i="20"/>
  <c r="H162" i="20"/>
  <c r="F162" i="20"/>
  <c r="E162" i="20"/>
  <c r="D162" i="20"/>
  <c r="G161" i="20"/>
  <c r="G160" i="20"/>
  <c r="G159" i="20"/>
  <c r="G158" i="20"/>
  <c r="G157" i="20"/>
  <c r="G156" i="20"/>
  <c r="G155" i="20"/>
  <c r="N151" i="20"/>
  <c r="M151" i="20"/>
  <c r="L151" i="20"/>
  <c r="K151" i="20"/>
  <c r="J151" i="20"/>
  <c r="H151" i="20"/>
  <c r="G151" i="20"/>
  <c r="F151" i="20"/>
  <c r="E151" i="20"/>
  <c r="D151" i="20"/>
  <c r="I150" i="20"/>
  <c r="I149" i="20"/>
  <c r="I148" i="20"/>
  <c r="I147" i="20"/>
  <c r="I146" i="20"/>
  <c r="I145" i="20"/>
  <c r="I144" i="20"/>
  <c r="F137" i="20"/>
  <c r="E137" i="20"/>
  <c r="D137" i="20"/>
  <c r="G136" i="20"/>
  <c r="G135" i="20"/>
  <c r="G134" i="20"/>
  <c r="G133" i="20"/>
  <c r="G132" i="20"/>
  <c r="G131" i="20"/>
  <c r="L127" i="20"/>
  <c r="K127" i="20"/>
  <c r="I127" i="20"/>
  <c r="H127" i="20"/>
  <c r="G127" i="20"/>
  <c r="F127" i="20"/>
  <c r="E127" i="20"/>
  <c r="D127" i="20"/>
  <c r="L116" i="20"/>
  <c r="K116" i="20"/>
  <c r="I116" i="20"/>
  <c r="H116" i="20"/>
  <c r="G116" i="20"/>
  <c r="F116" i="20"/>
  <c r="E116" i="20"/>
  <c r="D116" i="20"/>
  <c r="M105" i="20"/>
  <c r="L105" i="20"/>
  <c r="K105" i="20"/>
  <c r="J105" i="20"/>
  <c r="I105" i="20"/>
  <c r="H105" i="20"/>
  <c r="G105" i="20"/>
  <c r="F105" i="20"/>
  <c r="E105" i="20"/>
  <c r="D105" i="20"/>
  <c r="K92" i="20"/>
  <c r="J92" i="20"/>
  <c r="I92" i="20"/>
  <c r="H92" i="20"/>
  <c r="G92" i="20"/>
  <c r="F92" i="20"/>
  <c r="E92" i="20"/>
  <c r="D92" i="20"/>
  <c r="O79" i="20"/>
  <c r="N79" i="20"/>
  <c r="M79" i="20"/>
  <c r="L79" i="20"/>
  <c r="K79" i="20"/>
  <c r="J79" i="20"/>
  <c r="I79" i="20"/>
  <c r="F79" i="20"/>
  <c r="E79" i="20"/>
  <c r="D79" i="20"/>
  <c r="G74" i="20"/>
  <c r="G79" i="20" s="1"/>
  <c r="L69" i="20"/>
  <c r="K69" i="20"/>
  <c r="I69" i="20"/>
  <c r="H69" i="20"/>
  <c r="G69" i="20"/>
  <c r="F69" i="20"/>
  <c r="E69" i="20"/>
  <c r="D69" i="20"/>
  <c r="K58" i="20"/>
  <c r="J58" i="20"/>
  <c r="I58" i="20"/>
  <c r="H58" i="20"/>
  <c r="G58" i="20"/>
  <c r="F58" i="20"/>
  <c r="E58" i="20"/>
  <c r="D58" i="20"/>
  <c r="E47" i="20"/>
  <c r="D47" i="20"/>
  <c r="F35" i="20"/>
  <c r="E35" i="20"/>
  <c r="D35" i="20"/>
  <c r="G34" i="20"/>
  <c r="G33" i="20"/>
  <c r="G32" i="20"/>
  <c r="G31" i="20"/>
  <c r="G30" i="20"/>
  <c r="G29" i="20"/>
  <c r="G28" i="20"/>
  <c r="O24" i="20"/>
  <c r="N24" i="20"/>
  <c r="M24" i="20"/>
  <c r="L24" i="20"/>
  <c r="K24" i="20"/>
  <c r="J24" i="20"/>
  <c r="I24" i="20"/>
  <c r="H24" i="20"/>
  <c r="F24" i="20"/>
  <c r="E24" i="20"/>
  <c r="D24" i="20"/>
  <c r="G23" i="20"/>
  <c r="G22" i="20"/>
  <c r="G21" i="20"/>
  <c r="G20" i="20"/>
  <c r="G19" i="20"/>
  <c r="G18" i="20"/>
  <c r="G17" i="20"/>
  <c r="G137" i="20" l="1"/>
  <c r="K175" i="2"/>
  <c r="G24" i="20"/>
  <c r="I151" i="20"/>
  <c r="G196" i="20"/>
  <c r="G162" i="20"/>
  <c r="G35" i="20"/>
  <c r="G185" i="20"/>
  <c r="I154" i="2"/>
  <c r="I219" i="19"/>
  <c r="H219" i="19"/>
  <c r="G219" i="19"/>
  <c r="F219" i="19"/>
  <c r="E219" i="19"/>
  <c r="D219" i="19"/>
  <c r="L209" i="19"/>
  <c r="K209" i="19"/>
  <c r="J209" i="19"/>
  <c r="I209" i="19"/>
  <c r="H209" i="19"/>
  <c r="G209" i="19"/>
  <c r="F209" i="19"/>
  <c r="E209" i="19"/>
  <c r="D209" i="19"/>
  <c r="L196" i="19"/>
  <c r="K196" i="19"/>
  <c r="J196" i="19"/>
  <c r="I196" i="19"/>
  <c r="H196" i="19"/>
  <c r="F196" i="19"/>
  <c r="E196" i="19"/>
  <c r="D196" i="19"/>
  <c r="G195" i="19"/>
  <c r="G194" i="19"/>
  <c r="G193" i="19"/>
  <c r="G192" i="19"/>
  <c r="G191" i="19"/>
  <c r="G190" i="19"/>
  <c r="G189" i="19"/>
  <c r="O185" i="19"/>
  <c r="N185" i="19"/>
  <c r="M185" i="19"/>
  <c r="L185" i="19"/>
  <c r="K185" i="19"/>
  <c r="J185" i="19"/>
  <c r="I185" i="19"/>
  <c r="H185" i="19"/>
  <c r="F185" i="19"/>
  <c r="E185" i="19"/>
  <c r="D185" i="19"/>
  <c r="G184" i="19"/>
  <c r="G183" i="19"/>
  <c r="G182" i="19"/>
  <c r="G181" i="19"/>
  <c r="G180" i="19"/>
  <c r="G179" i="19"/>
  <c r="G178" i="19"/>
  <c r="I172" i="19"/>
  <c r="H172" i="19"/>
  <c r="G172" i="19"/>
  <c r="F172" i="19"/>
  <c r="E172" i="19"/>
  <c r="D172" i="19"/>
  <c r="K171" i="19"/>
  <c r="J171" i="19"/>
  <c r="K170" i="19"/>
  <c r="J170" i="19"/>
  <c r="K169" i="19"/>
  <c r="J169" i="19"/>
  <c r="K168" i="19"/>
  <c r="J168" i="19"/>
  <c r="K167" i="19"/>
  <c r="J167" i="19"/>
  <c r="K166" i="19"/>
  <c r="J166" i="19"/>
  <c r="K165" i="19"/>
  <c r="J165" i="19"/>
  <c r="J172" i="19" s="1"/>
  <c r="J162" i="19"/>
  <c r="I162" i="19"/>
  <c r="H162" i="19"/>
  <c r="F162" i="19"/>
  <c r="E162" i="19"/>
  <c r="D162" i="19"/>
  <c r="G161" i="19"/>
  <c r="G160" i="19"/>
  <c r="G159" i="19"/>
  <c r="G158" i="19"/>
  <c r="G157" i="19"/>
  <c r="G156" i="19"/>
  <c r="G155" i="19"/>
  <c r="N151" i="19"/>
  <c r="M151" i="19"/>
  <c r="L151" i="19"/>
  <c r="K151" i="19"/>
  <c r="J151" i="19"/>
  <c r="H151" i="19"/>
  <c r="G151" i="19"/>
  <c r="F151" i="19"/>
  <c r="E151" i="19"/>
  <c r="D151" i="19"/>
  <c r="I150" i="19"/>
  <c r="I149" i="19"/>
  <c r="I148" i="19"/>
  <c r="I147" i="19"/>
  <c r="I146" i="19"/>
  <c r="I145" i="19"/>
  <c r="I144" i="19"/>
  <c r="F137" i="19"/>
  <c r="E137" i="19"/>
  <c r="D137" i="19"/>
  <c r="G136" i="19"/>
  <c r="G135" i="19"/>
  <c r="G134" i="19"/>
  <c r="G133" i="19"/>
  <c r="G132" i="19"/>
  <c r="G131" i="19"/>
  <c r="L127" i="19"/>
  <c r="K127" i="19"/>
  <c r="I127" i="19"/>
  <c r="H127" i="19"/>
  <c r="G127" i="19"/>
  <c r="F127" i="19"/>
  <c r="E127" i="19"/>
  <c r="D127" i="19"/>
  <c r="L116" i="19"/>
  <c r="K116" i="19"/>
  <c r="I116" i="19"/>
  <c r="H116" i="19"/>
  <c r="G116" i="19"/>
  <c r="F116" i="19"/>
  <c r="E116" i="19"/>
  <c r="D116" i="19"/>
  <c r="M105" i="19"/>
  <c r="L105" i="19"/>
  <c r="K105" i="19"/>
  <c r="J105" i="19"/>
  <c r="I105" i="19"/>
  <c r="H105" i="19"/>
  <c r="G105" i="19"/>
  <c r="F105" i="19"/>
  <c r="E105" i="19"/>
  <c r="D105" i="19"/>
  <c r="K92" i="19"/>
  <c r="J92" i="19"/>
  <c r="I92" i="19"/>
  <c r="H92" i="19"/>
  <c r="G92" i="19"/>
  <c r="F92" i="19"/>
  <c r="E92" i="19"/>
  <c r="D92" i="19"/>
  <c r="O79" i="19"/>
  <c r="N79" i="19"/>
  <c r="M79" i="19"/>
  <c r="L79" i="19"/>
  <c r="K79" i="19"/>
  <c r="J79" i="19"/>
  <c r="I79" i="19"/>
  <c r="F79" i="19"/>
  <c r="E79" i="19"/>
  <c r="D79" i="19"/>
  <c r="G78" i="19"/>
  <c r="G77" i="19"/>
  <c r="G76" i="19"/>
  <c r="G75" i="19"/>
  <c r="G74" i="19"/>
  <c r="G73" i="19"/>
  <c r="G72" i="19"/>
  <c r="L69" i="19"/>
  <c r="K69" i="19"/>
  <c r="I69" i="19"/>
  <c r="H69" i="19"/>
  <c r="G69" i="19"/>
  <c r="F69" i="19"/>
  <c r="E69" i="19"/>
  <c r="D69" i="19"/>
  <c r="K58" i="19"/>
  <c r="J58" i="19"/>
  <c r="I58" i="19"/>
  <c r="H58" i="19"/>
  <c r="G58" i="19"/>
  <c r="F58" i="19"/>
  <c r="E58" i="19"/>
  <c r="D58" i="19"/>
  <c r="E47" i="19"/>
  <c r="D47" i="19"/>
  <c r="F35" i="19"/>
  <c r="E35" i="19"/>
  <c r="D35" i="19"/>
  <c r="G35" i="19" s="1"/>
  <c r="G34" i="19"/>
  <c r="G33" i="19"/>
  <c r="G32" i="19"/>
  <c r="G31" i="19"/>
  <c r="G30" i="19"/>
  <c r="G29" i="19"/>
  <c r="G28" i="19"/>
  <c r="O24" i="19"/>
  <c r="N24" i="19"/>
  <c r="M24" i="19"/>
  <c r="L24" i="19"/>
  <c r="K24" i="19"/>
  <c r="J24" i="19"/>
  <c r="H24" i="19"/>
  <c r="F24" i="19"/>
  <c r="D24" i="19"/>
  <c r="G24" i="19" s="1"/>
  <c r="G23" i="19"/>
  <c r="G22" i="19"/>
  <c r="G21" i="19"/>
  <c r="G20" i="19"/>
  <c r="G19" i="19"/>
  <c r="G18" i="19"/>
  <c r="G17" i="19"/>
  <c r="K172" i="19" l="1"/>
  <c r="G185" i="19"/>
  <c r="G79" i="19"/>
  <c r="G137" i="19"/>
  <c r="I151" i="19"/>
  <c r="G162" i="19"/>
  <c r="G196" i="19"/>
  <c r="I219" i="1"/>
  <c r="H219" i="1"/>
  <c r="G219" i="1"/>
  <c r="D219" i="1"/>
  <c r="F218" i="1"/>
  <c r="E218" i="1"/>
  <c r="E217" i="1"/>
  <c r="E216" i="1"/>
  <c r="F214" i="1"/>
  <c r="F219" i="1" s="1"/>
  <c r="E214" i="1"/>
  <c r="L209" i="1"/>
  <c r="K209" i="1"/>
  <c r="J209" i="1"/>
  <c r="I209" i="1"/>
  <c r="H209" i="1"/>
  <c r="G209" i="1"/>
  <c r="F209" i="1"/>
  <c r="E209" i="1"/>
  <c r="D209" i="1"/>
  <c r="L196" i="1"/>
  <c r="K196" i="1"/>
  <c r="J196" i="1"/>
  <c r="I196" i="1"/>
  <c r="H196" i="1"/>
  <c r="F196" i="1"/>
  <c r="E196" i="1"/>
  <c r="D196" i="1"/>
  <c r="G195" i="1"/>
  <c r="G194" i="1"/>
  <c r="G193" i="1"/>
  <c r="G192" i="1"/>
  <c r="G191" i="1"/>
  <c r="G190" i="1"/>
  <c r="G189" i="1"/>
  <c r="O185" i="1"/>
  <c r="N185" i="1"/>
  <c r="M185" i="1"/>
  <c r="L185" i="1"/>
  <c r="K185" i="1"/>
  <c r="J185" i="1"/>
  <c r="I185" i="1"/>
  <c r="H185" i="1"/>
  <c r="F185" i="1"/>
  <c r="E185" i="1"/>
  <c r="D185" i="1"/>
  <c r="G184" i="1"/>
  <c r="G183" i="1"/>
  <c r="G182" i="1"/>
  <c r="G181" i="1"/>
  <c r="G180" i="1"/>
  <c r="G179" i="1"/>
  <c r="G178" i="1"/>
  <c r="I172" i="1"/>
  <c r="H172" i="1"/>
  <c r="G172" i="1"/>
  <c r="F172" i="1"/>
  <c r="E172" i="1"/>
  <c r="D172" i="1"/>
  <c r="K171" i="1"/>
  <c r="J171" i="1"/>
  <c r="K170" i="1"/>
  <c r="J170" i="1"/>
  <c r="K169" i="1"/>
  <c r="J169" i="1"/>
  <c r="K168" i="1"/>
  <c r="J168" i="1"/>
  <c r="K167" i="1"/>
  <c r="J167" i="1"/>
  <c r="K166" i="1"/>
  <c r="J166" i="1"/>
  <c r="K165" i="1"/>
  <c r="J165" i="1"/>
  <c r="J162" i="1"/>
  <c r="I162" i="1"/>
  <c r="H162" i="1"/>
  <c r="F162" i="1"/>
  <c r="E162" i="1"/>
  <c r="D162" i="1"/>
  <c r="G161" i="1"/>
  <c r="G160" i="1"/>
  <c r="G159" i="1"/>
  <c r="G158" i="1"/>
  <c r="G157" i="1"/>
  <c r="G156" i="1"/>
  <c r="G155" i="1"/>
  <c r="N151" i="1"/>
  <c r="M151" i="1"/>
  <c r="L151" i="1"/>
  <c r="K151" i="1"/>
  <c r="J151" i="1"/>
  <c r="H151" i="1"/>
  <c r="G151" i="1"/>
  <c r="F151" i="1"/>
  <c r="E151" i="1"/>
  <c r="D151" i="1"/>
  <c r="I150" i="1"/>
  <c r="I149" i="1"/>
  <c r="I148" i="1"/>
  <c r="I147" i="1"/>
  <c r="I146" i="1"/>
  <c r="I145" i="1"/>
  <c r="I144" i="1"/>
  <c r="F137" i="1"/>
  <c r="E137" i="1"/>
  <c r="G136" i="1"/>
  <c r="G135" i="1"/>
  <c r="G134" i="1"/>
  <c r="D133" i="1"/>
  <c r="G133" i="1" s="1"/>
  <c r="D132" i="1"/>
  <c r="D137" i="1" s="1"/>
  <c r="G131" i="1"/>
  <c r="L127" i="1"/>
  <c r="K127" i="1"/>
  <c r="I127" i="1"/>
  <c r="H127" i="1"/>
  <c r="G127" i="1"/>
  <c r="F127" i="1"/>
  <c r="E127" i="1"/>
  <c r="D127" i="1"/>
  <c r="L116" i="1"/>
  <c r="K116" i="1"/>
  <c r="I116" i="1"/>
  <c r="H116" i="1"/>
  <c r="G116" i="1"/>
  <c r="F116" i="1"/>
  <c r="E116" i="1"/>
  <c r="D116" i="1"/>
  <c r="M105" i="1"/>
  <c r="L105" i="1"/>
  <c r="K105" i="1"/>
  <c r="J105" i="1"/>
  <c r="I105" i="1"/>
  <c r="H105" i="1"/>
  <c r="G105" i="1"/>
  <c r="F105" i="1"/>
  <c r="E105" i="1"/>
  <c r="D105" i="1"/>
  <c r="K92" i="1"/>
  <c r="J92" i="1"/>
  <c r="I92" i="1"/>
  <c r="H92" i="1"/>
  <c r="G92" i="1"/>
  <c r="F92" i="1"/>
  <c r="E92" i="1"/>
  <c r="D92" i="1"/>
  <c r="N79" i="1"/>
  <c r="M79" i="1"/>
  <c r="L79" i="1"/>
  <c r="J79" i="1"/>
  <c r="I79" i="1"/>
  <c r="H79" i="1"/>
  <c r="F79" i="1"/>
  <c r="E79" i="1"/>
  <c r="G78" i="1"/>
  <c r="G77" i="1"/>
  <c r="G76" i="1"/>
  <c r="G75" i="1"/>
  <c r="O74" i="1"/>
  <c r="K74" i="1"/>
  <c r="D74" i="1"/>
  <c r="G73" i="1"/>
  <c r="G72" i="1"/>
  <c r="L69" i="1"/>
  <c r="K69" i="1"/>
  <c r="I69" i="1"/>
  <c r="H69" i="1"/>
  <c r="G69" i="1"/>
  <c r="F69" i="1"/>
  <c r="E69" i="1"/>
  <c r="D69" i="1"/>
  <c r="K58" i="1"/>
  <c r="J58" i="1"/>
  <c r="I58" i="1"/>
  <c r="H58" i="1"/>
  <c r="G58" i="1"/>
  <c r="F58" i="1"/>
  <c r="E58" i="1"/>
  <c r="D58" i="1"/>
  <c r="E47" i="1"/>
  <c r="E42" i="1"/>
  <c r="E45" i="2" s="1"/>
  <c r="E50" i="2" s="1"/>
  <c r="D42" i="1"/>
  <c r="D45" i="2" s="1"/>
  <c r="G34" i="1"/>
  <c r="G33" i="1"/>
  <c r="G32" i="1"/>
  <c r="F31" i="1"/>
  <c r="F34" i="2" s="1"/>
  <c r="D31" i="1"/>
  <c r="F30" i="1"/>
  <c r="E30" i="1"/>
  <c r="D30" i="1"/>
  <c r="G29" i="1"/>
  <c r="G28" i="1"/>
  <c r="N24" i="1"/>
  <c r="M24" i="1"/>
  <c r="L24" i="1"/>
  <c r="J24" i="1"/>
  <c r="E24" i="1"/>
  <c r="G23" i="1"/>
  <c r="G22" i="1"/>
  <c r="G21" i="1"/>
  <c r="G20" i="1"/>
  <c r="O19" i="1"/>
  <c r="K19" i="1"/>
  <c r="I19" i="1"/>
  <c r="H19" i="1"/>
  <c r="H22" i="2" s="1"/>
  <c r="F19" i="1"/>
  <c r="D19" i="1"/>
  <c r="G17" i="1"/>
  <c r="H24" i="1" l="1"/>
  <c r="G132" i="1"/>
  <c r="D47" i="1"/>
  <c r="F213" i="1"/>
  <c r="G137" i="1"/>
  <c r="G162" i="1"/>
  <c r="G196" i="1"/>
  <c r="E219" i="1"/>
  <c r="G19" i="1"/>
  <c r="F22" i="2"/>
  <c r="F27" i="2" s="1"/>
  <c r="O24" i="1"/>
  <c r="E35" i="1"/>
  <c r="G31" i="1"/>
  <c r="O79" i="1"/>
  <c r="J172" i="1"/>
  <c r="D35" i="1"/>
  <c r="K79" i="1"/>
  <c r="K24" i="1"/>
  <c r="F35" i="1"/>
  <c r="K172" i="1"/>
  <c r="D24" i="1"/>
  <c r="I24" i="1"/>
  <c r="G74" i="1"/>
  <c r="I151" i="1"/>
  <c r="G185" i="1"/>
  <c r="E213" i="1"/>
  <c r="G79" i="1"/>
  <c r="G30" i="1"/>
  <c r="F24" i="1"/>
  <c r="D79" i="1"/>
  <c r="G24" i="1" l="1"/>
  <c r="G35" i="1"/>
  <c r="I219" i="4"/>
  <c r="H219" i="4"/>
  <c r="G219" i="4"/>
  <c r="F219" i="4"/>
  <c r="E217" i="4"/>
  <c r="E216" i="4"/>
  <c r="L209" i="4"/>
  <c r="K209" i="4"/>
  <c r="J209" i="4"/>
  <c r="I209" i="4"/>
  <c r="H209" i="4"/>
  <c r="G209" i="4"/>
  <c r="F209" i="4"/>
  <c r="E209" i="4"/>
  <c r="D209" i="4"/>
  <c r="K196" i="4"/>
  <c r="J196" i="4"/>
  <c r="I196" i="4"/>
  <c r="H196" i="4"/>
  <c r="F196" i="4"/>
  <c r="E196" i="4"/>
  <c r="D196" i="4"/>
  <c r="G195" i="4"/>
  <c r="G194" i="4"/>
  <c r="G193" i="4"/>
  <c r="G192" i="4"/>
  <c r="G191" i="4"/>
  <c r="G189" i="4"/>
  <c r="O185" i="4"/>
  <c r="N185" i="4"/>
  <c r="M185" i="4"/>
  <c r="L185" i="4"/>
  <c r="J185" i="4"/>
  <c r="I185" i="4"/>
  <c r="H185" i="4"/>
  <c r="F185" i="4"/>
  <c r="E185" i="4"/>
  <c r="D185" i="4"/>
  <c r="G184" i="4"/>
  <c r="G183" i="4"/>
  <c r="G182" i="4"/>
  <c r="G181" i="4"/>
  <c r="K180" i="4"/>
  <c r="G180" i="4"/>
  <c r="G178" i="4"/>
  <c r="I172" i="4"/>
  <c r="H172" i="4"/>
  <c r="G172" i="4"/>
  <c r="F172" i="4"/>
  <c r="E172" i="4"/>
  <c r="D172" i="4"/>
  <c r="K171" i="4"/>
  <c r="J171" i="4"/>
  <c r="K170" i="4"/>
  <c r="J170" i="4"/>
  <c r="K169" i="4"/>
  <c r="J169" i="4"/>
  <c r="K168" i="4"/>
  <c r="J168" i="4"/>
  <c r="K167" i="4"/>
  <c r="J167" i="4"/>
  <c r="K166" i="4"/>
  <c r="J166" i="4"/>
  <c r="K165" i="4"/>
  <c r="J165" i="4"/>
  <c r="J162" i="4"/>
  <c r="I162" i="4"/>
  <c r="H162" i="4"/>
  <c r="F162" i="4"/>
  <c r="E162" i="4"/>
  <c r="D162" i="4"/>
  <c r="G161" i="4"/>
  <c r="G160" i="4"/>
  <c r="G159" i="4"/>
  <c r="G158" i="4"/>
  <c r="G157" i="4"/>
  <c r="G156" i="4"/>
  <c r="G155" i="4"/>
  <c r="N151" i="4"/>
  <c r="M151" i="4"/>
  <c r="L151" i="4"/>
  <c r="K151" i="4"/>
  <c r="J151" i="4"/>
  <c r="H151" i="4"/>
  <c r="G151" i="4"/>
  <c r="F151" i="4"/>
  <c r="E151" i="4"/>
  <c r="D151" i="4"/>
  <c r="I150" i="4"/>
  <c r="I149" i="4"/>
  <c r="I148" i="4"/>
  <c r="I147" i="4"/>
  <c r="I146" i="4"/>
  <c r="I145" i="4"/>
  <c r="I144" i="4"/>
  <c r="F137" i="4"/>
  <c r="E137" i="4"/>
  <c r="D137" i="4"/>
  <c r="G136" i="4"/>
  <c r="G135" i="4"/>
  <c r="G134" i="4"/>
  <c r="G133" i="4"/>
  <c r="D132" i="4"/>
  <c r="L127" i="4"/>
  <c r="K127" i="4"/>
  <c r="I127" i="4"/>
  <c r="H127" i="4"/>
  <c r="G127" i="4"/>
  <c r="F127" i="4"/>
  <c r="E127" i="4"/>
  <c r="D127" i="4"/>
  <c r="L116" i="4"/>
  <c r="K116" i="4"/>
  <c r="I116" i="4"/>
  <c r="H116" i="4"/>
  <c r="G116" i="4"/>
  <c r="F116" i="4"/>
  <c r="E116" i="4"/>
  <c r="D116" i="4"/>
  <c r="M105" i="4"/>
  <c r="L105" i="4"/>
  <c r="K105" i="4"/>
  <c r="J105" i="4"/>
  <c r="I105" i="4"/>
  <c r="H105" i="4"/>
  <c r="G105" i="4"/>
  <c r="F105" i="4"/>
  <c r="E105" i="4"/>
  <c r="D105" i="4"/>
  <c r="K92" i="4"/>
  <c r="J92" i="4"/>
  <c r="I92" i="4"/>
  <c r="H92" i="4"/>
  <c r="G92" i="4"/>
  <c r="F92" i="4"/>
  <c r="E92" i="4"/>
  <c r="D92" i="4"/>
  <c r="O79" i="4"/>
  <c r="N79" i="4"/>
  <c r="M79" i="4"/>
  <c r="L79" i="4"/>
  <c r="K79" i="4"/>
  <c r="J79" i="4"/>
  <c r="I79" i="4"/>
  <c r="F79" i="4"/>
  <c r="E79" i="4"/>
  <c r="D79" i="4"/>
  <c r="G78" i="4"/>
  <c r="G77" i="4"/>
  <c r="G76" i="4"/>
  <c r="G75" i="4"/>
  <c r="G74" i="4"/>
  <c r="G72" i="4"/>
  <c r="L69" i="4"/>
  <c r="K69" i="4"/>
  <c r="I69" i="4"/>
  <c r="H69" i="4"/>
  <c r="F69" i="4"/>
  <c r="E69" i="4"/>
  <c r="D69" i="4"/>
  <c r="G64" i="4"/>
  <c r="K58" i="4"/>
  <c r="J58" i="4"/>
  <c r="I58" i="4"/>
  <c r="H58" i="4"/>
  <c r="G58" i="4"/>
  <c r="F58" i="4"/>
  <c r="E58" i="4"/>
  <c r="D58" i="4"/>
  <c r="E47" i="4"/>
  <c r="D47" i="4"/>
  <c r="F35" i="4"/>
  <c r="E35" i="4"/>
  <c r="D35" i="4"/>
  <c r="G34" i="4"/>
  <c r="G33" i="4"/>
  <c r="G32" i="4"/>
  <c r="G31" i="4"/>
  <c r="G30" i="4"/>
  <c r="G28" i="4"/>
  <c r="O24" i="4"/>
  <c r="N24" i="4"/>
  <c r="M24" i="4"/>
  <c r="L24" i="4"/>
  <c r="K24" i="4"/>
  <c r="J24" i="4"/>
  <c r="I24" i="4"/>
  <c r="H24" i="4"/>
  <c r="F24" i="4"/>
  <c r="E24" i="4"/>
  <c r="D24" i="4"/>
  <c r="G23" i="4"/>
  <c r="G22" i="4"/>
  <c r="G21" i="4"/>
  <c r="G20" i="4"/>
  <c r="G19" i="4"/>
  <c r="G17" i="4"/>
  <c r="J172" i="4" l="1"/>
  <c r="G185" i="4"/>
  <c r="K172" i="4"/>
  <c r="G24" i="4"/>
  <c r="G132" i="4"/>
  <c r="G137" i="4" s="1"/>
  <c r="I151" i="4"/>
  <c r="K185" i="4"/>
  <c r="K183" i="2"/>
  <c r="K188" i="2" s="1"/>
  <c r="G35" i="4"/>
  <c r="G162" i="4"/>
  <c r="G196" i="4"/>
  <c r="G69" i="4"/>
  <c r="G67" i="2"/>
  <c r="G72" i="2" s="1"/>
  <c r="G79" i="4"/>
  <c r="E214" i="4"/>
  <c r="L191" i="4"/>
  <c r="L196" i="4" l="1"/>
  <c r="I219" i="6"/>
  <c r="H219" i="6"/>
  <c r="G219" i="6"/>
  <c r="F219" i="6"/>
  <c r="E219" i="6"/>
  <c r="L209" i="6"/>
  <c r="K209" i="6"/>
  <c r="J209" i="6"/>
  <c r="I209" i="6"/>
  <c r="H209" i="6"/>
  <c r="G209" i="6"/>
  <c r="F209" i="6"/>
  <c r="E209" i="6"/>
  <c r="D209" i="6"/>
  <c r="L196" i="6"/>
  <c r="K196" i="6"/>
  <c r="J196" i="6"/>
  <c r="I196" i="6"/>
  <c r="H196" i="6"/>
  <c r="F196" i="6"/>
  <c r="E196" i="6"/>
  <c r="D196" i="6"/>
  <c r="G195" i="6"/>
  <c r="G194" i="6"/>
  <c r="G193" i="6"/>
  <c r="G192" i="6"/>
  <c r="G191" i="6"/>
  <c r="G189" i="6"/>
  <c r="O185" i="6"/>
  <c r="N185" i="6"/>
  <c r="M185" i="6"/>
  <c r="L185" i="6"/>
  <c r="K185" i="6"/>
  <c r="J185" i="6"/>
  <c r="I185" i="6"/>
  <c r="H185" i="6"/>
  <c r="F185" i="6"/>
  <c r="E185" i="6"/>
  <c r="D185" i="6"/>
  <c r="G184" i="6"/>
  <c r="G183" i="6"/>
  <c r="G182" i="6"/>
  <c r="G181" i="6"/>
  <c r="G180" i="6"/>
  <c r="G178" i="6"/>
  <c r="I172" i="6"/>
  <c r="H172" i="6"/>
  <c r="G172" i="6"/>
  <c r="F172" i="6"/>
  <c r="E172" i="6"/>
  <c r="D172" i="6"/>
  <c r="K171" i="6"/>
  <c r="J171" i="6"/>
  <c r="K170" i="6"/>
  <c r="J170" i="6"/>
  <c r="K169" i="6"/>
  <c r="J169" i="6"/>
  <c r="K168" i="6"/>
  <c r="J168" i="6"/>
  <c r="K167" i="6"/>
  <c r="J167" i="6"/>
  <c r="K166" i="6"/>
  <c r="J166" i="6"/>
  <c r="K165" i="6"/>
  <c r="J165" i="6"/>
  <c r="J162" i="6"/>
  <c r="I162" i="6"/>
  <c r="H162" i="6"/>
  <c r="F162" i="6"/>
  <c r="E162" i="6"/>
  <c r="D162" i="6"/>
  <c r="G161" i="6"/>
  <c r="G160" i="6"/>
  <c r="G159" i="6"/>
  <c r="G158" i="6"/>
  <c r="G157" i="6"/>
  <c r="G156" i="6"/>
  <c r="G155" i="6"/>
  <c r="N151" i="6"/>
  <c r="M151" i="6"/>
  <c r="L151" i="6"/>
  <c r="K151" i="6"/>
  <c r="J151" i="6"/>
  <c r="H151" i="6"/>
  <c r="G151" i="6"/>
  <c r="F151" i="6"/>
  <c r="E151" i="6"/>
  <c r="D151" i="6"/>
  <c r="I150" i="6"/>
  <c r="I149" i="6"/>
  <c r="I148" i="6"/>
  <c r="I147" i="6"/>
  <c r="I146" i="6"/>
  <c r="I145" i="6"/>
  <c r="I144" i="6"/>
  <c r="F137" i="6"/>
  <c r="E137" i="6"/>
  <c r="D137" i="6"/>
  <c r="G136" i="6"/>
  <c r="G135" i="6"/>
  <c r="G134" i="6"/>
  <c r="G133" i="6"/>
  <c r="G132" i="6"/>
  <c r="L127" i="6"/>
  <c r="K127" i="6"/>
  <c r="I127" i="6"/>
  <c r="H127" i="6"/>
  <c r="G127" i="6"/>
  <c r="F127" i="6"/>
  <c r="E127" i="6"/>
  <c r="D127" i="6"/>
  <c r="L116" i="6"/>
  <c r="K116" i="6"/>
  <c r="I116" i="6"/>
  <c r="H116" i="6"/>
  <c r="G116" i="6"/>
  <c r="F116" i="6"/>
  <c r="E116" i="6"/>
  <c r="D116" i="6"/>
  <c r="M105" i="6"/>
  <c r="L105" i="6"/>
  <c r="K105" i="6"/>
  <c r="J105" i="6"/>
  <c r="I105" i="6"/>
  <c r="H105" i="6"/>
  <c r="G105" i="6"/>
  <c r="F105" i="6"/>
  <c r="E105" i="6"/>
  <c r="D105" i="6"/>
  <c r="K92" i="6"/>
  <c r="J92" i="6"/>
  <c r="I92" i="6"/>
  <c r="H92" i="6"/>
  <c r="G92" i="6"/>
  <c r="F92" i="6"/>
  <c r="E92" i="6"/>
  <c r="D92" i="6"/>
  <c r="O79" i="6"/>
  <c r="N79" i="6"/>
  <c r="M79" i="6"/>
  <c r="L79" i="6"/>
  <c r="K79" i="6"/>
  <c r="J79" i="6"/>
  <c r="I79" i="6"/>
  <c r="F79" i="6"/>
  <c r="E79" i="6"/>
  <c r="D79" i="6"/>
  <c r="G78" i="6"/>
  <c r="G77" i="6"/>
  <c r="G76" i="6"/>
  <c r="G75" i="6"/>
  <c r="G74" i="6"/>
  <c r="G72" i="6"/>
  <c r="L69" i="6"/>
  <c r="K69" i="6"/>
  <c r="I69" i="6"/>
  <c r="H69" i="6"/>
  <c r="G69" i="6"/>
  <c r="F69" i="6"/>
  <c r="E69" i="6"/>
  <c r="D69" i="6"/>
  <c r="K58" i="6"/>
  <c r="J58" i="6"/>
  <c r="I58" i="6"/>
  <c r="H58" i="6"/>
  <c r="G58" i="6"/>
  <c r="F58" i="6"/>
  <c r="E58" i="6"/>
  <c r="D58" i="6"/>
  <c r="E47" i="6"/>
  <c r="D47" i="6"/>
  <c r="F35" i="6"/>
  <c r="E35" i="6"/>
  <c r="G35" i="6" s="1"/>
  <c r="D35" i="6"/>
  <c r="G34" i="6"/>
  <c r="G33" i="6"/>
  <c r="G32" i="6"/>
  <c r="G31" i="6"/>
  <c r="G30" i="6"/>
  <c r="G28" i="6"/>
  <c r="O24" i="6"/>
  <c r="N24" i="6"/>
  <c r="M24" i="6"/>
  <c r="L24" i="6"/>
  <c r="K24" i="6"/>
  <c r="J24" i="6"/>
  <c r="I24" i="6"/>
  <c r="H24" i="6"/>
  <c r="G24" i="6"/>
  <c r="F24" i="6"/>
  <c r="E24" i="6"/>
  <c r="D24" i="6"/>
  <c r="G23" i="6"/>
  <c r="G22" i="6"/>
  <c r="G21" i="6"/>
  <c r="G20" i="6"/>
  <c r="G19" i="6"/>
  <c r="G17" i="6"/>
  <c r="G79" i="6" l="1"/>
  <c r="G162" i="6"/>
  <c r="J172" i="6"/>
  <c r="K172" i="6"/>
  <c r="G185" i="6"/>
  <c r="G196" i="6"/>
  <c r="G137" i="6"/>
  <c r="I151" i="6"/>
  <c r="I219" i="7"/>
  <c r="H219" i="7"/>
  <c r="G219" i="7"/>
  <c r="F219" i="7"/>
  <c r="E219" i="7"/>
  <c r="E213" i="7"/>
  <c r="L209" i="7"/>
  <c r="K209" i="7"/>
  <c r="J209" i="7"/>
  <c r="I209" i="7"/>
  <c r="H209" i="7"/>
  <c r="G209" i="7"/>
  <c r="F209" i="7"/>
  <c r="E209" i="7"/>
  <c r="D209" i="7"/>
  <c r="L196" i="7"/>
  <c r="K196" i="7"/>
  <c r="J196" i="7"/>
  <c r="I196" i="7"/>
  <c r="H196" i="7"/>
  <c r="F196" i="7"/>
  <c r="E196" i="7"/>
  <c r="D196" i="7"/>
  <c r="G195" i="7"/>
  <c r="G194" i="7"/>
  <c r="G193" i="7"/>
  <c r="G192" i="7"/>
  <c r="G191" i="7"/>
  <c r="G190" i="7"/>
  <c r="G189" i="7"/>
  <c r="O185" i="7"/>
  <c r="N185" i="7"/>
  <c r="M185" i="7"/>
  <c r="L185" i="7"/>
  <c r="K185" i="7"/>
  <c r="J185" i="7"/>
  <c r="I185" i="7"/>
  <c r="H185" i="7"/>
  <c r="F185" i="7"/>
  <c r="E185" i="7"/>
  <c r="D185" i="7"/>
  <c r="G184" i="7"/>
  <c r="G183" i="7"/>
  <c r="G182" i="7"/>
  <c r="G181" i="7"/>
  <c r="G180" i="7"/>
  <c r="G179" i="7"/>
  <c r="G178" i="7"/>
  <c r="I172" i="7"/>
  <c r="H172" i="7"/>
  <c r="G172" i="7"/>
  <c r="F172" i="7"/>
  <c r="E172" i="7"/>
  <c r="D172" i="7"/>
  <c r="K171" i="7"/>
  <c r="J171" i="7"/>
  <c r="K170" i="7"/>
  <c r="J170" i="7"/>
  <c r="K169" i="7"/>
  <c r="J169" i="7"/>
  <c r="K168" i="7"/>
  <c r="J168" i="7"/>
  <c r="K167" i="7"/>
  <c r="J167" i="7"/>
  <c r="K166" i="7"/>
  <c r="J166" i="7"/>
  <c r="K165" i="7"/>
  <c r="J165" i="7"/>
  <c r="J162" i="7"/>
  <c r="I162" i="7"/>
  <c r="H162" i="7"/>
  <c r="F162" i="7"/>
  <c r="E162" i="7"/>
  <c r="D162" i="7"/>
  <c r="G161" i="7"/>
  <c r="G160" i="7"/>
  <c r="G159" i="7"/>
  <c r="G158" i="7"/>
  <c r="G157" i="7"/>
  <c r="G156" i="7"/>
  <c r="G155" i="7"/>
  <c r="N151" i="7"/>
  <c r="M151" i="7"/>
  <c r="L151" i="7"/>
  <c r="K151" i="7"/>
  <c r="J151" i="7"/>
  <c r="H151" i="7"/>
  <c r="G151" i="7"/>
  <c r="F151" i="7"/>
  <c r="E151" i="7"/>
  <c r="D151" i="7"/>
  <c r="I150" i="7"/>
  <c r="I149" i="7"/>
  <c r="I148" i="7"/>
  <c r="I147" i="7"/>
  <c r="I146" i="7"/>
  <c r="I145" i="7"/>
  <c r="I144" i="7"/>
  <c r="F137" i="7"/>
  <c r="E137" i="7"/>
  <c r="D137" i="7"/>
  <c r="G136" i="7"/>
  <c r="G135" i="7"/>
  <c r="G134" i="7"/>
  <c r="G132" i="7"/>
  <c r="L127" i="7"/>
  <c r="K127" i="7"/>
  <c r="I127" i="7"/>
  <c r="H127" i="7"/>
  <c r="G127" i="7"/>
  <c r="F127" i="7"/>
  <c r="E127" i="7"/>
  <c r="D127" i="7"/>
  <c r="L116" i="7"/>
  <c r="K116" i="7"/>
  <c r="I116" i="7"/>
  <c r="H116" i="7"/>
  <c r="G116" i="7"/>
  <c r="F116" i="7"/>
  <c r="E116" i="7"/>
  <c r="D116" i="7"/>
  <c r="M105" i="7"/>
  <c r="L105" i="7"/>
  <c r="K105" i="7"/>
  <c r="J105" i="7"/>
  <c r="I105" i="7"/>
  <c r="H105" i="7"/>
  <c r="G105" i="7"/>
  <c r="F105" i="7"/>
  <c r="E105" i="7"/>
  <c r="D105" i="7"/>
  <c r="K92" i="7"/>
  <c r="J92" i="7"/>
  <c r="I92" i="7"/>
  <c r="H92" i="7"/>
  <c r="G92" i="7"/>
  <c r="F92" i="7"/>
  <c r="E92" i="7"/>
  <c r="D92" i="7"/>
  <c r="O79" i="7"/>
  <c r="N79" i="7"/>
  <c r="M79" i="7"/>
  <c r="L79" i="7"/>
  <c r="K79" i="7"/>
  <c r="J79" i="7"/>
  <c r="I79" i="7"/>
  <c r="F79" i="7"/>
  <c r="E79" i="7"/>
  <c r="D79" i="7"/>
  <c r="G78" i="7"/>
  <c r="G77" i="7"/>
  <c r="G76" i="7"/>
  <c r="G75" i="7"/>
  <c r="G74" i="7"/>
  <c r="G72" i="7"/>
  <c r="L69" i="7"/>
  <c r="K69" i="7"/>
  <c r="I69" i="7"/>
  <c r="H69" i="7"/>
  <c r="G69" i="7"/>
  <c r="F69" i="7"/>
  <c r="E69" i="7"/>
  <c r="D69" i="7"/>
  <c r="K58" i="7"/>
  <c r="J58" i="7"/>
  <c r="I58" i="7"/>
  <c r="H58" i="7"/>
  <c r="G58" i="7"/>
  <c r="F58" i="7"/>
  <c r="E58" i="7"/>
  <c r="D58" i="7"/>
  <c r="E47" i="7"/>
  <c r="D47" i="7"/>
  <c r="F35" i="7"/>
  <c r="E35" i="7"/>
  <c r="D35" i="7"/>
  <c r="G34" i="7"/>
  <c r="G33" i="7"/>
  <c r="G32" i="7"/>
  <c r="G31" i="7"/>
  <c r="G30" i="7"/>
  <c r="G28" i="7"/>
  <c r="O24" i="7"/>
  <c r="N24" i="7"/>
  <c r="M24" i="7"/>
  <c r="L24" i="7"/>
  <c r="K24" i="7"/>
  <c r="J24" i="7"/>
  <c r="I24" i="7"/>
  <c r="H24" i="7"/>
  <c r="F24" i="7"/>
  <c r="E24" i="7"/>
  <c r="D24" i="7"/>
  <c r="G23" i="7"/>
  <c r="G22" i="7"/>
  <c r="G21" i="7"/>
  <c r="G20" i="7"/>
  <c r="G19" i="7"/>
  <c r="G17" i="7"/>
  <c r="I151" i="7" l="1"/>
  <c r="G24" i="7"/>
  <c r="G35" i="7"/>
  <c r="G79" i="7"/>
  <c r="G162" i="7"/>
  <c r="K172" i="7"/>
  <c r="G185" i="7"/>
  <c r="G196" i="7"/>
  <c r="G137" i="7"/>
  <c r="J172" i="7"/>
  <c r="I219" i="8"/>
  <c r="H219" i="8"/>
  <c r="G219" i="8"/>
  <c r="D219" i="8"/>
  <c r="F218" i="8"/>
  <c r="F219" i="8" s="1"/>
  <c r="E216" i="8"/>
  <c r="E214" i="8"/>
  <c r="F213" i="8"/>
  <c r="L209" i="8"/>
  <c r="K209" i="8"/>
  <c r="J209" i="8"/>
  <c r="I209" i="8"/>
  <c r="H209" i="8"/>
  <c r="G209" i="8"/>
  <c r="F209" i="8"/>
  <c r="E209" i="8"/>
  <c r="D209" i="8"/>
  <c r="K196" i="8"/>
  <c r="J196" i="8"/>
  <c r="I196" i="8"/>
  <c r="H196" i="8"/>
  <c r="F196" i="8"/>
  <c r="E196" i="8"/>
  <c r="D196" i="8"/>
  <c r="G195" i="8"/>
  <c r="G194" i="8"/>
  <c r="G193" i="8"/>
  <c r="G192" i="8"/>
  <c r="L191" i="8"/>
  <c r="D191" i="8"/>
  <c r="G190" i="8"/>
  <c r="G189" i="8"/>
  <c r="O185" i="8"/>
  <c r="N185" i="8"/>
  <c r="M185" i="8"/>
  <c r="L185" i="8"/>
  <c r="K185" i="8"/>
  <c r="J185" i="8"/>
  <c r="I185" i="8"/>
  <c r="H185" i="8"/>
  <c r="F185" i="8"/>
  <c r="E185" i="8"/>
  <c r="D185" i="8"/>
  <c r="G184" i="8"/>
  <c r="G183" i="8"/>
  <c r="G182" i="8"/>
  <c r="G181" i="8"/>
  <c r="G180" i="8"/>
  <c r="G179" i="8"/>
  <c r="G178" i="8"/>
  <c r="I172" i="8"/>
  <c r="H172" i="8"/>
  <c r="G172" i="8"/>
  <c r="F172" i="8"/>
  <c r="E172" i="8"/>
  <c r="D172" i="8"/>
  <c r="K171" i="8"/>
  <c r="J171" i="8"/>
  <c r="K170" i="8"/>
  <c r="J170" i="8"/>
  <c r="K169" i="8"/>
  <c r="J169" i="8"/>
  <c r="K168" i="8"/>
  <c r="J168" i="8"/>
  <c r="K167" i="8"/>
  <c r="J167" i="8"/>
  <c r="K166" i="8"/>
  <c r="J166" i="8"/>
  <c r="J172" i="8" s="1"/>
  <c r="K165" i="8"/>
  <c r="J165" i="8"/>
  <c r="J162" i="8"/>
  <c r="I162" i="8"/>
  <c r="H162" i="8"/>
  <c r="F162" i="8"/>
  <c r="E162" i="8"/>
  <c r="D162" i="8"/>
  <c r="G161" i="8"/>
  <c r="G160" i="8"/>
  <c r="G159" i="8"/>
  <c r="G157" i="8"/>
  <c r="G156" i="8"/>
  <c r="G155" i="8"/>
  <c r="N151" i="8"/>
  <c r="M151" i="8"/>
  <c r="L151" i="8"/>
  <c r="K151" i="8"/>
  <c r="J151" i="8"/>
  <c r="H151" i="8"/>
  <c r="G151" i="8"/>
  <c r="F151" i="8"/>
  <c r="E151" i="8"/>
  <c r="D151" i="8"/>
  <c r="I150" i="8"/>
  <c r="I149" i="8"/>
  <c r="I148" i="8"/>
  <c r="I147" i="8"/>
  <c r="I146" i="8"/>
  <c r="I145" i="8"/>
  <c r="I144" i="8"/>
  <c r="F137" i="8"/>
  <c r="E137" i="8"/>
  <c r="G136" i="8"/>
  <c r="G135" i="8"/>
  <c r="G134" i="8"/>
  <c r="D133" i="8"/>
  <c r="G133" i="8" s="1"/>
  <c r="D132" i="8"/>
  <c r="G131" i="8"/>
  <c r="L127" i="8"/>
  <c r="K127" i="8"/>
  <c r="I127" i="8"/>
  <c r="H127" i="8"/>
  <c r="G127" i="8"/>
  <c r="F127" i="8"/>
  <c r="E127" i="8"/>
  <c r="D127" i="8"/>
  <c r="L116" i="8"/>
  <c r="K116" i="8"/>
  <c r="I116" i="8"/>
  <c r="H116" i="8"/>
  <c r="G116" i="8"/>
  <c r="F116" i="8"/>
  <c r="E116" i="8"/>
  <c r="D116" i="8"/>
  <c r="M105" i="8"/>
  <c r="L105" i="8"/>
  <c r="K105" i="8"/>
  <c r="J105" i="8"/>
  <c r="I105" i="8"/>
  <c r="H105" i="8"/>
  <c r="G105" i="8"/>
  <c r="F105" i="8"/>
  <c r="E105" i="8"/>
  <c r="D105" i="8"/>
  <c r="K92" i="8"/>
  <c r="J92" i="8"/>
  <c r="I92" i="8"/>
  <c r="H92" i="8"/>
  <c r="G92" i="8"/>
  <c r="F92" i="8"/>
  <c r="E92" i="8"/>
  <c r="D92" i="8"/>
  <c r="N79" i="8"/>
  <c r="M79" i="8"/>
  <c r="L79" i="8"/>
  <c r="K79" i="8"/>
  <c r="J79" i="8"/>
  <c r="I79" i="8"/>
  <c r="F79" i="8"/>
  <c r="E79" i="8"/>
  <c r="G78" i="8"/>
  <c r="G77" i="8"/>
  <c r="G76" i="8"/>
  <c r="G75" i="8"/>
  <c r="O74" i="8"/>
  <c r="D74" i="8"/>
  <c r="G73" i="8"/>
  <c r="G72" i="8"/>
  <c r="K69" i="8"/>
  <c r="I69" i="8"/>
  <c r="H69" i="8"/>
  <c r="G69" i="8"/>
  <c r="F69" i="8"/>
  <c r="E69" i="8"/>
  <c r="D69" i="8"/>
  <c r="L64" i="8"/>
  <c r="K58" i="8"/>
  <c r="J58" i="8"/>
  <c r="I58" i="8"/>
  <c r="H58" i="8"/>
  <c r="G58" i="8"/>
  <c r="F58" i="8"/>
  <c r="E58" i="8"/>
  <c r="D58" i="8"/>
  <c r="E47" i="8"/>
  <c r="D47" i="8"/>
  <c r="F35" i="8"/>
  <c r="E35" i="8"/>
  <c r="G34" i="8"/>
  <c r="G33" i="8"/>
  <c r="G32" i="8"/>
  <c r="G31" i="8"/>
  <c r="E30" i="8"/>
  <c r="E33" i="2" s="1"/>
  <c r="E38" i="2" s="1"/>
  <c r="D30" i="8"/>
  <c r="G29" i="8"/>
  <c r="G28" i="8"/>
  <c r="O24" i="8"/>
  <c r="N24" i="8"/>
  <c r="M24" i="8"/>
  <c r="L24" i="8"/>
  <c r="K24" i="8"/>
  <c r="J24" i="8"/>
  <c r="I24" i="8"/>
  <c r="H24" i="8"/>
  <c r="F24" i="8"/>
  <c r="E24" i="8"/>
  <c r="D24" i="8"/>
  <c r="G23" i="8"/>
  <c r="G22" i="8"/>
  <c r="G21" i="8"/>
  <c r="G20" i="8"/>
  <c r="G19" i="8"/>
  <c r="G17" i="8"/>
  <c r="G24" i="8" l="1"/>
  <c r="I151" i="8"/>
  <c r="G74" i="8"/>
  <c r="G79" i="8" s="1"/>
  <c r="K172" i="8"/>
  <c r="L196" i="8"/>
  <c r="L69" i="8"/>
  <c r="O79" i="8"/>
  <c r="D137" i="8"/>
  <c r="D135" i="2"/>
  <c r="G30" i="8"/>
  <c r="G162" i="8"/>
  <c r="G185" i="8"/>
  <c r="G191" i="8"/>
  <c r="G196" i="8" s="1"/>
  <c r="E213" i="8"/>
  <c r="E219" i="8"/>
  <c r="G132" i="8"/>
  <c r="G137" i="8" s="1"/>
  <c r="D35" i="8"/>
  <c r="G35" i="8" s="1"/>
  <c r="D79" i="8"/>
  <c r="I219" i="9" l="1"/>
  <c r="H219" i="9"/>
  <c r="G219" i="9"/>
  <c r="D219" i="9"/>
  <c r="F218" i="9"/>
  <c r="E218" i="9"/>
  <c r="F217" i="9"/>
  <c r="F214" i="9"/>
  <c r="F213" i="9" s="1"/>
  <c r="E214" i="9"/>
  <c r="L209" i="9"/>
  <c r="K209" i="9"/>
  <c r="J209" i="9"/>
  <c r="I209" i="9"/>
  <c r="H209" i="9"/>
  <c r="G209" i="9"/>
  <c r="F209" i="9"/>
  <c r="E209" i="9"/>
  <c r="D209" i="9"/>
  <c r="L196" i="9"/>
  <c r="K196" i="9"/>
  <c r="J196" i="9"/>
  <c r="I196" i="9"/>
  <c r="H196" i="9"/>
  <c r="F196" i="9"/>
  <c r="E196" i="9"/>
  <c r="G195" i="9"/>
  <c r="G194" i="9"/>
  <c r="G193" i="9"/>
  <c r="D192" i="9"/>
  <c r="G191" i="9"/>
  <c r="G190" i="9"/>
  <c r="G189" i="9"/>
  <c r="O185" i="9"/>
  <c r="N185" i="9"/>
  <c r="M185" i="9"/>
  <c r="K185" i="9"/>
  <c r="J185" i="9"/>
  <c r="I185" i="9"/>
  <c r="H185" i="9"/>
  <c r="F185" i="9"/>
  <c r="E185" i="9"/>
  <c r="D185" i="9"/>
  <c r="G184" i="9"/>
  <c r="G183" i="9"/>
  <c r="G182" i="9"/>
  <c r="G181" i="9"/>
  <c r="L180" i="9"/>
  <c r="H180" i="9"/>
  <c r="G180" i="9"/>
  <c r="G179" i="9"/>
  <c r="G178" i="9"/>
  <c r="G185" i="9" s="1"/>
  <c r="I172" i="9"/>
  <c r="H172" i="9"/>
  <c r="G172" i="9"/>
  <c r="F172" i="9"/>
  <c r="E172" i="9"/>
  <c r="D172" i="9"/>
  <c r="K171" i="9"/>
  <c r="J171" i="9"/>
  <c r="K170" i="9"/>
  <c r="J170" i="9"/>
  <c r="K169" i="9"/>
  <c r="J169" i="9"/>
  <c r="K168" i="9"/>
  <c r="J168" i="9"/>
  <c r="K167" i="9"/>
  <c r="J167" i="9"/>
  <c r="K166" i="9"/>
  <c r="J166" i="9"/>
  <c r="K165" i="9"/>
  <c r="J165" i="9"/>
  <c r="J172" i="9" s="1"/>
  <c r="J162" i="9"/>
  <c r="I162" i="9"/>
  <c r="H162" i="9"/>
  <c r="F162" i="9"/>
  <c r="E162" i="9"/>
  <c r="D162" i="9"/>
  <c r="G161" i="9"/>
  <c r="G160" i="9"/>
  <c r="G159" i="9"/>
  <c r="G158" i="9"/>
  <c r="G157" i="9"/>
  <c r="G156" i="9"/>
  <c r="G155" i="9"/>
  <c r="N151" i="9"/>
  <c r="M151" i="9"/>
  <c r="L151" i="9"/>
  <c r="K151" i="9"/>
  <c r="J151" i="9"/>
  <c r="H151" i="9"/>
  <c r="G151" i="9"/>
  <c r="F151" i="9"/>
  <c r="E151" i="9"/>
  <c r="D151" i="9"/>
  <c r="I150" i="9"/>
  <c r="I149" i="9"/>
  <c r="I148" i="9"/>
  <c r="I147" i="9"/>
  <c r="I146" i="9"/>
  <c r="I145" i="9"/>
  <c r="I144" i="9"/>
  <c r="I151" i="9" s="1"/>
  <c r="F137" i="9"/>
  <c r="E137" i="9"/>
  <c r="G136" i="9"/>
  <c r="G135" i="9"/>
  <c r="G134" i="9"/>
  <c r="D133" i="9"/>
  <c r="G132" i="9"/>
  <c r="G131" i="9"/>
  <c r="L127" i="9"/>
  <c r="K127" i="9"/>
  <c r="I127" i="9"/>
  <c r="H127" i="9"/>
  <c r="G127" i="9"/>
  <c r="F127" i="9"/>
  <c r="E127" i="9"/>
  <c r="D127" i="9"/>
  <c r="L116" i="9"/>
  <c r="K116" i="9"/>
  <c r="I116" i="9"/>
  <c r="H116" i="9"/>
  <c r="G116" i="9"/>
  <c r="F116" i="9"/>
  <c r="E116" i="9"/>
  <c r="D116" i="9"/>
  <c r="M105" i="9"/>
  <c r="L105" i="9"/>
  <c r="K105" i="9"/>
  <c r="J105" i="9"/>
  <c r="I105" i="9"/>
  <c r="H105" i="9"/>
  <c r="G105" i="9"/>
  <c r="F105" i="9"/>
  <c r="E105" i="9"/>
  <c r="D105" i="9"/>
  <c r="K92" i="9"/>
  <c r="J92" i="9"/>
  <c r="I92" i="9"/>
  <c r="H92" i="9"/>
  <c r="G92" i="9"/>
  <c r="F92" i="9"/>
  <c r="E92" i="9"/>
  <c r="D92" i="9"/>
  <c r="O79" i="9"/>
  <c r="N79" i="9"/>
  <c r="M79" i="9"/>
  <c r="L79" i="9"/>
  <c r="J79" i="9"/>
  <c r="I79" i="9"/>
  <c r="F79" i="9"/>
  <c r="E79" i="9"/>
  <c r="D79" i="9"/>
  <c r="G78" i="9"/>
  <c r="G77" i="9"/>
  <c r="G76" i="9"/>
  <c r="G75" i="9"/>
  <c r="K74" i="9"/>
  <c r="K77" i="2" s="1"/>
  <c r="K82" i="2" s="1"/>
  <c r="G74" i="9"/>
  <c r="G73" i="9"/>
  <c r="G72" i="9"/>
  <c r="K69" i="9"/>
  <c r="I69" i="9"/>
  <c r="H69" i="9"/>
  <c r="G69" i="9"/>
  <c r="F69" i="9"/>
  <c r="E69" i="9"/>
  <c r="L65" i="9"/>
  <c r="L68" i="2" s="1"/>
  <c r="D65" i="9"/>
  <c r="L64" i="9"/>
  <c r="D64" i="9"/>
  <c r="K58" i="9"/>
  <c r="J58" i="9"/>
  <c r="I58" i="9"/>
  <c r="H58" i="9"/>
  <c r="G58" i="9"/>
  <c r="F58" i="9"/>
  <c r="E58" i="9"/>
  <c r="D58" i="9"/>
  <c r="E47" i="9"/>
  <c r="D47" i="9"/>
  <c r="F35" i="9"/>
  <c r="E35" i="9"/>
  <c r="D35" i="9"/>
  <c r="G34" i="9"/>
  <c r="G33" i="9"/>
  <c r="G32" i="9"/>
  <c r="G31" i="9"/>
  <c r="G30" i="9"/>
  <c r="G29" i="9"/>
  <c r="G28" i="9"/>
  <c r="O24" i="9"/>
  <c r="N24" i="9"/>
  <c r="M24" i="9"/>
  <c r="L24" i="9"/>
  <c r="K24" i="9"/>
  <c r="J24" i="9"/>
  <c r="I24" i="9"/>
  <c r="H24" i="9"/>
  <c r="F24" i="9"/>
  <c r="E24" i="9"/>
  <c r="D24" i="9"/>
  <c r="G23" i="9"/>
  <c r="G22" i="9"/>
  <c r="G21" i="9"/>
  <c r="G20" i="9"/>
  <c r="G19" i="9"/>
  <c r="G18" i="9"/>
  <c r="G17" i="9"/>
  <c r="G79" i="9" l="1"/>
  <c r="K172" i="9"/>
  <c r="G24" i="9"/>
  <c r="K79" i="9"/>
  <c r="G162" i="9"/>
  <c r="E219" i="9"/>
  <c r="G133" i="9"/>
  <c r="G137" i="9" s="1"/>
  <c r="D136" i="2"/>
  <c r="L185" i="9"/>
  <c r="L183" i="2"/>
  <c r="L188" i="2" s="1"/>
  <c r="D69" i="9"/>
  <c r="D68" i="2"/>
  <c r="L69" i="9"/>
  <c r="F219" i="9"/>
  <c r="G35" i="9"/>
  <c r="G192" i="9"/>
  <c r="G196" i="9" s="1"/>
  <c r="D196" i="9"/>
  <c r="D137" i="9"/>
  <c r="E213" i="9"/>
  <c r="I219" i="10"/>
  <c r="H219" i="10"/>
  <c r="G219" i="10"/>
  <c r="F219" i="10"/>
  <c r="D219" i="10"/>
  <c r="F213" i="10"/>
  <c r="E213" i="10"/>
  <c r="E219" i="10" s="1"/>
  <c r="L209" i="10"/>
  <c r="K209" i="10"/>
  <c r="J209" i="10"/>
  <c r="I209" i="10"/>
  <c r="H209" i="10"/>
  <c r="G209" i="10"/>
  <c r="F209" i="10"/>
  <c r="E209" i="10"/>
  <c r="D209" i="10"/>
  <c r="L196" i="10"/>
  <c r="K196" i="10"/>
  <c r="J196" i="10"/>
  <c r="I196" i="10"/>
  <c r="H196" i="10"/>
  <c r="F196" i="10"/>
  <c r="E196" i="10"/>
  <c r="D196" i="10"/>
  <c r="G195" i="10"/>
  <c r="G194" i="10"/>
  <c r="G193" i="10"/>
  <c r="G192" i="10"/>
  <c r="G191" i="10"/>
  <c r="G190" i="10"/>
  <c r="G189" i="10"/>
  <c r="G196" i="10" s="1"/>
  <c r="O185" i="10"/>
  <c r="N185" i="10"/>
  <c r="M185" i="10"/>
  <c r="L185" i="10"/>
  <c r="K185" i="10"/>
  <c r="J185" i="10"/>
  <c r="I185" i="10"/>
  <c r="H185" i="10"/>
  <c r="F185" i="10"/>
  <c r="E185" i="10"/>
  <c r="D185" i="10"/>
  <c r="G184" i="10"/>
  <c r="G183" i="10"/>
  <c r="G182" i="10"/>
  <c r="G181" i="10"/>
  <c r="G180" i="10"/>
  <c r="G179" i="10"/>
  <c r="G178" i="10"/>
  <c r="I172" i="10"/>
  <c r="H172" i="10"/>
  <c r="G172" i="10"/>
  <c r="F172" i="10"/>
  <c r="E172" i="10"/>
  <c r="D172" i="10"/>
  <c r="K171" i="10"/>
  <c r="J171" i="10"/>
  <c r="K170" i="10"/>
  <c r="J170" i="10"/>
  <c r="K169" i="10"/>
  <c r="J169" i="10"/>
  <c r="K168" i="10"/>
  <c r="J168" i="10"/>
  <c r="K167" i="10"/>
  <c r="J167" i="10"/>
  <c r="K166" i="10"/>
  <c r="J166" i="10"/>
  <c r="K165" i="10"/>
  <c r="J165" i="10"/>
  <c r="J162" i="10"/>
  <c r="I162" i="10"/>
  <c r="H162" i="10"/>
  <c r="F162" i="10"/>
  <c r="E162" i="10"/>
  <c r="D162" i="10"/>
  <c r="G161" i="10"/>
  <c r="G160" i="10"/>
  <c r="G159" i="10"/>
  <c r="G158" i="10"/>
  <c r="G157" i="10"/>
  <c r="G156" i="10"/>
  <c r="G155" i="10"/>
  <c r="N151" i="10"/>
  <c r="M151" i="10"/>
  <c r="L151" i="10"/>
  <c r="K151" i="10"/>
  <c r="J151" i="10"/>
  <c r="H151" i="10"/>
  <c r="G151" i="10"/>
  <c r="F151" i="10"/>
  <c r="E151" i="10"/>
  <c r="D151" i="10"/>
  <c r="I150" i="10"/>
  <c r="I149" i="10"/>
  <c r="I148" i="10"/>
  <c r="I147" i="10"/>
  <c r="I146" i="10"/>
  <c r="I145" i="10"/>
  <c r="I144" i="10"/>
  <c r="F137" i="10"/>
  <c r="E137" i="10"/>
  <c r="D137" i="10"/>
  <c r="G136" i="10"/>
  <c r="G135" i="10"/>
  <c r="G134" i="10"/>
  <c r="G133" i="10"/>
  <c r="G132" i="10"/>
  <c r="G131" i="10"/>
  <c r="L127" i="10"/>
  <c r="K127" i="10"/>
  <c r="I127" i="10"/>
  <c r="H127" i="10"/>
  <c r="G127" i="10"/>
  <c r="F127" i="10"/>
  <c r="E127" i="10"/>
  <c r="D127" i="10"/>
  <c r="L116" i="10"/>
  <c r="K116" i="10"/>
  <c r="I116" i="10"/>
  <c r="H116" i="10"/>
  <c r="G116" i="10"/>
  <c r="F116" i="10"/>
  <c r="E116" i="10"/>
  <c r="D116" i="10"/>
  <c r="M105" i="10"/>
  <c r="L105" i="10"/>
  <c r="K105" i="10"/>
  <c r="J105" i="10"/>
  <c r="I105" i="10"/>
  <c r="H105" i="10"/>
  <c r="G105" i="10"/>
  <c r="F105" i="10"/>
  <c r="E105" i="10"/>
  <c r="D105" i="10"/>
  <c r="K92" i="10"/>
  <c r="J92" i="10"/>
  <c r="I92" i="10"/>
  <c r="H92" i="10"/>
  <c r="G92" i="10"/>
  <c r="F92" i="10"/>
  <c r="E92" i="10"/>
  <c r="D92" i="10"/>
  <c r="O79" i="10"/>
  <c r="N79" i="10"/>
  <c r="M79" i="10"/>
  <c r="L79" i="10"/>
  <c r="K79" i="10"/>
  <c r="J79" i="10"/>
  <c r="I79" i="10"/>
  <c r="F79" i="10"/>
  <c r="E79" i="10"/>
  <c r="D79" i="10"/>
  <c r="G78" i="10"/>
  <c r="G77" i="10"/>
  <c r="G76" i="10"/>
  <c r="G75" i="10"/>
  <c r="G74" i="10"/>
  <c r="G73" i="10"/>
  <c r="G72" i="10"/>
  <c r="L69" i="10"/>
  <c r="K69" i="10"/>
  <c r="I69" i="10"/>
  <c r="H69" i="10"/>
  <c r="G69" i="10"/>
  <c r="F69" i="10"/>
  <c r="E69" i="10"/>
  <c r="D69" i="10"/>
  <c r="K58" i="10"/>
  <c r="J58" i="10"/>
  <c r="I58" i="10"/>
  <c r="H58" i="10"/>
  <c r="G58" i="10"/>
  <c r="F58" i="10"/>
  <c r="E58" i="10"/>
  <c r="D58" i="10"/>
  <c r="E47" i="10"/>
  <c r="D47" i="10"/>
  <c r="F35" i="10"/>
  <c r="E35" i="10"/>
  <c r="D35" i="10"/>
  <c r="G34" i="10"/>
  <c r="G33" i="10"/>
  <c r="G32" i="10"/>
  <c r="G31" i="10"/>
  <c r="G30" i="10"/>
  <c r="G29" i="10"/>
  <c r="G28" i="10"/>
  <c r="O24" i="10"/>
  <c r="N24" i="10"/>
  <c r="M24" i="10"/>
  <c r="L24" i="10"/>
  <c r="K24" i="10"/>
  <c r="J24" i="10"/>
  <c r="I24" i="10"/>
  <c r="H24" i="10"/>
  <c r="F24" i="10"/>
  <c r="E24" i="10"/>
  <c r="D24" i="10"/>
  <c r="G23" i="10"/>
  <c r="G22" i="10"/>
  <c r="G21" i="10"/>
  <c r="G20" i="10"/>
  <c r="G19" i="10"/>
  <c r="G18" i="10"/>
  <c r="G17" i="10"/>
  <c r="G24" i="10" l="1"/>
  <c r="G35" i="10"/>
  <c r="G137" i="10"/>
  <c r="G162" i="10"/>
  <c r="K172" i="10"/>
  <c r="I151" i="10"/>
  <c r="D140" i="2"/>
  <c r="G79" i="10"/>
  <c r="J172" i="10"/>
  <c r="G185" i="10"/>
  <c r="I220" i="11"/>
  <c r="H220" i="11"/>
  <c r="G220" i="11"/>
  <c r="F220" i="11"/>
  <c r="E220" i="11"/>
  <c r="E213" i="11"/>
  <c r="L209" i="11"/>
  <c r="K209" i="11"/>
  <c r="J209" i="11"/>
  <c r="I209" i="11"/>
  <c r="H209" i="11"/>
  <c r="G209" i="11"/>
  <c r="F209" i="11"/>
  <c r="E209" i="11"/>
  <c r="D209" i="11"/>
  <c r="L196" i="11"/>
  <c r="K196" i="11"/>
  <c r="J196" i="11"/>
  <c r="I196" i="11"/>
  <c r="H196" i="11"/>
  <c r="F196" i="11"/>
  <c r="E196" i="11"/>
  <c r="D196" i="11"/>
  <c r="G195" i="11"/>
  <c r="G194" i="11"/>
  <c r="G193" i="11"/>
  <c r="G192" i="11"/>
  <c r="G191" i="11"/>
  <c r="G190" i="11"/>
  <c r="G189" i="11"/>
  <c r="O185" i="11"/>
  <c r="N185" i="11"/>
  <c r="M185" i="11"/>
  <c r="L185" i="11"/>
  <c r="K185" i="11"/>
  <c r="J185" i="11"/>
  <c r="I185" i="11"/>
  <c r="H185" i="11"/>
  <c r="F185" i="11"/>
  <c r="E185" i="11"/>
  <c r="D185" i="11"/>
  <c r="G184" i="11"/>
  <c r="G183" i="11"/>
  <c r="G182" i="11"/>
  <c r="G181" i="11"/>
  <c r="G180" i="11"/>
  <c r="G179" i="11"/>
  <c r="G178" i="11"/>
  <c r="I172" i="11"/>
  <c r="H172" i="11"/>
  <c r="G172" i="11"/>
  <c r="F172" i="11"/>
  <c r="E172" i="11"/>
  <c r="D172" i="11"/>
  <c r="K171" i="11"/>
  <c r="J171" i="11"/>
  <c r="K170" i="11"/>
  <c r="J170" i="11"/>
  <c r="K169" i="11"/>
  <c r="J169" i="11"/>
  <c r="K168" i="11"/>
  <c r="J168" i="11"/>
  <c r="K167" i="11"/>
  <c r="J167" i="11"/>
  <c r="K166" i="11"/>
  <c r="K172" i="11" s="1"/>
  <c r="J166" i="11"/>
  <c r="K165" i="11"/>
  <c r="J165" i="11"/>
  <c r="J162" i="11"/>
  <c r="I162" i="11"/>
  <c r="H162" i="11"/>
  <c r="F162" i="11"/>
  <c r="E162" i="11"/>
  <c r="D162" i="11"/>
  <c r="G161" i="11"/>
  <c r="G160" i="11"/>
  <c r="G159" i="11"/>
  <c r="G158" i="11"/>
  <c r="G157" i="11"/>
  <c r="G156" i="11"/>
  <c r="G155" i="11"/>
  <c r="G162" i="11" s="1"/>
  <c r="N151" i="11"/>
  <c r="M151" i="11"/>
  <c r="L151" i="11"/>
  <c r="K151" i="11"/>
  <c r="J151" i="11"/>
  <c r="H151" i="11"/>
  <c r="G151" i="11"/>
  <c r="F151" i="11"/>
  <c r="E151" i="11"/>
  <c r="D151" i="11"/>
  <c r="I150" i="11"/>
  <c r="I149" i="11"/>
  <c r="I148" i="11"/>
  <c r="I147" i="11"/>
  <c r="I146" i="11"/>
  <c r="I145" i="11"/>
  <c r="I144" i="11"/>
  <c r="F137" i="11"/>
  <c r="E137" i="11"/>
  <c r="D137" i="11"/>
  <c r="G136" i="11"/>
  <c r="G135" i="11"/>
  <c r="G134" i="11"/>
  <c r="G133" i="11"/>
  <c r="G132" i="11"/>
  <c r="G131" i="11"/>
  <c r="L127" i="11"/>
  <c r="K127" i="11"/>
  <c r="I127" i="11"/>
  <c r="H127" i="11"/>
  <c r="G127" i="11"/>
  <c r="F127" i="11"/>
  <c r="E127" i="11"/>
  <c r="D127" i="11"/>
  <c r="L116" i="11"/>
  <c r="K116" i="11"/>
  <c r="I116" i="11"/>
  <c r="H116" i="11"/>
  <c r="G116" i="11"/>
  <c r="F116" i="11"/>
  <c r="E116" i="11"/>
  <c r="D116" i="11"/>
  <c r="M105" i="11"/>
  <c r="L105" i="11"/>
  <c r="K105" i="11"/>
  <c r="J105" i="11"/>
  <c r="I105" i="11"/>
  <c r="H105" i="11"/>
  <c r="G105" i="11"/>
  <c r="F105" i="11"/>
  <c r="E105" i="11"/>
  <c r="D105" i="11"/>
  <c r="K92" i="11"/>
  <c r="J92" i="11"/>
  <c r="I92" i="11"/>
  <c r="H92" i="11"/>
  <c r="G92" i="11"/>
  <c r="F92" i="11"/>
  <c r="E92" i="11"/>
  <c r="D92" i="11"/>
  <c r="O79" i="11"/>
  <c r="N79" i="11"/>
  <c r="M79" i="11"/>
  <c r="L79" i="11"/>
  <c r="K79" i="11"/>
  <c r="J79" i="11"/>
  <c r="I79" i="11"/>
  <c r="F79" i="11"/>
  <c r="E79" i="11"/>
  <c r="D79" i="11"/>
  <c r="G78" i="11"/>
  <c r="G77" i="11"/>
  <c r="G76" i="11"/>
  <c r="G75" i="11"/>
  <c r="G74" i="11"/>
  <c r="G73" i="11"/>
  <c r="G72" i="11"/>
  <c r="L69" i="11"/>
  <c r="K69" i="11"/>
  <c r="I69" i="11"/>
  <c r="H69" i="11"/>
  <c r="G69" i="11"/>
  <c r="F69" i="11"/>
  <c r="E69" i="11"/>
  <c r="D69" i="11"/>
  <c r="K58" i="11"/>
  <c r="J58" i="11"/>
  <c r="I58" i="11"/>
  <c r="H58" i="11"/>
  <c r="G58" i="11"/>
  <c r="F58" i="11"/>
  <c r="E58" i="11"/>
  <c r="D58" i="11"/>
  <c r="E47" i="11"/>
  <c r="D47" i="11"/>
  <c r="F35" i="11"/>
  <c r="E35" i="11"/>
  <c r="D35" i="11"/>
  <c r="G34" i="11"/>
  <c r="G33" i="11"/>
  <c r="G32" i="11"/>
  <c r="G31" i="11"/>
  <c r="G30" i="11"/>
  <c r="G29" i="11"/>
  <c r="G28" i="11"/>
  <c r="O24" i="11"/>
  <c r="N24" i="11"/>
  <c r="M24" i="11"/>
  <c r="L24" i="11"/>
  <c r="K24" i="11"/>
  <c r="J24" i="11"/>
  <c r="I24" i="11"/>
  <c r="H24" i="11"/>
  <c r="F24" i="11"/>
  <c r="E24" i="11"/>
  <c r="D24" i="11"/>
  <c r="G23" i="11"/>
  <c r="G22" i="11"/>
  <c r="G21" i="11"/>
  <c r="G20" i="11"/>
  <c r="G19" i="11"/>
  <c r="G18" i="11"/>
  <c r="G17" i="11"/>
  <c r="G196" i="11" l="1"/>
  <c r="G79" i="11"/>
  <c r="J172" i="11"/>
  <c r="I151" i="11"/>
  <c r="G185" i="11"/>
  <c r="G24" i="11"/>
  <c r="G35" i="11"/>
  <c r="G137" i="11"/>
  <c r="I219" i="12"/>
  <c r="H219" i="12"/>
  <c r="G219" i="12"/>
  <c r="F219" i="12"/>
  <c r="E219" i="12"/>
  <c r="D219" i="12"/>
  <c r="F213" i="12"/>
  <c r="E213" i="12"/>
  <c r="D213" i="12"/>
  <c r="L209" i="12"/>
  <c r="K209" i="12"/>
  <c r="J209" i="12"/>
  <c r="I209" i="12"/>
  <c r="H209" i="12"/>
  <c r="G209" i="12"/>
  <c r="F209" i="12"/>
  <c r="E209" i="12"/>
  <c r="D209" i="12"/>
  <c r="L196" i="12"/>
  <c r="K196" i="12"/>
  <c r="J196" i="12"/>
  <c r="I196" i="12"/>
  <c r="H196" i="12"/>
  <c r="F196" i="12"/>
  <c r="E196" i="12"/>
  <c r="D196" i="12"/>
  <c r="G195" i="12"/>
  <c r="G194" i="12"/>
  <c r="G193" i="12"/>
  <c r="G192" i="12"/>
  <c r="G191" i="12"/>
  <c r="G190" i="12"/>
  <c r="G189" i="12"/>
  <c r="O185" i="12"/>
  <c r="N185" i="12"/>
  <c r="M185" i="12"/>
  <c r="L185" i="12"/>
  <c r="K185" i="12"/>
  <c r="J185" i="12"/>
  <c r="I185" i="12"/>
  <c r="H185" i="12"/>
  <c r="F185" i="12"/>
  <c r="E185" i="12"/>
  <c r="D185" i="12"/>
  <c r="G184" i="12"/>
  <c r="G183" i="12"/>
  <c r="G182" i="12"/>
  <c r="G181" i="12"/>
  <c r="G180" i="12"/>
  <c r="G179" i="12"/>
  <c r="G178" i="12"/>
  <c r="I172" i="12"/>
  <c r="H172" i="12"/>
  <c r="G172" i="12"/>
  <c r="F172" i="12"/>
  <c r="E172" i="12"/>
  <c r="D172" i="12"/>
  <c r="K171" i="12"/>
  <c r="J171" i="12"/>
  <c r="K170" i="12"/>
  <c r="J170" i="12"/>
  <c r="K169" i="12"/>
  <c r="J169" i="12"/>
  <c r="K168" i="12"/>
  <c r="J168" i="12"/>
  <c r="K167" i="12"/>
  <c r="J167" i="12"/>
  <c r="K166" i="12"/>
  <c r="J166" i="12"/>
  <c r="K165" i="12"/>
  <c r="J165" i="12"/>
  <c r="J162" i="12"/>
  <c r="I162" i="12"/>
  <c r="H162" i="12"/>
  <c r="F162" i="12"/>
  <c r="E162" i="12"/>
  <c r="D162" i="12"/>
  <c r="G161" i="12"/>
  <c r="G160" i="12"/>
  <c r="G159" i="12"/>
  <c r="G158" i="12"/>
  <c r="G157" i="12"/>
  <c r="G156" i="12"/>
  <c r="G155" i="12"/>
  <c r="N151" i="12"/>
  <c r="M151" i="12"/>
  <c r="L151" i="12"/>
  <c r="K151" i="12"/>
  <c r="J151" i="12"/>
  <c r="H151" i="12"/>
  <c r="G151" i="12"/>
  <c r="F151" i="12"/>
  <c r="E151" i="12"/>
  <c r="D151" i="12"/>
  <c r="I150" i="12"/>
  <c r="I149" i="12"/>
  <c r="I148" i="12"/>
  <c r="I147" i="12"/>
  <c r="I146" i="12"/>
  <c r="I145" i="12"/>
  <c r="I144" i="12"/>
  <c r="F137" i="12"/>
  <c r="E137" i="12"/>
  <c r="D137" i="12"/>
  <c r="G136" i="12"/>
  <c r="G135" i="12"/>
  <c r="G134" i="12"/>
  <c r="G133" i="12"/>
  <c r="G132" i="12"/>
  <c r="G131" i="12"/>
  <c r="L127" i="12"/>
  <c r="K127" i="12"/>
  <c r="I127" i="12"/>
  <c r="H127" i="12"/>
  <c r="G127" i="12"/>
  <c r="F127" i="12"/>
  <c r="E127" i="12"/>
  <c r="D127" i="12"/>
  <c r="L116" i="12"/>
  <c r="K116" i="12"/>
  <c r="I116" i="12"/>
  <c r="H116" i="12"/>
  <c r="G116" i="12"/>
  <c r="F116" i="12"/>
  <c r="E116" i="12"/>
  <c r="D116" i="12"/>
  <c r="M105" i="12"/>
  <c r="L105" i="12"/>
  <c r="K105" i="12"/>
  <c r="J105" i="12"/>
  <c r="I105" i="12"/>
  <c r="H105" i="12"/>
  <c r="G105" i="12"/>
  <c r="F105" i="12"/>
  <c r="E105" i="12"/>
  <c r="D105" i="12"/>
  <c r="K92" i="12"/>
  <c r="J92" i="12"/>
  <c r="I92" i="12"/>
  <c r="H92" i="12"/>
  <c r="G92" i="12"/>
  <c r="F92" i="12"/>
  <c r="E92" i="12"/>
  <c r="D92" i="12"/>
  <c r="O79" i="12"/>
  <c r="N79" i="12"/>
  <c r="M79" i="12"/>
  <c r="L79" i="12"/>
  <c r="K79" i="12"/>
  <c r="J79" i="12"/>
  <c r="I79" i="12"/>
  <c r="F79" i="12"/>
  <c r="E79" i="12"/>
  <c r="D79" i="12"/>
  <c r="G78" i="12"/>
  <c r="G77" i="12"/>
  <c r="G76" i="12"/>
  <c r="G75" i="12"/>
  <c r="G74" i="12"/>
  <c r="G73" i="12"/>
  <c r="G72" i="12"/>
  <c r="L69" i="12"/>
  <c r="K69" i="12"/>
  <c r="I69" i="12"/>
  <c r="H69" i="12"/>
  <c r="G69" i="12"/>
  <c r="F69" i="12"/>
  <c r="E69" i="12"/>
  <c r="D69" i="12"/>
  <c r="K58" i="12"/>
  <c r="J58" i="12"/>
  <c r="I58" i="12"/>
  <c r="H58" i="12"/>
  <c r="G58" i="12"/>
  <c r="F58" i="12"/>
  <c r="E58" i="12"/>
  <c r="D58" i="12"/>
  <c r="E47" i="12"/>
  <c r="D47" i="12"/>
  <c r="F35" i="12"/>
  <c r="E35" i="12"/>
  <c r="D35" i="12"/>
  <c r="G34" i="12"/>
  <c r="G33" i="12"/>
  <c r="G32" i="12"/>
  <c r="G31" i="12"/>
  <c r="G30" i="12"/>
  <c r="G29" i="12"/>
  <c r="G28" i="12"/>
  <c r="O24" i="12"/>
  <c r="N24" i="12"/>
  <c r="M24" i="12"/>
  <c r="L24" i="12"/>
  <c r="K24" i="12"/>
  <c r="J24" i="12"/>
  <c r="I24" i="12"/>
  <c r="H24" i="12"/>
  <c r="F24" i="12"/>
  <c r="E24" i="12"/>
  <c r="D24" i="12"/>
  <c r="G23" i="12"/>
  <c r="G22" i="12"/>
  <c r="G21" i="12"/>
  <c r="G20" i="12"/>
  <c r="G19" i="12"/>
  <c r="G18" i="12"/>
  <c r="G17" i="12"/>
  <c r="G24" i="12" l="1"/>
  <c r="G137" i="12"/>
  <c r="G35" i="12"/>
  <c r="G79" i="12"/>
  <c r="I151" i="12"/>
  <c r="G196" i="12"/>
  <c r="G185" i="12"/>
  <c r="J172" i="12"/>
  <c r="G162" i="12"/>
  <c r="K172" i="12"/>
  <c r="I226" i="13"/>
  <c r="H226" i="13"/>
  <c r="G226" i="13"/>
  <c r="E217" i="13"/>
  <c r="F216" i="13"/>
  <c r="E216" i="13"/>
  <c r="E214" i="13"/>
  <c r="L209" i="13"/>
  <c r="K209" i="13"/>
  <c r="J209" i="13"/>
  <c r="I209" i="13"/>
  <c r="H209" i="13"/>
  <c r="G209" i="13"/>
  <c r="F209" i="13"/>
  <c r="E209" i="13"/>
  <c r="D209" i="13"/>
  <c r="K196" i="13"/>
  <c r="J196" i="13"/>
  <c r="H196" i="13"/>
  <c r="F196" i="13"/>
  <c r="E196" i="13"/>
  <c r="G195" i="13"/>
  <c r="G194" i="13"/>
  <c r="G193" i="13"/>
  <c r="G192" i="13"/>
  <c r="L191" i="13"/>
  <c r="I191" i="13"/>
  <c r="I196" i="13" s="1"/>
  <c r="D191" i="13"/>
  <c r="N185" i="13"/>
  <c r="L185" i="13"/>
  <c r="K185" i="13"/>
  <c r="J185" i="13"/>
  <c r="I185" i="13"/>
  <c r="F185" i="13"/>
  <c r="E185" i="13"/>
  <c r="G184" i="13"/>
  <c r="G183" i="13"/>
  <c r="G182" i="13"/>
  <c r="G181" i="13"/>
  <c r="O180" i="13"/>
  <c r="M180" i="13"/>
  <c r="M183" i="2" s="1"/>
  <c r="M188" i="2" s="1"/>
  <c r="H180" i="13"/>
  <c r="D180" i="13"/>
  <c r="I172" i="13"/>
  <c r="H172" i="13"/>
  <c r="G172" i="13"/>
  <c r="F172" i="13"/>
  <c r="E172" i="13"/>
  <c r="D172" i="13"/>
  <c r="K171" i="13"/>
  <c r="J171" i="13"/>
  <c r="K170" i="13"/>
  <c r="J170" i="13"/>
  <c r="K169" i="13"/>
  <c r="J169" i="13"/>
  <c r="K167" i="13"/>
  <c r="J167" i="13"/>
  <c r="J172" i="13" s="1"/>
  <c r="J162" i="13"/>
  <c r="I162" i="13"/>
  <c r="H162" i="13"/>
  <c r="F162" i="13"/>
  <c r="E162" i="13"/>
  <c r="D162" i="13"/>
  <c r="G161" i="13"/>
  <c r="G160" i="13"/>
  <c r="G159" i="13"/>
  <c r="G157" i="13"/>
  <c r="N151" i="13"/>
  <c r="M151" i="13"/>
  <c r="L151" i="13"/>
  <c r="K151" i="13"/>
  <c r="J151" i="13"/>
  <c r="H151" i="13"/>
  <c r="G151" i="13"/>
  <c r="F151" i="13"/>
  <c r="E151" i="13"/>
  <c r="D151" i="13"/>
  <c r="I150" i="13"/>
  <c r="I149" i="13"/>
  <c r="I148" i="13"/>
  <c r="I151" i="13" s="1"/>
  <c r="F137" i="13"/>
  <c r="E137" i="13"/>
  <c r="D137" i="13"/>
  <c r="G136" i="13"/>
  <c r="G135" i="13"/>
  <c r="G134" i="13"/>
  <c r="G133" i="13"/>
  <c r="G132" i="13"/>
  <c r="L127" i="13"/>
  <c r="K127" i="13"/>
  <c r="I127" i="13"/>
  <c r="H127" i="13"/>
  <c r="G127" i="13"/>
  <c r="F127" i="13"/>
  <c r="E127" i="13"/>
  <c r="D127" i="13"/>
  <c r="L116" i="13"/>
  <c r="K116" i="13"/>
  <c r="I116" i="13"/>
  <c r="H116" i="13"/>
  <c r="G116" i="13"/>
  <c r="F116" i="13"/>
  <c r="E116" i="13"/>
  <c r="D116" i="13"/>
  <c r="M105" i="13"/>
  <c r="L105" i="13"/>
  <c r="K105" i="13"/>
  <c r="J105" i="13"/>
  <c r="I105" i="13"/>
  <c r="H105" i="13"/>
  <c r="G105" i="13"/>
  <c r="F105" i="13"/>
  <c r="D105" i="13"/>
  <c r="E100" i="13"/>
  <c r="K92" i="13"/>
  <c r="J92" i="13"/>
  <c r="I92" i="13"/>
  <c r="H92" i="13"/>
  <c r="G92" i="13"/>
  <c r="F92" i="13"/>
  <c r="E92" i="13"/>
  <c r="D92" i="13"/>
  <c r="N79" i="13"/>
  <c r="M79" i="13"/>
  <c r="L79" i="13"/>
  <c r="K79" i="13"/>
  <c r="J79" i="13"/>
  <c r="F79" i="13"/>
  <c r="E79" i="13"/>
  <c r="G78" i="13"/>
  <c r="G77" i="13"/>
  <c r="G76" i="13"/>
  <c r="G75" i="13"/>
  <c r="O74" i="13"/>
  <c r="O77" i="2" s="1"/>
  <c r="O82" i="2" s="1"/>
  <c r="I74" i="13"/>
  <c r="D74" i="13"/>
  <c r="K69" i="13"/>
  <c r="I69" i="13"/>
  <c r="H69" i="13"/>
  <c r="G69" i="13"/>
  <c r="F69" i="13"/>
  <c r="E69" i="13"/>
  <c r="L64" i="13"/>
  <c r="K58" i="13"/>
  <c r="J58" i="13"/>
  <c r="I58" i="13"/>
  <c r="H58" i="13"/>
  <c r="G58" i="13"/>
  <c r="F58" i="13"/>
  <c r="E58" i="13"/>
  <c r="D58" i="13"/>
  <c r="E47" i="13"/>
  <c r="D47" i="13"/>
  <c r="E35" i="13"/>
  <c r="G34" i="13"/>
  <c r="G33" i="13"/>
  <c r="G32" i="13"/>
  <c r="G31" i="13"/>
  <c r="F30" i="13"/>
  <c r="D30" i="13"/>
  <c r="D35" i="13" s="1"/>
  <c r="N24" i="13"/>
  <c r="M24" i="13"/>
  <c r="J24" i="13"/>
  <c r="H24" i="13"/>
  <c r="F24" i="13"/>
  <c r="E24" i="13"/>
  <c r="D24" i="13"/>
  <c r="G23" i="13"/>
  <c r="G22" i="13"/>
  <c r="G21" i="13"/>
  <c r="G20" i="13"/>
  <c r="O19" i="13"/>
  <c r="O22" i="2" s="1"/>
  <c r="L19" i="13"/>
  <c r="K19" i="13"/>
  <c r="K22" i="2" s="1"/>
  <c r="K27" i="2" s="1"/>
  <c r="I19" i="13"/>
  <c r="I22" i="2" s="1"/>
  <c r="I27" i="2" s="1"/>
  <c r="G19" i="13"/>
  <c r="K172" i="13" l="1"/>
  <c r="G24" i="13"/>
  <c r="G137" i="13"/>
  <c r="L24" i="13"/>
  <c r="L22" i="2"/>
  <c r="L27" i="2" s="1"/>
  <c r="O24" i="13"/>
  <c r="O27" i="2"/>
  <c r="K24" i="13"/>
  <c r="G30" i="13"/>
  <c r="F33" i="2"/>
  <c r="F38" i="2" s="1"/>
  <c r="G74" i="13"/>
  <c r="G79" i="13" s="1"/>
  <c r="D77" i="2"/>
  <c r="G162" i="13"/>
  <c r="M185" i="13"/>
  <c r="L196" i="13"/>
  <c r="E226" i="13"/>
  <c r="L69" i="13"/>
  <c r="L67" i="2"/>
  <c r="L72" i="2" s="1"/>
  <c r="I79" i="13"/>
  <c r="I77" i="2"/>
  <c r="I82" i="2" s="1"/>
  <c r="P82" i="2" s="1"/>
  <c r="O185" i="13"/>
  <c r="O183" i="2"/>
  <c r="O188" i="2" s="1"/>
  <c r="I24" i="13"/>
  <c r="O79" i="13"/>
  <c r="D185" i="13"/>
  <c r="D183" i="2"/>
  <c r="G191" i="13"/>
  <c r="G196" i="13" s="1"/>
  <c r="F213" i="13"/>
  <c r="E105" i="13"/>
  <c r="E103" i="2"/>
  <c r="E108" i="2" s="1"/>
  <c r="H185" i="13"/>
  <c r="D79" i="13"/>
  <c r="G180" i="13"/>
  <c r="G185" i="13" s="1"/>
  <c r="F35" i="13"/>
  <c r="G35" i="13" s="1"/>
  <c r="D196" i="13"/>
  <c r="F226" i="13"/>
  <c r="D64" i="13"/>
  <c r="D69" i="13" l="1"/>
  <c r="D67" i="2"/>
  <c r="D72" i="2" s="1"/>
  <c r="D188" i="2"/>
  <c r="G77" i="2"/>
  <c r="G82" i="2" s="1"/>
  <c r="D82" i="2"/>
  <c r="L196" i="14"/>
  <c r="K196" i="14"/>
  <c r="J196" i="14"/>
  <c r="I196" i="14"/>
  <c r="H196" i="14"/>
  <c r="F196" i="14"/>
  <c r="E196" i="14"/>
  <c r="D196" i="14"/>
  <c r="G191" i="14"/>
  <c r="G196" i="14" s="1"/>
  <c r="O185" i="14"/>
  <c r="N185" i="14"/>
  <c r="M185" i="14"/>
  <c r="L185" i="14"/>
  <c r="K185" i="14"/>
  <c r="J185" i="14"/>
  <c r="I185" i="14"/>
  <c r="H185" i="14"/>
  <c r="F185" i="14"/>
  <c r="E185" i="14"/>
  <c r="D185" i="14"/>
  <c r="G180" i="14"/>
  <c r="G185" i="14" s="1"/>
  <c r="D137" i="14"/>
  <c r="G133" i="14"/>
  <c r="G132" i="14"/>
  <c r="M105" i="14"/>
  <c r="E105" i="14"/>
  <c r="D105" i="14"/>
  <c r="O79" i="14"/>
  <c r="N79" i="14"/>
  <c r="M79" i="14"/>
  <c r="L79" i="14"/>
  <c r="K79" i="14"/>
  <c r="J79" i="14"/>
  <c r="I79" i="14"/>
  <c r="H79" i="14"/>
  <c r="F79" i="14"/>
  <c r="E79" i="14"/>
  <c r="D79" i="14"/>
  <c r="G74" i="14"/>
  <c r="G79" i="14" s="1"/>
  <c r="L69" i="14"/>
  <c r="K69" i="14"/>
  <c r="J69" i="14"/>
  <c r="I69" i="14"/>
  <c r="H69" i="14"/>
  <c r="G69" i="14"/>
  <c r="F69" i="14"/>
  <c r="E69" i="14"/>
  <c r="D69" i="14"/>
  <c r="E47" i="14"/>
  <c r="D47" i="14"/>
  <c r="F35" i="14"/>
  <c r="E35" i="14"/>
  <c r="D35" i="14"/>
  <c r="G31" i="14"/>
  <c r="G30" i="14"/>
  <c r="O24" i="14"/>
  <c r="N24" i="14"/>
  <c r="M24" i="14"/>
  <c r="L24" i="14"/>
  <c r="K24" i="14"/>
  <c r="J24" i="14"/>
  <c r="I24" i="14"/>
  <c r="H24" i="14"/>
  <c r="F24" i="14"/>
  <c r="E24" i="14"/>
  <c r="D24" i="14"/>
  <c r="G20" i="14"/>
  <c r="G19" i="14"/>
  <c r="G24" i="14" s="1"/>
  <c r="G137" i="14" l="1"/>
  <c r="G35" i="14"/>
  <c r="I219" i="15"/>
  <c r="H219" i="15"/>
  <c r="G219" i="15"/>
  <c r="F219" i="15"/>
  <c r="E219" i="15"/>
  <c r="D219" i="15"/>
  <c r="F213" i="15"/>
  <c r="L209" i="15"/>
  <c r="K209" i="15"/>
  <c r="J209" i="15"/>
  <c r="I209" i="15"/>
  <c r="H209" i="15"/>
  <c r="G209" i="15"/>
  <c r="F209" i="15"/>
  <c r="E209" i="15"/>
  <c r="D209" i="15"/>
  <c r="L196" i="15"/>
  <c r="K196" i="15"/>
  <c r="J196" i="15"/>
  <c r="I196" i="15"/>
  <c r="H196" i="15"/>
  <c r="F196" i="15"/>
  <c r="E196" i="15"/>
  <c r="D196" i="15"/>
  <c r="G195" i="15"/>
  <c r="G194" i="15"/>
  <c r="G193" i="15"/>
  <c r="G192" i="15"/>
  <c r="G191" i="15"/>
  <c r="G190" i="15"/>
  <c r="G189" i="15"/>
  <c r="O185" i="15"/>
  <c r="N185" i="15"/>
  <c r="M185" i="15"/>
  <c r="L185" i="15"/>
  <c r="K185" i="15"/>
  <c r="J185" i="15"/>
  <c r="I185" i="15"/>
  <c r="H185" i="15"/>
  <c r="F185" i="15"/>
  <c r="E185" i="15"/>
  <c r="D185" i="15"/>
  <c r="G184" i="15"/>
  <c r="G183" i="15"/>
  <c r="G182" i="15"/>
  <c r="G181" i="15"/>
  <c r="G180" i="15"/>
  <c r="G179" i="15"/>
  <c r="G178" i="15"/>
  <c r="I172" i="15"/>
  <c r="H172" i="15"/>
  <c r="G172" i="15"/>
  <c r="F172" i="15"/>
  <c r="E172" i="15"/>
  <c r="D172" i="15"/>
  <c r="K171" i="15"/>
  <c r="J171" i="15"/>
  <c r="K170" i="15"/>
  <c r="J170" i="15"/>
  <c r="K169" i="15"/>
  <c r="J169" i="15"/>
  <c r="K168" i="15"/>
  <c r="J168" i="15"/>
  <c r="K167" i="15"/>
  <c r="J167" i="15"/>
  <c r="K166" i="15"/>
  <c r="J166" i="15"/>
  <c r="K165" i="15"/>
  <c r="J165" i="15"/>
  <c r="J162" i="15"/>
  <c r="I162" i="15"/>
  <c r="H162" i="15"/>
  <c r="F162" i="15"/>
  <c r="E162" i="15"/>
  <c r="D162" i="15"/>
  <c r="G161" i="15"/>
  <c r="G160" i="15"/>
  <c r="G159" i="15"/>
  <c r="G158" i="15"/>
  <c r="G157" i="15"/>
  <c r="G156" i="15"/>
  <c r="G155" i="15"/>
  <c r="N151" i="15"/>
  <c r="M151" i="15"/>
  <c r="L151" i="15"/>
  <c r="K151" i="15"/>
  <c r="J151" i="15"/>
  <c r="H151" i="15"/>
  <c r="G151" i="15"/>
  <c r="F151" i="15"/>
  <c r="E151" i="15"/>
  <c r="D151" i="15"/>
  <c r="I150" i="15"/>
  <c r="I149" i="15"/>
  <c r="I148" i="15"/>
  <c r="I147" i="15"/>
  <c r="I146" i="15"/>
  <c r="I145" i="15"/>
  <c r="I144" i="15"/>
  <c r="F137" i="15"/>
  <c r="E137" i="15"/>
  <c r="D137" i="15"/>
  <c r="G136" i="15"/>
  <c r="G135" i="15"/>
  <c r="G134" i="15"/>
  <c r="G133" i="15"/>
  <c r="G132" i="15"/>
  <c r="L127" i="15"/>
  <c r="K127" i="15"/>
  <c r="I127" i="15"/>
  <c r="H127" i="15"/>
  <c r="G127" i="15"/>
  <c r="F127" i="15"/>
  <c r="E127" i="15"/>
  <c r="D127" i="15"/>
  <c r="L116" i="15"/>
  <c r="K116" i="15"/>
  <c r="I116" i="15"/>
  <c r="H116" i="15"/>
  <c r="G116" i="15"/>
  <c r="F116" i="15"/>
  <c r="E116" i="15"/>
  <c r="D116" i="15"/>
  <c r="L105" i="15"/>
  <c r="K105" i="15"/>
  <c r="J105" i="15"/>
  <c r="I105" i="15"/>
  <c r="H105" i="15"/>
  <c r="G105" i="15"/>
  <c r="F105" i="15"/>
  <c r="E105" i="15"/>
  <c r="D105" i="15"/>
  <c r="K92" i="15"/>
  <c r="J92" i="15"/>
  <c r="I92" i="15"/>
  <c r="H92" i="15"/>
  <c r="G92" i="15"/>
  <c r="F92" i="15"/>
  <c r="E92" i="15"/>
  <c r="D92" i="15"/>
  <c r="O79" i="15"/>
  <c r="N79" i="15"/>
  <c r="M79" i="15"/>
  <c r="L79" i="15"/>
  <c r="K79" i="15"/>
  <c r="J79" i="15"/>
  <c r="I79" i="15"/>
  <c r="F79" i="15"/>
  <c r="E79" i="15"/>
  <c r="D79" i="15"/>
  <c r="G78" i="15"/>
  <c r="G77" i="15"/>
  <c r="G76" i="15"/>
  <c r="G75" i="15"/>
  <c r="G74" i="15"/>
  <c r="G72" i="15"/>
  <c r="L69" i="15"/>
  <c r="K69" i="15"/>
  <c r="I69" i="15"/>
  <c r="H69" i="15"/>
  <c r="G69" i="15"/>
  <c r="F69" i="15"/>
  <c r="E69" i="15"/>
  <c r="D69" i="15"/>
  <c r="K58" i="15"/>
  <c r="J58" i="15"/>
  <c r="I58" i="15"/>
  <c r="H58" i="15"/>
  <c r="G58" i="15"/>
  <c r="F58" i="15"/>
  <c r="E58" i="15"/>
  <c r="D58" i="15"/>
  <c r="E47" i="15"/>
  <c r="D47" i="15"/>
  <c r="F35" i="15"/>
  <c r="E35" i="15"/>
  <c r="D35" i="15"/>
  <c r="G35" i="15" s="1"/>
  <c r="G34" i="15"/>
  <c r="G33" i="15"/>
  <c r="G32" i="15"/>
  <c r="G31" i="15"/>
  <c r="G30" i="15"/>
  <c r="G28" i="15"/>
  <c r="O24" i="15"/>
  <c r="N24" i="15"/>
  <c r="M24" i="15"/>
  <c r="L24" i="15"/>
  <c r="K24" i="15"/>
  <c r="J24" i="15"/>
  <c r="I24" i="15"/>
  <c r="H24" i="15"/>
  <c r="F24" i="15"/>
  <c r="E24" i="15"/>
  <c r="D24" i="15"/>
  <c r="G23" i="15"/>
  <c r="G22" i="15"/>
  <c r="G21" i="15"/>
  <c r="G20" i="15"/>
  <c r="G18" i="15"/>
  <c r="G17" i="15"/>
  <c r="G24" i="15" l="1"/>
  <c r="K172" i="15"/>
  <c r="I151" i="15"/>
  <c r="G137" i="15"/>
  <c r="G162" i="15"/>
  <c r="J172" i="15"/>
  <c r="G185" i="15"/>
  <c r="G196" i="15"/>
  <c r="G79" i="15"/>
  <c r="I219" i="16"/>
  <c r="H219" i="16"/>
  <c r="G219" i="16"/>
  <c r="F219" i="16"/>
  <c r="E219" i="16"/>
  <c r="F213" i="16"/>
  <c r="E213" i="16"/>
  <c r="L209" i="16"/>
  <c r="K209" i="16"/>
  <c r="J209" i="16"/>
  <c r="I209" i="16"/>
  <c r="H209" i="16"/>
  <c r="G209" i="16"/>
  <c r="F209" i="16"/>
  <c r="E209" i="16"/>
  <c r="D209" i="16"/>
  <c r="L196" i="16"/>
  <c r="K196" i="16"/>
  <c r="J196" i="16"/>
  <c r="I196" i="16"/>
  <c r="H196" i="16"/>
  <c r="F196" i="16"/>
  <c r="E196" i="16"/>
  <c r="D196" i="16"/>
  <c r="G195" i="16"/>
  <c r="G194" i="16"/>
  <c r="G193" i="16"/>
  <c r="G192" i="16"/>
  <c r="G191" i="16"/>
  <c r="G190" i="16"/>
  <c r="G189" i="16"/>
  <c r="O185" i="16"/>
  <c r="N185" i="16"/>
  <c r="M185" i="16"/>
  <c r="L185" i="16"/>
  <c r="K185" i="16"/>
  <c r="J185" i="16"/>
  <c r="I185" i="16"/>
  <c r="H185" i="16"/>
  <c r="F185" i="16"/>
  <c r="E185" i="16"/>
  <c r="D185" i="16"/>
  <c r="G184" i="16"/>
  <c r="G183" i="16"/>
  <c r="G182" i="16"/>
  <c r="G181" i="16"/>
  <c r="G180" i="16"/>
  <c r="G179" i="16"/>
  <c r="G178" i="16"/>
  <c r="I172" i="16"/>
  <c r="H172" i="16"/>
  <c r="G172" i="16"/>
  <c r="F172" i="16"/>
  <c r="E172" i="16"/>
  <c r="D172" i="16"/>
  <c r="K171" i="16"/>
  <c r="J171" i="16"/>
  <c r="K170" i="16"/>
  <c r="J170" i="16"/>
  <c r="K169" i="16"/>
  <c r="J169" i="16"/>
  <c r="K168" i="16"/>
  <c r="J168" i="16"/>
  <c r="K167" i="16"/>
  <c r="J167" i="16"/>
  <c r="K166" i="16"/>
  <c r="J166" i="16"/>
  <c r="K165" i="16"/>
  <c r="J165" i="16"/>
  <c r="J162" i="16"/>
  <c r="I162" i="16"/>
  <c r="H162" i="16"/>
  <c r="F162" i="16"/>
  <c r="E162" i="16"/>
  <c r="D162" i="16"/>
  <c r="G161" i="16"/>
  <c r="G160" i="16"/>
  <c r="G159" i="16"/>
  <c r="G158" i="16"/>
  <c r="G157" i="16"/>
  <c r="G156" i="16"/>
  <c r="G155" i="16"/>
  <c r="N151" i="16"/>
  <c r="M151" i="16"/>
  <c r="L151" i="16"/>
  <c r="K151" i="16"/>
  <c r="J151" i="16"/>
  <c r="H151" i="16"/>
  <c r="G151" i="16"/>
  <c r="F151" i="16"/>
  <c r="E151" i="16"/>
  <c r="D151" i="16"/>
  <c r="I150" i="16"/>
  <c r="I149" i="16"/>
  <c r="I148" i="16"/>
  <c r="I147" i="16"/>
  <c r="I145" i="16"/>
  <c r="I144" i="16"/>
  <c r="F137" i="16"/>
  <c r="E137" i="16"/>
  <c r="D137" i="16"/>
  <c r="G136" i="16"/>
  <c r="G135" i="16"/>
  <c r="G134" i="16"/>
  <c r="G133" i="16"/>
  <c r="G132" i="16"/>
  <c r="G131" i="16"/>
  <c r="L127" i="16"/>
  <c r="K127" i="16"/>
  <c r="I127" i="16"/>
  <c r="H127" i="16"/>
  <c r="G127" i="16"/>
  <c r="F127" i="16"/>
  <c r="E127" i="16"/>
  <c r="D127" i="16"/>
  <c r="L116" i="16"/>
  <c r="K116" i="16"/>
  <c r="I116" i="16"/>
  <c r="H116" i="16"/>
  <c r="G116" i="16"/>
  <c r="F116" i="16"/>
  <c r="E116" i="16"/>
  <c r="D116" i="16"/>
  <c r="M105" i="16"/>
  <c r="L105" i="16"/>
  <c r="K105" i="16"/>
  <c r="J105" i="16"/>
  <c r="I105" i="16"/>
  <c r="H105" i="16"/>
  <c r="G105" i="16"/>
  <c r="F105" i="16"/>
  <c r="E105" i="16"/>
  <c r="D105" i="16"/>
  <c r="K92" i="16"/>
  <c r="J92" i="16"/>
  <c r="I92" i="16"/>
  <c r="H92" i="16"/>
  <c r="G92" i="16"/>
  <c r="F92" i="16"/>
  <c r="E92" i="16"/>
  <c r="D92" i="16"/>
  <c r="O79" i="16"/>
  <c r="N79" i="16"/>
  <c r="M79" i="16"/>
  <c r="L79" i="16"/>
  <c r="K79" i="16"/>
  <c r="J79" i="16"/>
  <c r="I79" i="16"/>
  <c r="F79" i="16"/>
  <c r="E79" i="16"/>
  <c r="D79" i="16"/>
  <c r="G78" i="16"/>
  <c r="G77" i="16"/>
  <c r="G76" i="16"/>
  <c r="G75" i="16"/>
  <c r="G74" i="16"/>
  <c r="G73" i="16"/>
  <c r="G72" i="16"/>
  <c r="L69" i="16"/>
  <c r="K69" i="16"/>
  <c r="I69" i="16"/>
  <c r="H69" i="16"/>
  <c r="G69" i="16"/>
  <c r="F69" i="16"/>
  <c r="E69" i="16"/>
  <c r="D69" i="16"/>
  <c r="K58" i="16"/>
  <c r="J58" i="16"/>
  <c r="I58" i="16"/>
  <c r="H58" i="16"/>
  <c r="G58" i="16"/>
  <c r="F58" i="16"/>
  <c r="E58" i="16"/>
  <c r="D58" i="16"/>
  <c r="E47" i="16"/>
  <c r="D47" i="16"/>
  <c r="F35" i="16"/>
  <c r="E35" i="16"/>
  <c r="D35" i="16"/>
  <c r="G34" i="16"/>
  <c r="G33" i="16"/>
  <c r="G32" i="16"/>
  <c r="G31" i="16"/>
  <c r="G30" i="16"/>
  <c r="G28" i="16"/>
  <c r="O24" i="16"/>
  <c r="N24" i="16"/>
  <c r="M24" i="16"/>
  <c r="L24" i="16"/>
  <c r="K24" i="16"/>
  <c r="J24" i="16"/>
  <c r="I24" i="16"/>
  <c r="H24" i="16"/>
  <c r="F24" i="16"/>
  <c r="E24" i="16"/>
  <c r="D24" i="16"/>
  <c r="G23" i="16"/>
  <c r="G22" i="16"/>
  <c r="G21" i="16"/>
  <c r="G20" i="16"/>
  <c r="G19" i="16"/>
  <c r="G18" i="16"/>
  <c r="G17" i="16"/>
  <c r="G196" i="16" l="1"/>
  <c r="G137" i="16"/>
  <c r="G24" i="16"/>
  <c r="G35" i="16"/>
  <c r="I151" i="16"/>
  <c r="K172" i="16"/>
  <c r="G79" i="16"/>
  <c r="G162" i="16"/>
  <c r="J172" i="16"/>
  <c r="G185" i="16"/>
  <c r="I219" i="17"/>
  <c r="H219" i="17"/>
  <c r="G219" i="17"/>
  <c r="F219" i="17"/>
  <c r="E219" i="17"/>
  <c r="F213" i="17"/>
  <c r="E213" i="17"/>
  <c r="L209" i="17"/>
  <c r="K209" i="17"/>
  <c r="J209" i="17"/>
  <c r="I209" i="17"/>
  <c r="H209" i="17"/>
  <c r="G209" i="17"/>
  <c r="F209" i="17"/>
  <c r="E209" i="17"/>
  <c r="D209" i="17"/>
  <c r="K196" i="17"/>
  <c r="J196" i="17"/>
  <c r="I196" i="17"/>
  <c r="H196" i="17"/>
  <c r="F196" i="17"/>
  <c r="E196" i="17"/>
  <c r="D196" i="17"/>
  <c r="G195" i="17"/>
  <c r="G194" i="17"/>
  <c r="G193" i="17"/>
  <c r="G192" i="17"/>
  <c r="G191" i="17"/>
  <c r="L191" i="17" s="1"/>
  <c r="G190" i="17"/>
  <c r="G189" i="17"/>
  <c r="O185" i="17"/>
  <c r="N185" i="17"/>
  <c r="M185" i="17"/>
  <c r="L185" i="17"/>
  <c r="K185" i="17"/>
  <c r="J185" i="17"/>
  <c r="I185" i="17"/>
  <c r="H185" i="17"/>
  <c r="F185" i="17"/>
  <c r="E185" i="17"/>
  <c r="D185" i="17"/>
  <c r="G184" i="17"/>
  <c r="G183" i="17"/>
  <c r="G182" i="17"/>
  <c r="G181" i="17"/>
  <c r="G180" i="17"/>
  <c r="G179" i="17"/>
  <c r="G178" i="17"/>
  <c r="I172" i="17"/>
  <c r="H172" i="17"/>
  <c r="G172" i="17"/>
  <c r="F172" i="17"/>
  <c r="E172" i="17"/>
  <c r="D172" i="17"/>
  <c r="K171" i="17"/>
  <c r="J171" i="17"/>
  <c r="K170" i="17"/>
  <c r="J170" i="17"/>
  <c r="K169" i="17"/>
  <c r="J169" i="17"/>
  <c r="K168" i="17"/>
  <c r="J168" i="17"/>
  <c r="K167" i="17"/>
  <c r="J167" i="17"/>
  <c r="K166" i="17"/>
  <c r="J166" i="17"/>
  <c r="K165" i="17"/>
  <c r="J165" i="17"/>
  <c r="J162" i="17"/>
  <c r="I162" i="17"/>
  <c r="H162" i="17"/>
  <c r="F162" i="17"/>
  <c r="E162" i="17"/>
  <c r="D162" i="17"/>
  <c r="G161" i="17"/>
  <c r="G160" i="17"/>
  <c r="G159" i="17"/>
  <c r="G158" i="17"/>
  <c r="G157" i="17"/>
  <c r="G156" i="17"/>
  <c r="G155" i="17"/>
  <c r="N151" i="17"/>
  <c r="M151" i="17"/>
  <c r="L151" i="17"/>
  <c r="K151" i="17"/>
  <c r="J151" i="17"/>
  <c r="H151" i="17"/>
  <c r="G151" i="17"/>
  <c r="F151" i="17"/>
  <c r="E151" i="17"/>
  <c r="D151" i="17"/>
  <c r="I150" i="17"/>
  <c r="I149" i="17"/>
  <c r="I148" i="17"/>
  <c r="I147" i="17"/>
  <c r="I146" i="17"/>
  <c r="I145" i="17"/>
  <c r="I144" i="17"/>
  <c r="F137" i="17"/>
  <c r="E137" i="17"/>
  <c r="D137" i="17"/>
  <c r="G136" i="17"/>
  <c r="G135" i="17"/>
  <c r="G134" i="17"/>
  <c r="G133" i="17"/>
  <c r="G132" i="17"/>
  <c r="G131" i="17"/>
  <c r="L127" i="17"/>
  <c r="K127" i="17"/>
  <c r="I127" i="17"/>
  <c r="H127" i="17"/>
  <c r="G127" i="17"/>
  <c r="F127" i="17"/>
  <c r="E127" i="17"/>
  <c r="D127" i="17"/>
  <c r="L116" i="17"/>
  <c r="K116" i="17"/>
  <c r="I116" i="17"/>
  <c r="H116" i="17"/>
  <c r="G116" i="17"/>
  <c r="F116" i="17"/>
  <c r="E116" i="17"/>
  <c r="D116" i="17"/>
  <c r="M105" i="17"/>
  <c r="L105" i="17"/>
  <c r="K105" i="17"/>
  <c r="J105" i="17"/>
  <c r="I105" i="17"/>
  <c r="H105" i="17"/>
  <c r="G105" i="17"/>
  <c r="F105" i="17"/>
  <c r="E105" i="17"/>
  <c r="D105" i="17"/>
  <c r="K92" i="17"/>
  <c r="J92" i="17"/>
  <c r="I92" i="17"/>
  <c r="H92" i="17"/>
  <c r="G92" i="17"/>
  <c r="F92" i="17"/>
  <c r="E92" i="17"/>
  <c r="D92" i="17"/>
  <c r="O79" i="17"/>
  <c r="N79" i="17"/>
  <c r="M79" i="17"/>
  <c r="L79" i="17"/>
  <c r="K79" i="17"/>
  <c r="J79" i="17"/>
  <c r="I79" i="17"/>
  <c r="F79" i="17"/>
  <c r="E79" i="17"/>
  <c r="D79" i="17"/>
  <c r="G78" i="17"/>
  <c r="G77" i="17"/>
  <c r="G76" i="17"/>
  <c r="G75" i="17"/>
  <c r="G74" i="17"/>
  <c r="G73" i="17"/>
  <c r="G72" i="17"/>
  <c r="L69" i="17"/>
  <c r="K69" i="17"/>
  <c r="I69" i="17"/>
  <c r="H69" i="17"/>
  <c r="G69" i="17"/>
  <c r="F69" i="17"/>
  <c r="E69" i="17"/>
  <c r="D69" i="17"/>
  <c r="K58" i="17"/>
  <c r="J58" i="17"/>
  <c r="I58" i="17"/>
  <c r="H58" i="17"/>
  <c r="G58" i="17"/>
  <c r="F58" i="17"/>
  <c r="E58" i="17"/>
  <c r="D58" i="17"/>
  <c r="E47" i="17"/>
  <c r="D47" i="17"/>
  <c r="F35" i="17"/>
  <c r="E35" i="17"/>
  <c r="D35" i="17"/>
  <c r="G34" i="17"/>
  <c r="G33" i="17"/>
  <c r="G32" i="17"/>
  <c r="G31" i="17"/>
  <c r="G30" i="17"/>
  <c r="G28" i="17"/>
  <c r="O24" i="17"/>
  <c r="N24" i="17"/>
  <c r="M24" i="17"/>
  <c r="L24" i="17"/>
  <c r="K24" i="17"/>
  <c r="J24" i="17"/>
  <c r="I24" i="17"/>
  <c r="H24" i="17"/>
  <c r="F24" i="17"/>
  <c r="E24" i="17"/>
  <c r="D24" i="17"/>
  <c r="G23" i="17"/>
  <c r="G22" i="17"/>
  <c r="G21" i="17"/>
  <c r="G20" i="17"/>
  <c r="G19" i="17"/>
  <c r="G17" i="17"/>
  <c r="G196" i="17" l="1"/>
  <c r="G79" i="17"/>
  <c r="G137" i="17"/>
  <c r="G24" i="17"/>
  <c r="I151" i="17"/>
  <c r="J172" i="17"/>
  <c r="G185" i="17"/>
  <c r="G35" i="17"/>
  <c r="G162" i="17"/>
  <c r="K172" i="17"/>
  <c r="L196" i="17"/>
  <c r="I219" i="18"/>
  <c r="H219" i="18"/>
  <c r="G219" i="18"/>
  <c r="F219" i="18"/>
  <c r="E219" i="18"/>
  <c r="D219" i="18"/>
  <c r="L209" i="18"/>
  <c r="K209" i="18"/>
  <c r="J209" i="18"/>
  <c r="I209" i="18"/>
  <c r="H209" i="18"/>
  <c r="G209" i="18"/>
  <c r="F209" i="18"/>
  <c r="E209" i="18"/>
  <c r="D209" i="18"/>
  <c r="L196" i="18"/>
  <c r="K196" i="18"/>
  <c r="J196" i="18"/>
  <c r="I196" i="18"/>
  <c r="H196" i="18"/>
  <c r="F196" i="18"/>
  <c r="E196" i="18"/>
  <c r="D196" i="18"/>
  <c r="G195" i="18"/>
  <c r="G194" i="18"/>
  <c r="G193" i="18"/>
  <c r="G192" i="18"/>
  <c r="G191" i="18"/>
  <c r="G190" i="18"/>
  <c r="G189" i="18"/>
  <c r="O185" i="18"/>
  <c r="N185" i="18"/>
  <c r="M185" i="18"/>
  <c r="L185" i="18"/>
  <c r="K185" i="18"/>
  <c r="J185" i="18"/>
  <c r="I185" i="18"/>
  <c r="H185" i="18"/>
  <c r="F185" i="18"/>
  <c r="E185" i="18"/>
  <c r="D185" i="18"/>
  <c r="G184" i="18"/>
  <c r="G183" i="18"/>
  <c r="G182" i="18"/>
  <c r="G181" i="18"/>
  <c r="G180" i="18"/>
  <c r="G179" i="18"/>
  <c r="G178" i="18"/>
  <c r="G185" i="18" s="1"/>
  <c r="I172" i="18"/>
  <c r="H172" i="18"/>
  <c r="G172" i="18"/>
  <c r="F172" i="18"/>
  <c r="E172" i="18"/>
  <c r="D172" i="18"/>
  <c r="K171" i="18"/>
  <c r="J171" i="18"/>
  <c r="K170" i="18"/>
  <c r="J170" i="18"/>
  <c r="K169" i="18"/>
  <c r="J169" i="18"/>
  <c r="K168" i="18"/>
  <c r="J168" i="18"/>
  <c r="K167" i="18"/>
  <c r="J167" i="18"/>
  <c r="K166" i="18"/>
  <c r="J166" i="18"/>
  <c r="K165" i="18"/>
  <c r="J165" i="18"/>
  <c r="J162" i="18"/>
  <c r="I162" i="18"/>
  <c r="H162" i="18"/>
  <c r="F162" i="18"/>
  <c r="E162" i="18"/>
  <c r="D162" i="18"/>
  <c r="G161" i="18"/>
  <c r="G160" i="18"/>
  <c r="G159" i="18"/>
  <c r="G158" i="18"/>
  <c r="G157" i="18"/>
  <c r="G156" i="18"/>
  <c r="G155" i="18"/>
  <c r="N151" i="18"/>
  <c r="M151" i="18"/>
  <c r="L151" i="18"/>
  <c r="K151" i="18"/>
  <c r="J151" i="18"/>
  <c r="H151" i="18"/>
  <c r="G151" i="18"/>
  <c r="F151" i="18"/>
  <c r="E151" i="18"/>
  <c r="D151" i="18"/>
  <c r="I150" i="18"/>
  <c r="I149" i="18"/>
  <c r="I148" i="18"/>
  <c r="I147" i="18"/>
  <c r="I151" i="18"/>
  <c r="I145" i="18"/>
  <c r="I144" i="18"/>
  <c r="F137" i="18"/>
  <c r="E137" i="18"/>
  <c r="D137" i="18"/>
  <c r="G136" i="18"/>
  <c r="G135" i="18"/>
  <c r="G134" i="18"/>
  <c r="G133" i="18"/>
  <c r="G132" i="18"/>
  <c r="G131" i="18"/>
  <c r="L127" i="18"/>
  <c r="K127" i="18"/>
  <c r="I127" i="18"/>
  <c r="H127" i="18"/>
  <c r="G127" i="18"/>
  <c r="F127" i="18"/>
  <c r="E127" i="18"/>
  <c r="D127" i="18"/>
  <c r="L116" i="18"/>
  <c r="K116" i="18"/>
  <c r="I116" i="18"/>
  <c r="H116" i="18"/>
  <c r="G116" i="18"/>
  <c r="F116" i="18"/>
  <c r="E116" i="18"/>
  <c r="D116" i="18"/>
  <c r="M105" i="18"/>
  <c r="L105" i="18"/>
  <c r="K105" i="18"/>
  <c r="J105" i="18"/>
  <c r="I105" i="18"/>
  <c r="H105" i="18"/>
  <c r="G105" i="18"/>
  <c r="F105" i="18"/>
  <c r="E105" i="18"/>
  <c r="D105" i="18"/>
  <c r="K92" i="18"/>
  <c r="J92" i="18"/>
  <c r="I92" i="18"/>
  <c r="H92" i="18"/>
  <c r="G92" i="18"/>
  <c r="F92" i="18"/>
  <c r="E92" i="18"/>
  <c r="D92" i="18"/>
  <c r="O79" i="18"/>
  <c r="N79" i="18"/>
  <c r="M79" i="18"/>
  <c r="L79" i="18"/>
  <c r="K79" i="18"/>
  <c r="J79" i="18"/>
  <c r="I79" i="18"/>
  <c r="F79" i="18"/>
  <c r="E79" i="18"/>
  <c r="D79" i="18"/>
  <c r="G78" i="18"/>
  <c r="G77" i="18"/>
  <c r="G76" i="18"/>
  <c r="G75" i="18"/>
  <c r="G74" i="18"/>
  <c r="G73" i="18"/>
  <c r="G72" i="18"/>
  <c r="L69" i="18"/>
  <c r="K69" i="18"/>
  <c r="I69" i="18"/>
  <c r="H69" i="18"/>
  <c r="G69" i="18"/>
  <c r="F69" i="18"/>
  <c r="E69" i="18"/>
  <c r="D69" i="18"/>
  <c r="K58" i="18"/>
  <c r="J58" i="18"/>
  <c r="I58" i="18"/>
  <c r="H58" i="18"/>
  <c r="G58" i="18"/>
  <c r="F58" i="18"/>
  <c r="E58" i="18"/>
  <c r="D58" i="18"/>
  <c r="E47" i="18"/>
  <c r="D47" i="18"/>
  <c r="F35" i="18"/>
  <c r="E35" i="18"/>
  <c r="D35" i="18"/>
  <c r="G34" i="18"/>
  <c r="G33" i="18"/>
  <c r="G32" i="18"/>
  <c r="G31" i="18"/>
  <c r="G30" i="18"/>
  <c r="G29" i="18"/>
  <c r="G28" i="18"/>
  <c r="O24" i="18"/>
  <c r="N24" i="18"/>
  <c r="M24" i="18"/>
  <c r="L24" i="18"/>
  <c r="K24" i="18"/>
  <c r="J24" i="18"/>
  <c r="I24" i="18"/>
  <c r="H24" i="18"/>
  <c r="F24" i="18"/>
  <c r="E24" i="18"/>
  <c r="D24" i="18"/>
  <c r="G23" i="18"/>
  <c r="G22" i="18"/>
  <c r="G21" i="18"/>
  <c r="G20" i="18"/>
  <c r="G19" i="18"/>
  <c r="G18" i="18"/>
  <c r="G17" i="18"/>
  <c r="K172" i="18" l="1"/>
  <c r="G137" i="18"/>
  <c r="G79" i="18"/>
  <c r="J172" i="18"/>
  <c r="G162" i="18"/>
  <c r="G196" i="18"/>
  <c r="G24" i="18"/>
  <c r="G35" i="18"/>
  <c r="I219" i="38"/>
  <c r="H219" i="38"/>
  <c r="G219" i="38"/>
  <c r="F219" i="38"/>
  <c r="E219" i="38"/>
  <c r="L209" i="38"/>
  <c r="K209" i="38"/>
  <c r="J209" i="38"/>
  <c r="I209" i="38"/>
  <c r="H209" i="38"/>
  <c r="G209" i="38"/>
  <c r="F209" i="38"/>
  <c r="E209" i="38"/>
  <c r="D209" i="38"/>
  <c r="L196" i="38"/>
  <c r="K196" i="38"/>
  <c r="J196" i="38"/>
  <c r="I196" i="38"/>
  <c r="H196" i="38"/>
  <c r="F196" i="38"/>
  <c r="E196" i="38"/>
  <c r="G195" i="38"/>
  <c r="G194" i="38"/>
  <c r="G193" i="38"/>
  <c r="G192" i="38"/>
  <c r="G191" i="38"/>
  <c r="G190" i="38"/>
  <c r="G189" i="38"/>
  <c r="O185" i="38"/>
  <c r="N185" i="38"/>
  <c r="M185" i="38"/>
  <c r="L185" i="38"/>
  <c r="F185" i="38"/>
  <c r="G184" i="38"/>
  <c r="G183" i="38"/>
  <c r="G182" i="38"/>
  <c r="G181" i="38"/>
  <c r="G180" i="38"/>
  <c r="G179" i="38"/>
  <c r="G178" i="38"/>
  <c r="I172" i="38"/>
  <c r="H172" i="38"/>
  <c r="G172" i="38"/>
  <c r="F172" i="38"/>
  <c r="E172" i="38"/>
  <c r="D172" i="38"/>
  <c r="K171" i="38"/>
  <c r="J171" i="38"/>
  <c r="K170" i="38"/>
  <c r="J170" i="38"/>
  <c r="K169" i="38"/>
  <c r="J169" i="38"/>
  <c r="K168" i="38"/>
  <c r="J168" i="38"/>
  <c r="K167" i="38"/>
  <c r="J167" i="38"/>
  <c r="K166" i="38"/>
  <c r="J166" i="38"/>
  <c r="K165" i="38"/>
  <c r="J165" i="38"/>
  <c r="J162" i="38"/>
  <c r="I162" i="38"/>
  <c r="H162" i="38"/>
  <c r="F162" i="38"/>
  <c r="E162" i="38"/>
  <c r="D162" i="38"/>
  <c r="G161" i="38"/>
  <c r="G160" i="38"/>
  <c r="G159" i="38"/>
  <c r="G158" i="38"/>
  <c r="G156" i="38"/>
  <c r="G155" i="38"/>
  <c r="N151" i="38"/>
  <c r="M151" i="38"/>
  <c r="L151" i="38"/>
  <c r="K151" i="38"/>
  <c r="J151" i="38"/>
  <c r="H151" i="38"/>
  <c r="G151" i="38"/>
  <c r="F151" i="38"/>
  <c r="E151" i="38"/>
  <c r="D151" i="38"/>
  <c r="I150" i="38"/>
  <c r="I149" i="38"/>
  <c r="I148" i="38"/>
  <c r="I147" i="38"/>
  <c r="I146" i="38"/>
  <c r="I145" i="38"/>
  <c r="I144" i="38"/>
  <c r="F137" i="38"/>
  <c r="E137" i="38"/>
  <c r="D137" i="38"/>
  <c r="G136" i="38"/>
  <c r="G135" i="38"/>
  <c r="G134" i="38"/>
  <c r="G133" i="38"/>
  <c r="G132" i="38"/>
  <c r="G131" i="38"/>
  <c r="L127" i="38"/>
  <c r="K127" i="38"/>
  <c r="I127" i="38"/>
  <c r="H127" i="38"/>
  <c r="G127" i="38"/>
  <c r="F127" i="38"/>
  <c r="E127" i="38"/>
  <c r="D127" i="38"/>
  <c r="L116" i="38"/>
  <c r="K116" i="38"/>
  <c r="I116" i="38"/>
  <c r="H116" i="38"/>
  <c r="G116" i="38"/>
  <c r="F116" i="38"/>
  <c r="E116" i="38"/>
  <c r="D116" i="38"/>
  <c r="M105" i="38"/>
  <c r="L105" i="38"/>
  <c r="K105" i="38"/>
  <c r="J105" i="38"/>
  <c r="I105" i="38"/>
  <c r="H105" i="38"/>
  <c r="G105" i="38"/>
  <c r="F105" i="38"/>
  <c r="E105" i="38"/>
  <c r="D105" i="38"/>
  <c r="K92" i="38"/>
  <c r="J92" i="38"/>
  <c r="I92" i="38"/>
  <c r="H92" i="38"/>
  <c r="G92" i="38"/>
  <c r="F92" i="38"/>
  <c r="E92" i="38"/>
  <c r="D92" i="38"/>
  <c r="O79" i="38"/>
  <c r="N79" i="38"/>
  <c r="M79" i="38"/>
  <c r="L79" i="38"/>
  <c r="K79" i="38"/>
  <c r="J79" i="38"/>
  <c r="I79" i="38"/>
  <c r="F79" i="38"/>
  <c r="E79" i="38"/>
  <c r="D79" i="38"/>
  <c r="G78" i="38"/>
  <c r="G77" i="38"/>
  <c r="G76" i="38"/>
  <c r="G75" i="38"/>
  <c r="G72" i="38"/>
  <c r="L69" i="38"/>
  <c r="K69" i="38"/>
  <c r="I69" i="38"/>
  <c r="H69" i="38"/>
  <c r="G69" i="38"/>
  <c r="F69" i="38"/>
  <c r="E69" i="38"/>
  <c r="D69" i="38"/>
  <c r="K58" i="38"/>
  <c r="J58" i="38"/>
  <c r="I58" i="38"/>
  <c r="H58" i="38"/>
  <c r="G58" i="38"/>
  <c r="F58" i="38"/>
  <c r="E58" i="38"/>
  <c r="D58" i="38"/>
  <c r="E47" i="38"/>
  <c r="D47" i="38"/>
  <c r="F35" i="38"/>
  <c r="E35" i="38"/>
  <c r="G35" i="38" s="1"/>
  <c r="D35" i="38"/>
  <c r="G34" i="38"/>
  <c r="G33" i="38"/>
  <c r="G32" i="38"/>
  <c r="G31" i="38"/>
  <c r="G30" i="38"/>
  <c r="G29" i="38"/>
  <c r="G28" i="38"/>
  <c r="O24" i="38"/>
  <c r="N24" i="38"/>
  <c r="M24" i="38"/>
  <c r="L24" i="38"/>
  <c r="K24" i="38"/>
  <c r="J24" i="38"/>
  <c r="I24" i="38"/>
  <c r="H24" i="38"/>
  <c r="F24" i="38"/>
  <c r="E24" i="38"/>
  <c r="D24" i="38"/>
  <c r="G24" i="38" s="1"/>
  <c r="G23" i="38"/>
  <c r="G22" i="38"/>
  <c r="G21" i="38"/>
  <c r="G20" i="38"/>
  <c r="G19" i="38"/>
  <c r="G18" i="38"/>
  <c r="G17" i="38"/>
  <c r="G79" i="38" l="1"/>
  <c r="I151" i="38"/>
  <c r="G162" i="38"/>
  <c r="G185" i="38"/>
  <c r="G196" i="38"/>
  <c r="K172" i="38"/>
  <c r="G137" i="38"/>
  <c r="J172" i="38"/>
  <c r="I219" i="37"/>
  <c r="H219" i="37"/>
  <c r="G219" i="37"/>
  <c r="F219" i="37"/>
  <c r="E219" i="37"/>
  <c r="F213" i="37"/>
  <c r="L209" i="37"/>
  <c r="K209" i="37"/>
  <c r="J209" i="37"/>
  <c r="I209" i="37"/>
  <c r="H209" i="37"/>
  <c r="G209" i="37"/>
  <c r="F209" i="37"/>
  <c r="E209" i="37"/>
  <c r="D209" i="37"/>
  <c r="L196" i="37"/>
  <c r="K196" i="37"/>
  <c r="J196" i="37"/>
  <c r="I196" i="37"/>
  <c r="H196" i="37"/>
  <c r="E196" i="37"/>
  <c r="D196" i="37"/>
  <c r="G195" i="37"/>
  <c r="G194" i="37"/>
  <c r="G193" i="37"/>
  <c r="G192" i="37"/>
  <c r="G191" i="37"/>
  <c r="G190" i="37"/>
  <c r="G189" i="37"/>
  <c r="O185" i="37"/>
  <c r="N185" i="37"/>
  <c r="M185" i="37"/>
  <c r="L185" i="37"/>
  <c r="K185" i="37"/>
  <c r="J185" i="37"/>
  <c r="I185" i="37"/>
  <c r="H185" i="37"/>
  <c r="F185" i="37"/>
  <c r="E185" i="37"/>
  <c r="D185" i="37"/>
  <c r="G184" i="37"/>
  <c r="G183" i="37"/>
  <c r="G182" i="37"/>
  <c r="G181" i="37"/>
  <c r="G179" i="37"/>
  <c r="G178" i="37"/>
  <c r="I172" i="37"/>
  <c r="H172" i="37"/>
  <c r="G172" i="37"/>
  <c r="F172" i="37"/>
  <c r="E172" i="37"/>
  <c r="D172" i="37"/>
  <c r="K171" i="37"/>
  <c r="J171" i="37"/>
  <c r="K170" i="37"/>
  <c r="J170" i="37"/>
  <c r="K169" i="37"/>
  <c r="J169" i="37"/>
  <c r="K168" i="37"/>
  <c r="J168" i="37"/>
  <c r="K167" i="37"/>
  <c r="J167" i="37"/>
  <c r="K166" i="37"/>
  <c r="J166" i="37"/>
  <c r="K165" i="37"/>
  <c r="J165" i="37"/>
  <c r="J162" i="37"/>
  <c r="I162" i="37"/>
  <c r="H162" i="37"/>
  <c r="F162" i="37"/>
  <c r="E162" i="37"/>
  <c r="D162" i="37"/>
  <c r="G161" i="37"/>
  <c r="G160" i="37"/>
  <c r="G159" i="37"/>
  <c r="G158" i="37"/>
  <c r="G157" i="37"/>
  <c r="G156" i="37"/>
  <c r="G155" i="37"/>
  <c r="N151" i="37"/>
  <c r="M151" i="37"/>
  <c r="L151" i="37"/>
  <c r="K151" i="37"/>
  <c r="J151" i="37"/>
  <c r="H151" i="37"/>
  <c r="G151" i="37"/>
  <c r="F151" i="37"/>
  <c r="E151" i="37"/>
  <c r="D151" i="37"/>
  <c r="I150" i="37"/>
  <c r="I149" i="37"/>
  <c r="I148" i="37"/>
  <c r="I147" i="37"/>
  <c r="I146" i="37"/>
  <c r="I145" i="37"/>
  <c r="I144" i="37"/>
  <c r="F137" i="37"/>
  <c r="E137" i="37"/>
  <c r="D137" i="37"/>
  <c r="G136" i="37"/>
  <c r="G135" i="37"/>
  <c r="G134" i="37"/>
  <c r="G133" i="37"/>
  <c r="G132" i="37"/>
  <c r="G131" i="37"/>
  <c r="L127" i="37"/>
  <c r="K127" i="37"/>
  <c r="I127" i="37"/>
  <c r="H127" i="37"/>
  <c r="G127" i="37"/>
  <c r="F127" i="37"/>
  <c r="E127" i="37"/>
  <c r="D127" i="37"/>
  <c r="L116" i="37"/>
  <c r="K116" i="37"/>
  <c r="I116" i="37"/>
  <c r="H116" i="37"/>
  <c r="G116" i="37"/>
  <c r="F116" i="37"/>
  <c r="E116" i="37"/>
  <c r="D116" i="37"/>
  <c r="M105" i="37"/>
  <c r="L105" i="37"/>
  <c r="K105" i="37"/>
  <c r="J105" i="37"/>
  <c r="I105" i="37"/>
  <c r="H105" i="37"/>
  <c r="G105" i="37"/>
  <c r="F105" i="37"/>
  <c r="E105" i="37"/>
  <c r="D105" i="37"/>
  <c r="K92" i="37"/>
  <c r="J92" i="37"/>
  <c r="I92" i="37"/>
  <c r="H92" i="37"/>
  <c r="G92" i="37"/>
  <c r="F92" i="37"/>
  <c r="E92" i="37"/>
  <c r="D92" i="37"/>
  <c r="O79" i="37"/>
  <c r="N79" i="37"/>
  <c r="M79" i="37"/>
  <c r="L79" i="37"/>
  <c r="K79" i="37"/>
  <c r="J79" i="37"/>
  <c r="I79" i="37"/>
  <c r="F79" i="37"/>
  <c r="E79" i="37"/>
  <c r="D79" i="37"/>
  <c r="G78" i="37"/>
  <c r="G77" i="37"/>
  <c r="G76" i="37"/>
  <c r="G75" i="37"/>
  <c r="G74" i="37"/>
  <c r="G73" i="37"/>
  <c r="G72" i="37"/>
  <c r="G79" i="37" s="1"/>
  <c r="L69" i="37"/>
  <c r="K69" i="37"/>
  <c r="I69" i="37"/>
  <c r="H69" i="37"/>
  <c r="G69" i="37"/>
  <c r="F69" i="37"/>
  <c r="E69" i="37"/>
  <c r="D69" i="37"/>
  <c r="K58" i="37"/>
  <c r="J58" i="37"/>
  <c r="I58" i="37"/>
  <c r="H58" i="37"/>
  <c r="G58" i="37"/>
  <c r="F58" i="37"/>
  <c r="E58" i="37"/>
  <c r="D58" i="37"/>
  <c r="E47" i="37"/>
  <c r="D47" i="37"/>
  <c r="F35" i="37"/>
  <c r="E35" i="37"/>
  <c r="D35" i="37"/>
  <c r="G34" i="37"/>
  <c r="G33" i="37"/>
  <c r="G32" i="37"/>
  <c r="G31" i="37"/>
  <c r="G28" i="37"/>
  <c r="O24" i="37"/>
  <c r="N24" i="37"/>
  <c r="M24" i="37"/>
  <c r="L24" i="37"/>
  <c r="K24" i="37"/>
  <c r="J24" i="37"/>
  <c r="I24" i="37"/>
  <c r="H24" i="37"/>
  <c r="F24" i="37"/>
  <c r="E24" i="37"/>
  <c r="D24" i="37"/>
  <c r="G23" i="37"/>
  <c r="G22" i="37"/>
  <c r="G21" i="37"/>
  <c r="G20" i="37"/>
  <c r="G19" i="37"/>
  <c r="G17" i="37"/>
  <c r="J172" i="37" l="1"/>
  <c r="G185" i="37"/>
  <c r="G24" i="37"/>
  <c r="G35" i="37"/>
  <c r="G137" i="37"/>
  <c r="K172" i="37"/>
  <c r="G196" i="37"/>
  <c r="I151" i="37"/>
  <c r="G162" i="37"/>
  <c r="I219" i="36"/>
  <c r="H219" i="36"/>
  <c r="G219" i="36"/>
  <c r="F219" i="36"/>
  <c r="E219" i="36"/>
  <c r="D219" i="36"/>
  <c r="L209" i="36"/>
  <c r="K209" i="36"/>
  <c r="J209" i="36"/>
  <c r="I209" i="36"/>
  <c r="H209" i="36"/>
  <c r="G209" i="36"/>
  <c r="F209" i="36"/>
  <c r="E209" i="36"/>
  <c r="D209" i="36"/>
  <c r="L196" i="36"/>
  <c r="K196" i="36"/>
  <c r="J196" i="36"/>
  <c r="I196" i="36"/>
  <c r="H196" i="36"/>
  <c r="F196" i="36"/>
  <c r="E196" i="36"/>
  <c r="D196" i="36"/>
  <c r="G195" i="36"/>
  <c r="G194" i="36"/>
  <c r="G193" i="36"/>
  <c r="G192" i="36"/>
  <c r="G191" i="36"/>
  <c r="G190" i="36"/>
  <c r="G189" i="36"/>
  <c r="O185" i="36"/>
  <c r="N185" i="36"/>
  <c r="M185" i="36"/>
  <c r="L185" i="36"/>
  <c r="K185" i="36"/>
  <c r="J185" i="36"/>
  <c r="I185" i="36"/>
  <c r="H185" i="36"/>
  <c r="F185" i="36"/>
  <c r="E185" i="36"/>
  <c r="D185" i="36"/>
  <c r="G184" i="36"/>
  <c r="G183" i="36"/>
  <c r="G182" i="36"/>
  <c r="G181" i="36"/>
  <c r="G180" i="36"/>
  <c r="G179" i="36"/>
  <c r="G178" i="36"/>
  <c r="I172" i="36"/>
  <c r="H172" i="36"/>
  <c r="G172" i="36"/>
  <c r="F172" i="36"/>
  <c r="E172" i="36"/>
  <c r="D172" i="36"/>
  <c r="K171" i="36"/>
  <c r="J171" i="36"/>
  <c r="K170" i="36"/>
  <c r="J170" i="36"/>
  <c r="K169" i="36"/>
  <c r="J169" i="36"/>
  <c r="K168" i="36"/>
  <c r="J168" i="36"/>
  <c r="K167" i="36"/>
  <c r="J167" i="36"/>
  <c r="K166" i="36"/>
  <c r="J166" i="36"/>
  <c r="J172" i="36" s="1"/>
  <c r="K165" i="36"/>
  <c r="J165" i="36"/>
  <c r="J162" i="36"/>
  <c r="I162" i="36"/>
  <c r="H162" i="36"/>
  <c r="F162" i="36"/>
  <c r="E162" i="36"/>
  <c r="D162" i="36"/>
  <c r="G161" i="36"/>
  <c r="G160" i="36"/>
  <c r="G159" i="36"/>
  <c r="G158" i="36"/>
  <c r="G157" i="36"/>
  <c r="G156" i="36"/>
  <c r="G155" i="36"/>
  <c r="N151" i="36"/>
  <c r="M151" i="36"/>
  <c r="L151" i="36"/>
  <c r="K151" i="36"/>
  <c r="J151" i="36"/>
  <c r="H151" i="36"/>
  <c r="G151" i="36"/>
  <c r="F151" i="36"/>
  <c r="E151" i="36"/>
  <c r="D151" i="36"/>
  <c r="I150" i="36"/>
  <c r="I149" i="36"/>
  <c r="I148" i="36"/>
  <c r="I147" i="36"/>
  <c r="I146" i="36"/>
  <c r="I145" i="36"/>
  <c r="I144" i="36"/>
  <c r="F137" i="36"/>
  <c r="E137" i="36"/>
  <c r="D137" i="36"/>
  <c r="G136" i="36"/>
  <c r="G135" i="36"/>
  <c r="G134" i="36"/>
  <c r="G133" i="36"/>
  <c r="G132" i="36"/>
  <c r="G131" i="36"/>
  <c r="L127" i="36"/>
  <c r="K127" i="36"/>
  <c r="I127" i="36"/>
  <c r="H127" i="36"/>
  <c r="G127" i="36"/>
  <c r="F127" i="36"/>
  <c r="E127" i="36"/>
  <c r="D127" i="36"/>
  <c r="L116" i="36"/>
  <c r="K116" i="36"/>
  <c r="I116" i="36"/>
  <c r="H116" i="36"/>
  <c r="G116" i="36"/>
  <c r="F116" i="36"/>
  <c r="E116" i="36"/>
  <c r="D116" i="36"/>
  <c r="M105" i="36"/>
  <c r="L105" i="36"/>
  <c r="K105" i="36"/>
  <c r="J105" i="36"/>
  <c r="I105" i="36"/>
  <c r="H105" i="36"/>
  <c r="G105" i="36"/>
  <c r="F105" i="36"/>
  <c r="E105" i="36"/>
  <c r="D105" i="36"/>
  <c r="K92" i="36"/>
  <c r="J92" i="36"/>
  <c r="I92" i="36"/>
  <c r="H92" i="36"/>
  <c r="G92" i="36"/>
  <c r="F92" i="36"/>
  <c r="E92" i="36"/>
  <c r="D92" i="36"/>
  <c r="O79" i="36"/>
  <c r="N79" i="36"/>
  <c r="M79" i="36"/>
  <c r="L79" i="36"/>
  <c r="K79" i="36"/>
  <c r="J79" i="36"/>
  <c r="I79" i="36"/>
  <c r="F79" i="36"/>
  <c r="E79" i="36"/>
  <c r="D79" i="36"/>
  <c r="G78" i="36"/>
  <c r="G77" i="36"/>
  <c r="G76" i="36"/>
  <c r="G75" i="36"/>
  <c r="G74" i="36"/>
  <c r="G73" i="36"/>
  <c r="G72" i="36"/>
  <c r="L69" i="36"/>
  <c r="K69" i="36"/>
  <c r="I69" i="36"/>
  <c r="H69" i="36"/>
  <c r="G69" i="36"/>
  <c r="F69" i="36"/>
  <c r="E69" i="36"/>
  <c r="D69" i="36"/>
  <c r="K58" i="36"/>
  <c r="J58" i="36"/>
  <c r="I58" i="36"/>
  <c r="H58" i="36"/>
  <c r="G58" i="36"/>
  <c r="F58" i="36"/>
  <c r="E58" i="36"/>
  <c r="D58" i="36"/>
  <c r="E47" i="36"/>
  <c r="D47" i="36"/>
  <c r="F35" i="36"/>
  <c r="E35" i="36"/>
  <c r="D35" i="36"/>
  <c r="G34" i="36"/>
  <c r="G33" i="36"/>
  <c r="G32" i="36"/>
  <c r="G31" i="36"/>
  <c r="G30" i="36"/>
  <c r="G29" i="36"/>
  <c r="G28" i="36"/>
  <c r="O24" i="36"/>
  <c r="N24" i="36"/>
  <c r="M24" i="36"/>
  <c r="L24" i="36"/>
  <c r="K24" i="36"/>
  <c r="J24" i="36"/>
  <c r="I24" i="36"/>
  <c r="H24" i="36"/>
  <c r="F24" i="36"/>
  <c r="E24" i="36"/>
  <c r="D24" i="36"/>
  <c r="G23" i="36"/>
  <c r="G22" i="36"/>
  <c r="G21" i="36"/>
  <c r="G20" i="36"/>
  <c r="G19" i="36"/>
  <c r="G18" i="36"/>
  <c r="G17" i="36"/>
  <c r="G24" i="36" l="1"/>
  <c r="G35" i="36"/>
  <c r="G185" i="36"/>
  <c r="G79" i="36"/>
  <c r="G162" i="36"/>
  <c r="K172" i="36"/>
  <c r="G196" i="36"/>
  <c r="I151" i="36"/>
  <c r="G137" i="36"/>
  <c r="I219" i="35"/>
  <c r="H219" i="35"/>
  <c r="G219" i="35"/>
  <c r="F219" i="35"/>
  <c r="E219" i="35"/>
  <c r="D219" i="35"/>
  <c r="E213" i="35"/>
  <c r="L209" i="35"/>
  <c r="K209" i="35"/>
  <c r="J209" i="35"/>
  <c r="I209" i="35"/>
  <c r="H209" i="35"/>
  <c r="G209" i="35"/>
  <c r="F209" i="35"/>
  <c r="E209" i="35"/>
  <c r="D209" i="35"/>
  <c r="L196" i="35"/>
  <c r="K196" i="35"/>
  <c r="I196" i="35"/>
  <c r="H196" i="35"/>
  <c r="F196" i="35"/>
  <c r="E196" i="35"/>
  <c r="D196" i="35"/>
  <c r="G195" i="35"/>
  <c r="G194" i="35"/>
  <c r="G193" i="35"/>
  <c r="G192" i="35"/>
  <c r="G191" i="35"/>
  <c r="G190" i="35"/>
  <c r="G196" i="35" s="1"/>
  <c r="G189" i="35"/>
  <c r="O185" i="35"/>
  <c r="N185" i="35"/>
  <c r="M185" i="35"/>
  <c r="L185" i="35"/>
  <c r="K185" i="35"/>
  <c r="J185" i="35"/>
  <c r="I185" i="35"/>
  <c r="H185" i="35"/>
  <c r="F185" i="35"/>
  <c r="E185" i="35"/>
  <c r="D185" i="35"/>
  <c r="G184" i="35"/>
  <c r="G183" i="35"/>
  <c r="G182" i="35"/>
  <c r="G181" i="35"/>
  <c r="G180" i="35"/>
  <c r="G179" i="35"/>
  <c r="G178" i="35"/>
  <c r="I172" i="35"/>
  <c r="H172" i="35"/>
  <c r="G172" i="35"/>
  <c r="F172" i="35"/>
  <c r="E172" i="35"/>
  <c r="D172" i="35"/>
  <c r="K171" i="35"/>
  <c r="J171" i="35"/>
  <c r="K170" i="35"/>
  <c r="J170" i="35"/>
  <c r="K169" i="35"/>
  <c r="J169" i="35"/>
  <c r="K168" i="35"/>
  <c r="J168" i="35"/>
  <c r="K167" i="35"/>
  <c r="J167" i="35"/>
  <c r="K166" i="35"/>
  <c r="K172" i="35" s="1"/>
  <c r="J166" i="35"/>
  <c r="K165" i="35"/>
  <c r="J165" i="35"/>
  <c r="J162" i="35"/>
  <c r="I162" i="35"/>
  <c r="H162" i="35"/>
  <c r="F162" i="35"/>
  <c r="E162" i="35"/>
  <c r="D162" i="35"/>
  <c r="G161" i="35"/>
  <c r="G160" i="35"/>
  <c r="G159" i="35"/>
  <c r="G158" i="35"/>
  <c r="G157" i="35"/>
  <c r="G156" i="35"/>
  <c r="G155" i="35"/>
  <c r="G162" i="35" s="1"/>
  <c r="N151" i="35"/>
  <c r="M151" i="35"/>
  <c r="L151" i="35"/>
  <c r="K151" i="35"/>
  <c r="J151" i="35"/>
  <c r="H151" i="35"/>
  <c r="G151" i="35"/>
  <c r="F151" i="35"/>
  <c r="E151" i="35"/>
  <c r="D151" i="35"/>
  <c r="I150" i="35"/>
  <c r="I149" i="35"/>
  <c r="I148" i="35"/>
  <c r="I147" i="35"/>
  <c r="I146" i="35"/>
  <c r="I145" i="35"/>
  <c r="I144" i="35"/>
  <c r="F137" i="35"/>
  <c r="E137" i="35"/>
  <c r="D137" i="35"/>
  <c r="G136" i="35"/>
  <c r="G135" i="35"/>
  <c r="G134" i="35"/>
  <c r="G133" i="35"/>
  <c r="G132" i="35"/>
  <c r="G131" i="35"/>
  <c r="L127" i="35"/>
  <c r="K127" i="35"/>
  <c r="I127" i="35"/>
  <c r="H127" i="35"/>
  <c r="G127" i="35"/>
  <c r="F127" i="35"/>
  <c r="E127" i="35"/>
  <c r="D127" i="35"/>
  <c r="L116" i="35"/>
  <c r="K116" i="35"/>
  <c r="I116" i="35"/>
  <c r="H116" i="35"/>
  <c r="G116" i="35"/>
  <c r="F116" i="35"/>
  <c r="E116" i="35"/>
  <c r="D116" i="35"/>
  <c r="M105" i="35"/>
  <c r="L105" i="35"/>
  <c r="K105" i="35"/>
  <c r="J105" i="35"/>
  <c r="I105" i="35"/>
  <c r="H105" i="35"/>
  <c r="G105" i="35"/>
  <c r="F105" i="35"/>
  <c r="E105" i="35"/>
  <c r="D105" i="35"/>
  <c r="K92" i="35"/>
  <c r="J92" i="35"/>
  <c r="I92" i="35"/>
  <c r="H92" i="35"/>
  <c r="G92" i="35"/>
  <c r="F92" i="35"/>
  <c r="E92" i="35"/>
  <c r="D92" i="35"/>
  <c r="O79" i="35"/>
  <c r="N79" i="35"/>
  <c r="M79" i="35"/>
  <c r="L79" i="35"/>
  <c r="K79" i="35"/>
  <c r="J79" i="35"/>
  <c r="I79" i="35"/>
  <c r="F79" i="35"/>
  <c r="E79" i="35"/>
  <c r="D79" i="35"/>
  <c r="G78" i="35"/>
  <c r="G77" i="35"/>
  <c r="G76" i="35"/>
  <c r="G75" i="35"/>
  <c r="G74" i="35"/>
  <c r="G73" i="35"/>
  <c r="G72" i="35"/>
  <c r="L69" i="35"/>
  <c r="K69" i="35"/>
  <c r="I69" i="35"/>
  <c r="H69" i="35"/>
  <c r="G69" i="35"/>
  <c r="F69" i="35"/>
  <c r="E69" i="35"/>
  <c r="D69" i="35"/>
  <c r="K58" i="35"/>
  <c r="J58" i="35"/>
  <c r="I58" i="35"/>
  <c r="H58" i="35"/>
  <c r="G58" i="35"/>
  <c r="F58" i="35"/>
  <c r="E58" i="35"/>
  <c r="D58" i="35"/>
  <c r="E47" i="35"/>
  <c r="D47" i="35"/>
  <c r="F35" i="35"/>
  <c r="E35" i="35"/>
  <c r="D35" i="35"/>
  <c r="G34" i="35"/>
  <c r="G33" i="35"/>
  <c r="G32" i="35"/>
  <c r="G31" i="35"/>
  <c r="G30" i="35"/>
  <c r="G29" i="35"/>
  <c r="G28" i="35"/>
  <c r="O24" i="35"/>
  <c r="N24" i="35"/>
  <c r="M24" i="35"/>
  <c r="L24" i="35"/>
  <c r="K24" i="35"/>
  <c r="J24" i="35"/>
  <c r="I24" i="35"/>
  <c r="H24" i="35"/>
  <c r="F24" i="35"/>
  <c r="E24" i="35"/>
  <c r="D24" i="35"/>
  <c r="G23" i="35"/>
  <c r="G22" i="35"/>
  <c r="G21" i="35"/>
  <c r="G20" i="35"/>
  <c r="G19" i="35"/>
  <c r="G18" i="35"/>
  <c r="G17" i="35"/>
  <c r="G185" i="35" l="1"/>
  <c r="G24" i="35"/>
  <c r="G35" i="35"/>
  <c r="G137" i="35"/>
  <c r="G79" i="35"/>
  <c r="J172" i="35"/>
  <c r="I151" i="35"/>
  <c r="I219" i="34"/>
  <c r="H219" i="34"/>
  <c r="G219" i="34"/>
  <c r="F219" i="34"/>
  <c r="E219" i="34"/>
  <c r="D219" i="34"/>
  <c r="L209" i="34"/>
  <c r="K209" i="34"/>
  <c r="J209" i="34"/>
  <c r="I209" i="34"/>
  <c r="H209" i="34"/>
  <c r="G209" i="34"/>
  <c r="F209" i="34"/>
  <c r="E209" i="34"/>
  <c r="D209" i="34"/>
  <c r="L196" i="34"/>
  <c r="K196" i="34"/>
  <c r="J196" i="34"/>
  <c r="I196" i="34"/>
  <c r="H196" i="34"/>
  <c r="F196" i="34"/>
  <c r="E196" i="34"/>
  <c r="D196" i="34"/>
  <c r="G195" i="34"/>
  <c r="G194" i="34"/>
  <c r="G193" i="34"/>
  <c r="G192" i="34"/>
  <c r="G191" i="34"/>
  <c r="G190" i="34"/>
  <c r="G189" i="34"/>
  <c r="O185" i="34"/>
  <c r="N185" i="34"/>
  <c r="M185" i="34"/>
  <c r="L185" i="34"/>
  <c r="K185" i="34"/>
  <c r="J185" i="34"/>
  <c r="I185" i="34"/>
  <c r="H185" i="34"/>
  <c r="F185" i="34"/>
  <c r="E185" i="34"/>
  <c r="D185" i="34"/>
  <c r="G184" i="34"/>
  <c r="G183" i="34"/>
  <c r="G182" i="34"/>
  <c r="G181" i="34"/>
  <c r="G180" i="34"/>
  <c r="G179" i="34"/>
  <c r="G178" i="34"/>
  <c r="I172" i="34"/>
  <c r="H172" i="34"/>
  <c r="G172" i="34"/>
  <c r="F172" i="34"/>
  <c r="E172" i="34"/>
  <c r="D172" i="34"/>
  <c r="K171" i="34"/>
  <c r="J171" i="34"/>
  <c r="K170" i="34"/>
  <c r="J170" i="34"/>
  <c r="K169" i="34"/>
  <c r="J169" i="34"/>
  <c r="K168" i="34"/>
  <c r="J168" i="34"/>
  <c r="K167" i="34"/>
  <c r="J167" i="34"/>
  <c r="K166" i="34"/>
  <c r="J166" i="34"/>
  <c r="K165" i="34"/>
  <c r="J165" i="34"/>
  <c r="J172" i="34" s="1"/>
  <c r="J162" i="34"/>
  <c r="I162" i="34"/>
  <c r="H162" i="34"/>
  <c r="F162" i="34"/>
  <c r="E162" i="34"/>
  <c r="D162" i="34"/>
  <c r="G161" i="34"/>
  <c r="G160" i="34"/>
  <c r="G159" i="34"/>
  <c r="G158" i="34"/>
  <c r="G157" i="34"/>
  <c r="G156" i="34"/>
  <c r="G155" i="34"/>
  <c r="N151" i="34"/>
  <c r="M151" i="34"/>
  <c r="L151" i="34"/>
  <c r="K151" i="34"/>
  <c r="J151" i="34"/>
  <c r="H151" i="34"/>
  <c r="G151" i="34"/>
  <c r="F151" i="34"/>
  <c r="E151" i="34"/>
  <c r="D151" i="34"/>
  <c r="I150" i="34"/>
  <c r="I149" i="34"/>
  <c r="I148" i="34"/>
  <c r="I147" i="34"/>
  <c r="I146" i="34"/>
  <c r="I145" i="34"/>
  <c r="I144" i="34"/>
  <c r="F137" i="34"/>
  <c r="E137" i="34"/>
  <c r="D137" i="34"/>
  <c r="G136" i="34"/>
  <c r="G135" i="34"/>
  <c r="G134" i="34"/>
  <c r="G133" i="34"/>
  <c r="G132" i="34"/>
  <c r="G131" i="34"/>
  <c r="L127" i="34"/>
  <c r="K127" i="34"/>
  <c r="I127" i="34"/>
  <c r="H127" i="34"/>
  <c r="G127" i="34"/>
  <c r="F127" i="34"/>
  <c r="E127" i="34"/>
  <c r="D127" i="34"/>
  <c r="L116" i="34"/>
  <c r="K116" i="34"/>
  <c r="I116" i="34"/>
  <c r="H116" i="34"/>
  <c r="G116" i="34"/>
  <c r="F116" i="34"/>
  <c r="E116" i="34"/>
  <c r="D116" i="34"/>
  <c r="M105" i="34"/>
  <c r="L105" i="34"/>
  <c r="K105" i="34"/>
  <c r="J105" i="34"/>
  <c r="I105" i="34"/>
  <c r="H105" i="34"/>
  <c r="G105" i="34"/>
  <c r="F105" i="34"/>
  <c r="E105" i="34"/>
  <c r="D105" i="34"/>
  <c r="K92" i="34"/>
  <c r="J92" i="34"/>
  <c r="I92" i="34"/>
  <c r="H92" i="34"/>
  <c r="G92" i="34"/>
  <c r="F92" i="34"/>
  <c r="E92" i="34"/>
  <c r="D92" i="34"/>
  <c r="O79" i="34"/>
  <c r="N79" i="34"/>
  <c r="M79" i="34"/>
  <c r="L79" i="34"/>
  <c r="K79" i="34"/>
  <c r="J79" i="34"/>
  <c r="I79" i="34"/>
  <c r="F79" i="34"/>
  <c r="E79" i="34"/>
  <c r="D79" i="34"/>
  <c r="G78" i="34"/>
  <c r="G77" i="34"/>
  <c r="G76" i="34"/>
  <c r="G75" i="34"/>
  <c r="G74" i="34"/>
  <c r="G73" i="34"/>
  <c r="G72" i="34"/>
  <c r="L69" i="34"/>
  <c r="K69" i="34"/>
  <c r="I69" i="34"/>
  <c r="H69" i="34"/>
  <c r="G69" i="34"/>
  <c r="F69" i="34"/>
  <c r="E69" i="34"/>
  <c r="D69" i="34"/>
  <c r="K58" i="34"/>
  <c r="J58" i="34"/>
  <c r="I58" i="34"/>
  <c r="H58" i="34"/>
  <c r="G58" i="34"/>
  <c r="F58" i="34"/>
  <c r="E58" i="34"/>
  <c r="D58" i="34"/>
  <c r="E47" i="34"/>
  <c r="D47" i="34"/>
  <c r="F35" i="34"/>
  <c r="E35" i="34"/>
  <c r="D35" i="34"/>
  <c r="G34" i="34"/>
  <c r="G33" i="34"/>
  <c r="G32" i="34"/>
  <c r="G31" i="34"/>
  <c r="G30" i="34"/>
  <c r="G29" i="34"/>
  <c r="G28" i="34"/>
  <c r="O24" i="34"/>
  <c r="N24" i="34"/>
  <c r="M24" i="34"/>
  <c r="L24" i="34"/>
  <c r="K24" i="34"/>
  <c r="J24" i="34"/>
  <c r="I24" i="34"/>
  <c r="H24" i="34"/>
  <c r="F24" i="34"/>
  <c r="E24" i="34"/>
  <c r="D24" i="34"/>
  <c r="G23" i="34"/>
  <c r="G22" i="34"/>
  <c r="G21" i="34"/>
  <c r="G20" i="34"/>
  <c r="G19" i="34"/>
  <c r="G18" i="34"/>
  <c r="G17" i="34"/>
  <c r="G24" i="34" l="1"/>
  <c r="G162" i="34"/>
  <c r="G137" i="34"/>
  <c r="G79" i="34"/>
  <c r="I151" i="34"/>
  <c r="G185" i="34"/>
  <c r="G196" i="34"/>
  <c r="G35" i="34"/>
  <c r="K172" i="34"/>
  <c r="T223" i="33"/>
  <c r="I219" i="33"/>
  <c r="H219" i="33"/>
  <c r="G219" i="33"/>
  <c r="F213" i="33"/>
  <c r="F219" i="33" s="1"/>
  <c r="E213" i="33"/>
  <c r="E219" i="33" s="1"/>
  <c r="L196" i="33"/>
  <c r="K196" i="33"/>
  <c r="J196" i="33"/>
  <c r="I196" i="33"/>
  <c r="H196" i="33"/>
  <c r="G196" i="33"/>
  <c r="F196" i="33"/>
  <c r="E196" i="33"/>
  <c r="D196" i="33"/>
  <c r="O185" i="33"/>
  <c r="N185" i="33"/>
  <c r="M185" i="33"/>
  <c r="L185" i="33"/>
  <c r="K185" i="33"/>
  <c r="J185" i="33"/>
  <c r="I185" i="33"/>
  <c r="H185" i="33"/>
  <c r="G185" i="33"/>
  <c r="F185" i="33"/>
  <c r="E185" i="33"/>
  <c r="D185" i="33"/>
  <c r="L69" i="33"/>
  <c r="K69" i="33"/>
  <c r="J69" i="33"/>
  <c r="I69" i="33"/>
  <c r="H69" i="33"/>
  <c r="G69" i="33"/>
  <c r="F69" i="33"/>
  <c r="E69" i="33"/>
  <c r="D69" i="33"/>
  <c r="E47" i="33"/>
  <c r="D47" i="33"/>
  <c r="G35" i="33"/>
  <c r="F35" i="33"/>
  <c r="E35" i="33"/>
  <c r="D35" i="33"/>
  <c r="O24" i="33"/>
  <c r="N24" i="33"/>
  <c r="M24" i="33"/>
  <c r="L24" i="33"/>
  <c r="K24" i="33"/>
  <c r="J24" i="33"/>
  <c r="I24" i="33"/>
  <c r="H24" i="33"/>
  <c r="G24" i="33"/>
  <c r="F24" i="33"/>
  <c r="E24" i="33"/>
  <c r="D24" i="33"/>
  <c r="J213" i="33" l="1"/>
  <c r="I219" i="32"/>
  <c r="H219" i="32"/>
  <c r="G219" i="32"/>
  <c r="F219" i="32"/>
  <c r="D219" i="32"/>
  <c r="L209" i="32"/>
  <c r="K209" i="32"/>
  <c r="J209" i="32"/>
  <c r="I209" i="32"/>
  <c r="H209" i="32"/>
  <c r="G209" i="32"/>
  <c r="F209" i="32"/>
  <c r="E209" i="32"/>
  <c r="D209" i="32"/>
  <c r="L196" i="32"/>
  <c r="K196" i="32"/>
  <c r="J196" i="32"/>
  <c r="I196" i="32"/>
  <c r="H196" i="32"/>
  <c r="F196" i="32"/>
  <c r="E196" i="32"/>
  <c r="D196" i="32"/>
  <c r="G195" i="32"/>
  <c r="G194" i="32"/>
  <c r="G193" i="32"/>
  <c r="G192" i="32"/>
  <c r="G191" i="32"/>
  <c r="G196" i="32" s="1"/>
  <c r="G190" i="32"/>
  <c r="G189" i="32"/>
  <c r="O185" i="32"/>
  <c r="N185" i="32"/>
  <c r="M185" i="32"/>
  <c r="L185" i="32"/>
  <c r="K185" i="32"/>
  <c r="J185" i="32"/>
  <c r="I185" i="32"/>
  <c r="H185" i="32"/>
  <c r="F185" i="32"/>
  <c r="E185" i="32"/>
  <c r="D185" i="32"/>
  <c r="G184" i="32"/>
  <c r="G183" i="32"/>
  <c r="G182" i="32"/>
  <c r="G181" i="32"/>
  <c r="G180" i="32"/>
  <c r="G179" i="32"/>
  <c r="G178" i="32"/>
  <c r="G185" i="32" s="1"/>
  <c r="I172" i="32"/>
  <c r="H172" i="32"/>
  <c r="G172" i="32"/>
  <c r="F172" i="32"/>
  <c r="E172" i="32"/>
  <c r="D172" i="32"/>
  <c r="K171" i="32"/>
  <c r="J171" i="32"/>
  <c r="K170" i="32"/>
  <c r="J170" i="32"/>
  <c r="K169" i="32"/>
  <c r="J169" i="32"/>
  <c r="K168" i="32"/>
  <c r="J168" i="32"/>
  <c r="K167" i="32"/>
  <c r="J167" i="32"/>
  <c r="K166" i="32"/>
  <c r="K172" i="32" s="1"/>
  <c r="J166" i="32"/>
  <c r="K165" i="32"/>
  <c r="J165" i="32"/>
  <c r="J162" i="32"/>
  <c r="I162" i="32"/>
  <c r="H162" i="32"/>
  <c r="F162" i="32"/>
  <c r="E162" i="32"/>
  <c r="D162" i="32"/>
  <c r="G161" i="32"/>
  <c r="G160" i="32"/>
  <c r="G159" i="32"/>
  <c r="G158" i="32"/>
  <c r="G157" i="32"/>
  <c r="G156" i="32"/>
  <c r="G155" i="32"/>
  <c r="N151" i="32"/>
  <c r="M151" i="32"/>
  <c r="L151" i="32"/>
  <c r="K151" i="32"/>
  <c r="J151" i="32"/>
  <c r="H151" i="32"/>
  <c r="G151" i="32"/>
  <c r="F151" i="32"/>
  <c r="E151" i="32"/>
  <c r="D151" i="32"/>
  <c r="I150" i="32"/>
  <c r="I149" i="32"/>
  <c r="I148" i="32"/>
  <c r="I147" i="32"/>
  <c r="I146" i="32"/>
  <c r="I145" i="32"/>
  <c r="I144" i="32"/>
  <c r="F137" i="32"/>
  <c r="E137" i="32"/>
  <c r="D137" i="32"/>
  <c r="G136" i="32"/>
  <c r="G135" i="32"/>
  <c r="G134" i="32"/>
  <c r="G133" i="32"/>
  <c r="G132" i="32"/>
  <c r="G131" i="32"/>
  <c r="L127" i="32"/>
  <c r="K127" i="32"/>
  <c r="I127" i="32"/>
  <c r="H127" i="32"/>
  <c r="G127" i="32"/>
  <c r="F127" i="32"/>
  <c r="E127" i="32"/>
  <c r="D127" i="32"/>
  <c r="L116" i="32"/>
  <c r="K116" i="32"/>
  <c r="I116" i="32"/>
  <c r="H116" i="32"/>
  <c r="G116" i="32"/>
  <c r="F116" i="32"/>
  <c r="E116" i="32"/>
  <c r="D116" i="32"/>
  <c r="M105" i="32"/>
  <c r="L105" i="32"/>
  <c r="K105" i="32"/>
  <c r="J105" i="32"/>
  <c r="I105" i="32"/>
  <c r="H105" i="32"/>
  <c r="G105" i="32"/>
  <c r="F105" i="32"/>
  <c r="E105" i="32"/>
  <c r="D105" i="32"/>
  <c r="K92" i="32"/>
  <c r="J92" i="32"/>
  <c r="I92" i="32"/>
  <c r="H92" i="32"/>
  <c r="G92" i="32"/>
  <c r="F92" i="32"/>
  <c r="E92" i="32"/>
  <c r="D92" i="32"/>
  <c r="O79" i="32"/>
  <c r="N79" i="32"/>
  <c r="M79" i="32"/>
  <c r="L79" i="32"/>
  <c r="K79" i="32"/>
  <c r="J79" i="32"/>
  <c r="I79" i="32"/>
  <c r="F79" i="32"/>
  <c r="E79" i="32"/>
  <c r="D79" i="32"/>
  <c r="G78" i="32"/>
  <c r="G77" i="32"/>
  <c r="G76" i="32"/>
  <c r="G75" i="32"/>
  <c r="G74" i="32"/>
  <c r="G73" i="32"/>
  <c r="G72" i="32"/>
  <c r="L69" i="32"/>
  <c r="K69" i="32"/>
  <c r="I69" i="32"/>
  <c r="H69" i="32"/>
  <c r="G69" i="32"/>
  <c r="F69" i="32"/>
  <c r="E69" i="32"/>
  <c r="D69" i="32"/>
  <c r="K58" i="32"/>
  <c r="J58" i="32"/>
  <c r="I58" i="32"/>
  <c r="H58" i="32"/>
  <c r="G58" i="32"/>
  <c r="F58" i="32"/>
  <c r="E58" i="32"/>
  <c r="D58" i="32"/>
  <c r="E47" i="32"/>
  <c r="D47" i="32"/>
  <c r="F35" i="32"/>
  <c r="E35" i="32"/>
  <c r="D35" i="32"/>
  <c r="G34" i="32"/>
  <c r="G33" i="32"/>
  <c r="G32" i="32"/>
  <c r="G31" i="32"/>
  <c r="G30" i="32"/>
  <c r="G29" i="32"/>
  <c r="G28" i="32"/>
  <c r="O24" i="32"/>
  <c r="N24" i="32"/>
  <c r="M24" i="32"/>
  <c r="L24" i="32"/>
  <c r="K24" i="32"/>
  <c r="J24" i="32"/>
  <c r="I24" i="32"/>
  <c r="H24" i="32"/>
  <c r="F24" i="32"/>
  <c r="E24" i="32"/>
  <c r="D24" i="32"/>
  <c r="G23" i="32"/>
  <c r="G22" i="32"/>
  <c r="G21" i="32"/>
  <c r="G20" i="32"/>
  <c r="G19" i="32"/>
  <c r="G18" i="32"/>
  <c r="G17" i="32"/>
  <c r="G162" i="32" l="1"/>
  <c r="G24" i="32"/>
  <c r="G79" i="32"/>
  <c r="J172" i="32"/>
  <c r="G35" i="32"/>
  <c r="G137" i="32"/>
  <c r="I151" i="32"/>
  <c r="I218" i="31"/>
  <c r="H218" i="31"/>
  <c r="G218" i="31"/>
  <c r="D218" i="31"/>
  <c r="F216" i="31"/>
  <c r="F219" i="2" s="1"/>
  <c r="E216" i="31"/>
  <c r="L208" i="31"/>
  <c r="K208" i="31"/>
  <c r="J208" i="31"/>
  <c r="I208" i="31"/>
  <c r="H208" i="31"/>
  <c r="G208" i="31"/>
  <c r="F208" i="31"/>
  <c r="E208" i="31"/>
  <c r="D208" i="31"/>
  <c r="K195" i="31"/>
  <c r="J195" i="31"/>
  <c r="I195" i="31"/>
  <c r="H195" i="31"/>
  <c r="F195" i="31"/>
  <c r="E195" i="31"/>
  <c r="G194" i="31"/>
  <c r="G193" i="31"/>
  <c r="G192" i="31"/>
  <c r="D191" i="31"/>
  <c r="D190" i="31"/>
  <c r="L190" i="31" s="1"/>
  <c r="G189" i="31"/>
  <c r="G188" i="31"/>
  <c r="O184" i="31"/>
  <c r="N184" i="31"/>
  <c r="M184" i="31"/>
  <c r="L184" i="31"/>
  <c r="K184" i="31"/>
  <c r="J184" i="31"/>
  <c r="I184" i="31"/>
  <c r="H184" i="31"/>
  <c r="E184" i="31"/>
  <c r="D184" i="31"/>
  <c r="G183" i="31"/>
  <c r="G182" i="31"/>
  <c r="G181" i="31"/>
  <c r="F180" i="31"/>
  <c r="G179" i="31"/>
  <c r="G178" i="31"/>
  <c r="G177" i="31"/>
  <c r="I171" i="31"/>
  <c r="H171" i="31"/>
  <c r="G171" i="31"/>
  <c r="F171" i="31"/>
  <c r="E171" i="31"/>
  <c r="D171" i="31"/>
  <c r="K170" i="31"/>
  <c r="J170" i="31"/>
  <c r="K169" i="31"/>
  <c r="J169" i="31"/>
  <c r="K168" i="31"/>
  <c r="J168" i="31"/>
  <c r="K167" i="31"/>
  <c r="J167" i="31"/>
  <c r="K166" i="31"/>
  <c r="J166" i="31"/>
  <c r="K165" i="31"/>
  <c r="J165" i="31"/>
  <c r="K164" i="31"/>
  <c r="J164" i="31"/>
  <c r="J161" i="31"/>
  <c r="I161" i="31"/>
  <c r="H161" i="31"/>
  <c r="F161" i="31"/>
  <c r="E161" i="31"/>
  <c r="D161" i="31"/>
  <c r="G160" i="31"/>
  <c r="G159" i="31"/>
  <c r="G158" i="31"/>
  <c r="G157" i="31"/>
  <c r="G156" i="31"/>
  <c r="G155" i="31"/>
  <c r="G154" i="31"/>
  <c r="N150" i="31"/>
  <c r="M150" i="31"/>
  <c r="L150" i="31"/>
  <c r="K150" i="31"/>
  <c r="J150" i="31"/>
  <c r="H150" i="31"/>
  <c r="G150" i="31"/>
  <c r="F150" i="31"/>
  <c r="E150" i="31"/>
  <c r="D150" i="31"/>
  <c r="I149" i="31"/>
  <c r="I148" i="31"/>
  <c r="I147" i="31"/>
  <c r="I146" i="31"/>
  <c r="I145" i="31"/>
  <c r="I144" i="31"/>
  <c r="I143" i="31"/>
  <c r="F136" i="31"/>
  <c r="D136" i="31"/>
  <c r="G135" i="31"/>
  <c r="G134" i="31"/>
  <c r="G133" i="31"/>
  <c r="E132" i="31"/>
  <c r="E135" i="2" s="1"/>
  <c r="G135" i="2" s="1"/>
  <c r="G131" i="31"/>
  <c r="G130" i="31"/>
  <c r="L126" i="31"/>
  <c r="K126" i="31"/>
  <c r="I126" i="31"/>
  <c r="H126" i="31"/>
  <c r="G126" i="31"/>
  <c r="F126" i="31"/>
  <c r="E126" i="31"/>
  <c r="D122" i="31"/>
  <c r="D125" i="2" s="1"/>
  <c r="K115" i="31"/>
  <c r="I115" i="31"/>
  <c r="H115" i="31"/>
  <c r="G115" i="31"/>
  <c r="F115" i="31"/>
  <c r="E115" i="31"/>
  <c r="L112" i="31"/>
  <c r="D115" i="31"/>
  <c r="L111" i="31"/>
  <c r="L114" i="2" s="1"/>
  <c r="M105" i="31"/>
  <c r="L105" i="31"/>
  <c r="K105" i="31"/>
  <c r="J105" i="31"/>
  <c r="I105" i="31"/>
  <c r="H105" i="31"/>
  <c r="G105" i="31"/>
  <c r="F105" i="31"/>
  <c r="E105" i="31"/>
  <c r="D105" i="31"/>
  <c r="K92" i="31"/>
  <c r="J92" i="31"/>
  <c r="I92" i="31"/>
  <c r="H92" i="31"/>
  <c r="G92" i="31"/>
  <c r="F92" i="31"/>
  <c r="E92" i="31"/>
  <c r="D92" i="31"/>
  <c r="O79" i="31"/>
  <c r="N79" i="31"/>
  <c r="M79" i="31"/>
  <c r="L79" i="31"/>
  <c r="K79" i="31"/>
  <c r="J79" i="31"/>
  <c r="I79" i="31"/>
  <c r="F79" i="31"/>
  <c r="E79" i="31"/>
  <c r="D79" i="31"/>
  <c r="G78" i="31"/>
  <c r="G77" i="31"/>
  <c r="G76" i="31"/>
  <c r="G75" i="31"/>
  <c r="G74" i="31"/>
  <c r="G73" i="31"/>
  <c r="G72" i="31"/>
  <c r="L69" i="31"/>
  <c r="K69" i="31"/>
  <c r="I69" i="31"/>
  <c r="H69" i="31"/>
  <c r="G69" i="31"/>
  <c r="F69" i="31"/>
  <c r="E69" i="31"/>
  <c r="D69" i="31"/>
  <c r="K58" i="31"/>
  <c r="J58" i="31"/>
  <c r="I58" i="31"/>
  <c r="H58" i="31"/>
  <c r="G58" i="31"/>
  <c r="F58" i="31"/>
  <c r="E58" i="31"/>
  <c r="D58" i="31"/>
  <c r="E47" i="31"/>
  <c r="D43" i="31"/>
  <c r="F35" i="31"/>
  <c r="E35" i="31"/>
  <c r="G34" i="31"/>
  <c r="G33" i="31"/>
  <c r="G32" i="31"/>
  <c r="D31" i="31"/>
  <c r="D30" i="31"/>
  <c r="G29" i="31"/>
  <c r="G28" i="31"/>
  <c r="O24" i="31"/>
  <c r="N24" i="31"/>
  <c r="M24" i="31"/>
  <c r="L24" i="31"/>
  <c r="K24" i="31"/>
  <c r="J24" i="31"/>
  <c r="I24" i="31"/>
  <c r="F24" i="31"/>
  <c r="E24" i="31"/>
  <c r="G23" i="31"/>
  <c r="G22" i="31"/>
  <c r="G21" i="31"/>
  <c r="D20" i="31"/>
  <c r="D23" i="2" s="1"/>
  <c r="G23" i="2" s="1"/>
  <c r="D19" i="31"/>
  <c r="D24" i="31" s="1"/>
  <c r="G24" i="31" s="1"/>
  <c r="G18" i="31"/>
  <c r="G17" i="31"/>
  <c r="G180" i="31" l="1"/>
  <c r="F183" i="2"/>
  <c r="E213" i="31"/>
  <c r="E217" i="2" s="1"/>
  <c r="E219" i="2"/>
  <c r="G161" i="31"/>
  <c r="J171" i="31"/>
  <c r="K171" i="31"/>
  <c r="G20" i="31"/>
  <c r="D126" i="31"/>
  <c r="D126" i="2"/>
  <c r="D130" i="2" s="1"/>
  <c r="I150" i="31"/>
  <c r="F184" i="31"/>
  <c r="H20" i="31"/>
  <c r="D47" i="31"/>
  <c r="D46" i="2"/>
  <c r="D50" i="2" s="1"/>
  <c r="G79" i="31"/>
  <c r="G191" i="31"/>
  <c r="D195" i="2"/>
  <c r="F212" i="31"/>
  <c r="G19" i="31"/>
  <c r="D22" i="2"/>
  <c r="G132" i="31"/>
  <c r="G136" i="31" s="1"/>
  <c r="E136" i="2"/>
  <c r="G184" i="31"/>
  <c r="G30" i="31"/>
  <c r="D33" i="2"/>
  <c r="G31" i="31"/>
  <c r="D34" i="2"/>
  <c r="G34" i="2" s="1"/>
  <c r="D115" i="2"/>
  <c r="D119" i="2" s="1"/>
  <c r="D195" i="31"/>
  <c r="D194" i="2"/>
  <c r="E212" i="31"/>
  <c r="E217" i="31"/>
  <c r="E218" i="31" s="1"/>
  <c r="D35" i="31"/>
  <c r="G35" i="31" s="1"/>
  <c r="E136" i="31"/>
  <c r="G190" i="31"/>
  <c r="G195" i="31" s="1"/>
  <c r="F217" i="31"/>
  <c r="F220" i="2" s="1"/>
  <c r="L191" i="31"/>
  <c r="L195" i="2" s="1"/>
  <c r="D199" i="2" l="1"/>
  <c r="D27" i="2"/>
  <c r="G27" i="2" s="1"/>
  <c r="G22" i="2"/>
  <c r="L195" i="31"/>
  <c r="E140" i="2"/>
  <c r="G136" i="2"/>
  <c r="G140" i="2" s="1"/>
  <c r="H24" i="31"/>
  <c r="H23" i="2"/>
  <c r="H27" i="2" s="1"/>
  <c r="G33" i="2"/>
  <c r="D38" i="2"/>
  <c r="G38" i="2" s="1"/>
  <c r="F218" i="31"/>
  <c r="F221" i="2" s="1"/>
  <c r="L115" i="31"/>
  <c r="L115" i="2"/>
  <c r="L119" i="2" s="1"/>
  <c r="I219" i="30"/>
  <c r="H219" i="30"/>
  <c r="G219" i="30"/>
  <c r="F219" i="30"/>
  <c r="E219" i="30"/>
  <c r="D219" i="30"/>
  <c r="L209" i="30"/>
  <c r="K209" i="30"/>
  <c r="J209" i="30"/>
  <c r="I209" i="30"/>
  <c r="H209" i="30"/>
  <c r="G209" i="30"/>
  <c r="F209" i="30"/>
  <c r="E209" i="30"/>
  <c r="D209" i="30"/>
  <c r="L196" i="30"/>
  <c r="K196" i="30"/>
  <c r="J196" i="30"/>
  <c r="I196" i="30"/>
  <c r="H196" i="30"/>
  <c r="F196" i="30"/>
  <c r="E196" i="30"/>
  <c r="D196" i="30"/>
  <c r="G195" i="30"/>
  <c r="G194" i="30"/>
  <c r="G193" i="30"/>
  <c r="G192" i="30"/>
  <c r="G191" i="30"/>
  <c r="G190" i="30"/>
  <c r="G189" i="30"/>
  <c r="O185" i="30"/>
  <c r="N185" i="30"/>
  <c r="M185" i="30"/>
  <c r="L185" i="30"/>
  <c r="K185" i="30"/>
  <c r="J185" i="30"/>
  <c r="I185" i="30"/>
  <c r="H185" i="30"/>
  <c r="F185" i="30"/>
  <c r="E185" i="30"/>
  <c r="D185" i="30"/>
  <c r="G184" i="30"/>
  <c r="G183" i="30"/>
  <c r="G182" i="30"/>
  <c r="G181" i="30"/>
  <c r="G180" i="30"/>
  <c r="G179" i="30"/>
  <c r="G178" i="30"/>
  <c r="G185" i="30" s="1"/>
  <c r="I172" i="30"/>
  <c r="H172" i="30"/>
  <c r="G172" i="30"/>
  <c r="F172" i="30"/>
  <c r="E172" i="30"/>
  <c r="D172" i="30"/>
  <c r="K171" i="30"/>
  <c r="J171" i="30"/>
  <c r="K170" i="30"/>
  <c r="J170" i="30"/>
  <c r="K169" i="30"/>
  <c r="J169" i="30"/>
  <c r="K168" i="30"/>
  <c r="J168" i="30"/>
  <c r="K167" i="30"/>
  <c r="J167" i="30"/>
  <c r="K166" i="30"/>
  <c r="J166" i="30"/>
  <c r="K165" i="30"/>
  <c r="J165" i="30"/>
  <c r="J162" i="30"/>
  <c r="I162" i="30"/>
  <c r="H162" i="30"/>
  <c r="F162" i="30"/>
  <c r="E162" i="30"/>
  <c r="D162" i="30"/>
  <c r="G161" i="30"/>
  <c r="G160" i="30"/>
  <c r="G159" i="30"/>
  <c r="G158" i="30"/>
  <c r="G157" i="30"/>
  <c r="G156" i="30"/>
  <c r="G155" i="30"/>
  <c r="N151" i="30"/>
  <c r="M151" i="30"/>
  <c r="L151" i="30"/>
  <c r="K151" i="30"/>
  <c r="J151" i="30"/>
  <c r="H151" i="30"/>
  <c r="G151" i="30"/>
  <c r="F151" i="30"/>
  <c r="E151" i="30"/>
  <c r="D151" i="30"/>
  <c r="I150" i="30"/>
  <c r="I149" i="30"/>
  <c r="I148" i="30"/>
  <c r="I147" i="30"/>
  <c r="I146" i="30"/>
  <c r="I151" i="30" s="1"/>
  <c r="I145" i="30"/>
  <c r="I144" i="30"/>
  <c r="F137" i="30"/>
  <c r="E137" i="30"/>
  <c r="D137" i="30"/>
  <c r="G136" i="30"/>
  <c r="G135" i="30"/>
  <c r="G134" i="30"/>
  <c r="G133" i="30"/>
  <c r="G132" i="30"/>
  <c r="G131" i="30"/>
  <c r="L127" i="30"/>
  <c r="K127" i="30"/>
  <c r="I127" i="30"/>
  <c r="H127" i="30"/>
  <c r="G127" i="30"/>
  <c r="F127" i="30"/>
  <c r="E127" i="30"/>
  <c r="D127" i="30"/>
  <c r="L116" i="30"/>
  <c r="K116" i="30"/>
  <c r="I116" i="30"/>
  <c r="H116" i="30"/>
  <c r="G116" i="30"/>
  <c r="F116" i="30"/>
  <c r="E116" i="30"/>
  <c r="D116" i="30"/>
  <c r="M105" i="30"/>
  <c r="L105" i="30"/>
  <c r="K105" i="30"/>
  <c r="J105" i="30"/>
  <c r="I105" i="30"/>
  <c r="H105" i="30"/>
  <c r="G105" i="30"/>
  <c r="F105" i="30"/>
  <c r="E105" i="30"/>
  <c r="D105" i="30"/>
  <c r="K92" i="30"/>
  <c r="J92" i="30"/>
  <c r="I92" i="30"/>
  <c r="H92" i="30"/>
  <c r="G92" i="30"/>
  <c r="F92" i="30"/>
  <c r="E92" i="30"/>
  <c r="D92" i="30"/>
  <c r="O79" i="30"/>
  <c r="N79" i="30"/>
  <c r="M79" i="30"/>
  <c r="L79" i="30"/>
  <c r="K79" i="30"/>
  <c r="J79" i="30"/>
  <c r="I79" i="30"/>
  <c r="F79" i="30"/>
  <c r="E79" i="30"/>
  <c r="D79" i="30"/>
  <c r="G78" i="30"/>
  <c r="G77" i="30"/>
  <c r="G76" i="30"/>
  <c r="G75" i="30"/>
  <c r="G74" i="30"/>
  <c r="G73" i="30"/>
  <c r="G72" i="30"/>
  <c r="L69" i="30"/>
  <c r="K69" i="30"/>
  <c r="I69" i="30"/>
  <c r="H69" i="30"/>
  <c r="G69" i="30"/>
  <c r="F69" i="30"/>
  <c r="E69" i="30"/>
  <c r="D69" i="30"/>
  <c r="K58" i="30"/>
  <c r="J58" i="30"/>
  <c r="I58" i="30"/>
  <c r="H58" i="30"/>
  <c r="G58" i="30"/>
  <c r="F58" i="30"/>
  <c r="E58" i="30"/>
  <c r="D58" i="30"/>
  <c r="E47" i="30"/>
  <c r="D47" i="30"/>
  <c r="F35" i="30"/>
  <c r="E35" i="30"/>
  <c r="D35" i="30"/>
  <c r="G34" i="30"/>
  <c r="G33" i="30"/>
  <c r="G32" i="30"/>
  <c r="G31" i="30"/>
  <c r="G30" i="30"/>
  <c r="G28" i="30"/>
  <c r="O24" i="30"/>
  <c r="N24" i="30"/>
  <c r="M24" i="30"/>
  <c r="L24" i="30"/>
  <c r="K24" i="30"/>
  <c r="J24" i="30"/>
  <c r="I24" i="30"/>
  <c r="H24" i="30"/>
  <c r="F24" i="30"/>
  <c r="E24" i="30"/>
  <c r="D24" i="30"/>
  <c r="G24" i="30" s="1"/>
  <c r="G23" i="30"/>
  <c r="G22" i="30"/>
  <c r="G21" i="30"/>
  <c r="G20" i="30"/>
  <c r="G19" i="30"/>
  <c r="G18" i="30"/>
  <c r="G17" i="30"/>
  <c r="G79" i="30" l="1"/>
  <c r="J172" i="30"/>
  <c r="G162" i="30"/>
  <c r="K172" i="30"/>
  <c r="G196" i="30"/>
  <c r="G35" i="30"/>
  <c r="G137" i="30"/>
  <c r="I219" i="29"/>
  <c r="H219" i="29"/>
  <c r="G219" i="29"/>
  <c r="F219" i="29"/>
  <c r="E219" i="29"/>
  <c r="D219" i="29"/>
  <c r="L209" i="29"/>
  <c r="K209" i="29"/>
  <c r="J209" i="29"/>
  <c r="I209" i="29"/>
  <c r="H209" i="29"/>
  <c r="G209" i="29"/>
  <c r="F209" i="29"/>
  <c r="E209" i="29"/>
  <c r="D209" i="29"/>
  <c r="L196" i="29"/>
  <c r="K196" i="29"/>
  <c r="J196" i="29"/>
  <c r="I196" i="29"/>
  <c r="H196" i="29"/>
  <c r="E196" i="29"/>
  <c r="D196" i="29"/>
  <c r="G195" i="29"/>
  <c r="G194" i="29"/>
  <c r="G193" i="29"/>
  <c r="G192" i="29"/>
  <c r="F191" i="29"/>
  <c r="G190" i="29"/>
  <c r="G189" i="29"/>
  <c r="O185" i="29"/>
  <c r="N185" i="29"/>
  <c r="M185" i="29"/>
  <c r="L185" i="29"/>
  <c r="K185" i="29"/>
  <c r="J185" i="29"/>
  <c r="I185" i="29"/>
  <c r="H185" i="29"/>
  <c r="F185" i="29"/>
  <c r="E185" i="29"/>
  <c r="D185" i="29"/>
  <c r="G184" i="29"/>
  <c r="G183" i="29"/>
  <c r="G182" i="29"/>
  <c r="G181" i="29"/>
  <c r="G180" i="29"/>
  <c r="G179" i="29"/>
  <c r="G178" i="29"/>
  <c r="G185" i="29" s="1"/>
  <c r="I172" i="29"/>
  <c r="H172" i="29"/>
  <c r="G172" i="29"/>
  <c r="F172" i="29"/>
  <c r="E172" i="29"/>
  <c r="D172" i="29"/>
  <c r="K171" i="29"/>
  <c r="J171" i="29"/>
  <c r="K170" i="29"/>
  <c r="J170" i="29"/>
  <c r="K169" i="29"/>
  <c r="J169" i="29"/>
  <c r="K168" i="29"/>
  <c r="J168" i="29"/>
  <c r="K167" i="29"/>
  <c r="J167" i="29"/>
  <c r="K166" i="29"/>
  <c r="J166" i="29"/>
  <c r="K165" i="29"/>
  <c r="J165" i="29"/>
  <c r="J162" i="29"/>
  <c r="I162" i="29"/>
  <c r="H162" i="29"/>
  <c r="F162" i="29"/>
  <c r="E162" i="29"/>
  <c r="D162" i="29"/>
  <c r="G161" i="29"/>
  <c r="G160" i="29"/>
  <c r="G159" i="29"/>
  <c r="G158" i="29"/>
  <c r="G157" i="29"/>
  <c r="G156" i="29"/>
  <c r="G155" i="29"/>
  <c r="N151" i="29"/>
  <c r="M151" i="29"/>
  <c r="L151" i="29"/>
  <c r="K151" i="29"/>
  <c r="J151" i="29"/>
  <c r="H151" i="29"/>
  <c r="G151" i="29"/>
  <c r="F151" i="29"/>
  <c r="E151" i="29"/>
  <c r="D151" i="29"/>
  <c r="I150" i="29"/>
  <c r="I149" i="29"/>
  <c r="I148" i="29"/>
  <c r="I147" i="29"/>
  <c r="I146" i="29"/>
  <c r="I151" i="29" s="1"/>
  <c r="I145" i="29"/>
  <c r="I144" i="29"/>
  <c r="F137" i="29"/>
  <c r="E137" i="29"/>
  <c r="D137" i="29"/>
  <c r="G136" i="29"/>
  <c r="G135" i="29"/>
  <c r="G134" i="29"/>
  <c r="G133" i="29"/>
  <c r="G132" i="29"/>
  <c r="G131" i="29"/>
  <c r="L127" i="29"/>
  <c r="K127" i="29"/>
  <c r="I127" i="29"/>
  <c r="H127" i="29"/>
  <c r="G127" i="29"/>
  <c r="F127" i="29"/>
  <c r="E127" i="29"/>
  <c r="D127" i="29"/>
  <c r="L116" i="29"/>
  <c r="K116" i="29"/>
  <c r="I116" i="29"/>
  <c r="H116" i="29"/>
  <c r="G116" i="29"/>
  <c r="F116" i="29"/>
  <c r="E116" i="29"/>
  <c r="D116" i="29"/>
  <c r="M105" i="29"/>
  <c r="L105" i="29"/>
  <c r="K105" i="29"/>
  <c r="J105" i="29"/>
  <c r="I105" i="29"/>
  <c r="H105" i="29"/>
  <c r="G105" i="29"/>
  <c r="F105" i="29"/>
  <c r="E105" i="29"/>
  <c r="D105" i="29"/>
  <c r="K92" i="29"/>
  <c r="J92" i="29"/>
  <c r="I92" i="29"/>
  <c r="H92" i="29"/>
  <c r="G92" i="29"/>
  <c r="F92" i="29"/>
  <c r="E92" i="29"/>
  <c r="D92" i="29"/>
  <c r="O79" i="29"/>
  <c r="N79" i="29"/>
  <c r="M79" i="29"/>
  <c r="L79" i="29"/>
  <c r="K79" i="29"/>
  <c r="J79" i="29"/>
  <c r="I79" i="29"/>
  <c r="H79" i="29"/>
  <c r="F79" i="29"/>
  <c r="E79" i="29"/>
  <c r="D79" i="29"/>
  <c r="G78" i="29"/>
  <c r="G77" i="29"/>
  <c r="G76" i="29"/>
  <c r="G75" i="29"/>
  <c r="G74" i="29"/>
  <c r="G73" i="29"/>
  <c r="G72" i="29"/>
  <c r="L69" i="29"/>
  <c r="K69" i="29"/>
  <c r="I69" i="29"/>
  <c r="H69" i="29"/>
  <c r="G69" i="29"/>
  <c r="F69" i="29"/>
  <c r="E69" i="29"/>
  <c r="D69" i="29"/>
  <c r="K58" i="29"/>
  <c r="J58" i="29"/>
  <c r="I58" i="29"/>
  <c r="H58" i="29"/>
  <c r="G58" i="29"/>
  <c r="F58" i="29"/>
  <c r="E58" i="29"/>
  <c r="D58" i="29"/>
  <c r="E47" i="29"/>
  <c r="D47" i="29"/>
  <c r="F35" i="29"/>
  <c r="E35" i="29"/>
  <c r="D35" i="29"/>
  <c r="G35" i="29" s="1"/>
  <c r="G34" i="29"/>
  <c r="G33" i="29"/>
  <c r="G32" i="29"/>
  <c r="G31" i="29"/>
  <c r="G30" i="29"/>
  <c r="G29" i="29"/>
  <c r="G28" i="29"/>
  <c r="O24" i="29"/>
  <c r="N24" i="29"/>
  <c r="M24" i="29"/>
  <c r="L24" i="29"/>
  <c r="K24" i="29"/>
  <c r="J24" i="29"/>
  <c r="I24" i="29"/>
  <c r="H24" i="29"/>
  <c r="F24" i="29"/>
  <c r="D24" i="29"/>
  <c r="G23" i="29"/>
  <c r="G22" i="29"/>
  <c r="G21" i="29"/>
  <c r="G20" i="29"/>
  <c r="G19" i="29"/>
  <c r="G18" i="29"/>
  <c r="G17" i="29"/>
  <c r="G137" i="29" l="1"/>
  <c r="G79" i="29"/>
  <c r="J172" i="29"/>
  <c r="G162" i="29"/>
  <c r="K172" i="29"/>
  <c r="G191" i="29"/>
  <c r="G196" i="29" s="1"/>
  <c r="F194" i="2"/>
  <c r="G24" i="29"/>
  <c r="I219" i="28"/>
  <c r="H219" i="28"/>
  <c r="G219" i="28"/>
  <c r="F219" i="28"/>
  <c r="E219" i="28"/>
  <c r="D219" i="28"/>
  <c r="L209" i="28"/>
  <c r="K209" i="28"/>
  <c r="J209" i="28"/>
  <c r="I209" i="28"/>
  <c r="H209" i="28"/>
  <c r="G209" i="28"/>
  <c r="F209" i="28"/>
  <c r="E209" i="28"/>
  <c r="D209" i="28"/>
  <c r="L196" i="28"/>
  <c r="K196" i="28"/>
  <c r="J196" i="28"/>
  <c r="I196" i="28"/>
  <c r="H196" i="28"/>
  <c r="F196" i="28"/>
  <c r="E196" i="28"/>
  <c r="D196" i="28"/>
  <c r="G195" i="28"/>
  <c r="G194" i="28"/>
  <c r="G193" i="28"/>
  <c r="G192" i="28"/>
  <c r="G191" i="28"/>
  <c r="G190" i="28"/>
  <c r="G189" i="28"/>
  <c r="O185" i="28"/>
  <c r="N185" i="28"/>
  <c r="M185" i="28"/>
  <c r="L185" i="28"/>
  <c r="K185" i="28"/>
  <c r="J185" i="28"/>
  <c r="I185" i="28"/>
  <c r="H185" i="28"/>
  <c r="F185" i="28"/>
  <c r="E185" i="28"/>
  <c r="D185" i="28"/>
  <c r="G184" i="28"/>
  <c r="G183" i="28"/>
  <c r="G182" i="28"/>
  <c r="G181" i="28"/>
  <c r="G180" i="28"/>
  <c r="G179" i="28"/>
  <c r="G178" i="28"/>
  <c r="I172" i="28"/>
  <c r="H172" i="28"/>
  <c r="G172" i="28"/>
  <c r="F172" i="28"/>
  <c r="E172" i="28"/>
  <c r="D172" i="28"/>
  <c r="K171" i="28"/>
  <c r="J171" i="28"/>
  <c r="K170" i="28"/>
  <c r="J170" i="28"/>
  <c r="K169" i="28"/>
  <c r="J169" i="28"/>
  <c r="K168" i="28"/>
  <c r="J168" i="28"/>
  <c r="K167" i="28"/>
  <c r="J167" i="28"/>
  <c r="K166" i="28"/>
  <c r="K172" i="28" s="1"/>
  <c r="J166" i="28"/>
  <c r="J172" i="28" s="1"/>
  <c r="K165" i="28"/>
  <c r="J165" i="28"/>
  <c r="J162" i="28"/>
  <c r="I162" i="28"/>
  <c r="H162" i="28"/>
  <c r="F162" i="28"/>
  <c r="E162" i="28"/>
  <c r="D162" i="28"/>
  <c r="G161" i="28"/>
  <c r="G160" i="28"/>
  <c r="G159" i="28"/>
  <c r="G158" i="28"/>
  <c r="G157" i="28"/>
  <c r="G156" i="28"/>
  <c r="G155" i="28"/>
  <c r="N151" i="28"/>
  <c r="M151" i="28"/>
  <c r="L151" i="28"/>
  <c r="K151" i="28"/>
  <c r="J151" i="28"/>
  <c r="H151" i="28"/>
  <c r="G151" i="28"/>
  <c r="F151" i="28"/>
  <c r="E151" i="28"/>
  <c r="D151" i="28"/>
  <c r="I150" i="28"/>
  <c r="I149" i="28"/>
  <c r="I148" i="28"/>
  <c r="I147" i="28"/>
  <c r="I146" i="28"/>
  <c r="I145" i="28"/>
  <c r="I144" i="28"/>
  <c r="F137" i="28"/>
  <c r="E137" i="28"/>
  <c r="D137" i="28"/>
  <c r="G136" i="28"/>
  <c r="G135" i="28"/>
  <c r="G134" i="28"/>
  <c r="G133" i="28"/>
  <c r="G132" i="28"/>
  <c r="G137" i="28" s="1"/>
  <c r="G131" i="28"/>
  <c r="L127" i="28"/>
  <c r="K127" i="28"/>
  <c r="I127" i="28"/>
  <c r="H127" i="28"/>
  <c r="G127" i="28"/>
  <c r="F127" i="28"/>
  <c r="E127" i="28"/>
  <c r="D127" i="28"/>
  <c r="L116" i="28"/>
  <c r="K116" i="28"/>
  <c r="I116" i="28"/>
  <c r="H116" i="28"/>
  <c r="G116" i="28"/>
  <c r="F116" i="28"/>
  <c r="E116" i="28"/>
  <c r="D116" i="28"/>
  <c r="M105" i="28"/>
  <c r="L105" i="28"/>
  <c r="K105" i="28"/>
  <c r="J105" i="28"/>
  <c r="I105" i="28"/>
  <c r="H105" i="28"/>
  <c r="G105" i="28"/>
  <c r="F105" i="28"/>
  <c r="E105" i="28"/>
  <c r="D105" i="28"/>
  <c r="K92" i="28"/>
  <c r="J92" i="28"/>
  <c r="I92" i="28"/>
  <c r="H92" i="28"/>
  <c r="G92" i="28"/>
  <c r="F92" i="28"/>
  <c r="E92" i="28"/>
  <c r="D92" i="28"/>
  <c r="O79" i="28"/>
  <c r="N79" i="28"/>
  <c r="M79" i="28"/>
  <c r="L79" i="28"/>
  <c r="K79" i="28"/>
  <c r="J79" i="28"/>
  <c r="I79" i="28"/>
  <c r="F79" i="28"/>
  <c r="E79" i="28"/>
  <c r="D79" i="28"/>
  <c r="G78" i="28"/>
  <c r="G77" i="28"/>
  <c r="G76" i="28"/>
  <c r="G75" i="28"/>
  <c r="G74" i="28"/>
  <c r="G73" i="28"/>
  <c r="G72" i="28"/>
  <c r="L69" i="28"/>
  <c r="K69" i="28"/>
  <c r="I69" i="28"/>
  <c r="H69" i="28"/>
  <c r="G69" i="28"/>
  <c r="F69" i="28"/>
  <c r="E69" i="28"/>
  <c r="D69" i="28"/>
  <c r="K58" i="28"/>
  <c r="J58" i="28"/>
  <c r="I58" i="28"/>
  <c r="H58" i="28"/>
  <c r="G58" i="28"/>
  <c r="F58" i="28"/>
  <c r="E58" i="28"/>
  <c r="D58" i="28"/>
  <c r="E47" i="28"/>
  <c r="D47" i="28"/>
  <c r="F35" i="28"/>
  <c r="E35" i="28"/>
  <c r="D35" i="28"/>
  <c r="G34" i="28"/>
  <c r="G33" i="28"/>
  <c r="G32" i="28"/>
  <c r="G31" i="28"/>
  <c r="G30" i="28"/>
  <c r="G29" i="28"/>
  <c r="G28" i="28"/>
  <c r="O24" i="28"/>
  <c r="N24" i="28"/>
  <c r="M24" i="28"/>
  <c r="L24" i="28"/>
  <c r="K24" i="28"/>
  <c r="J24" i="28"/>
  <c r="I24" i="28"/>
  <c r="H24" i="28"/>
  <c r="F24" i="28"/>
  <c r="E24" i="28"/>
  <c r="D24" i="28"/>
  <c r="G23" i="28"/>
  <c r="G22" i="28"/>
  <c r="G21" i="28"/>
  <c r="G20" i="28"/>
  <c r="G19" i="28"/>
  <c r="G18" i="28"/>
  <c r="G17" i="28"/>
  <c r="G79" i="28" l="1"/>
  <c r="G35" i="28"/>
  <c r="G185" i="28"/>
  <c r="G162" i="28"/>
  <c r="G196" i="28"/>
  <c r="G24" i="28"/>
  <c r="I151" i="28"/>
  <c r="I219" i="26" l="1"/>
  <c r="H219" i="26"/>
  <c r="G219" i="26"/>
  <c r="D219" i="26"/>
  <c r="F214" i="26"/>
  <c r="F217" i="2" s="1"/>
  <c r="L209" i="26"/>
  <c r="K209" i="26"/>
  <c r="J209" i="26"/>
  <c r="I209" i="26"/>
  <c r="H209" i="26"/>
  <c r="G209" i="26"/>
  <c r="F209" i="26"/>
  <c r="E209" i="26"/>
  <c r="D209" i="26"/>
  <c r="L196" i="26"/>
  <c r="K196" i="26"/>
  <c r="J196" i="26"/>
  <c r="I196" i="26"/>
  <c r="H196" i="26"/>
  <c r="F196" i="26"/>
  <c r="E196" i="26"/>
  <c r="D196" i="26"/>
  <c r="G195" i="26"/>
  <c r="G194" i="26"/>
  <c r="G193" i="26"/>
  <c r="G192" i="26"/>
  <c r="G191" i="26"/>
  <c r="G190" i="26"/>
  <c r="G189" i="26"/>
  <c r="O185" i="26"/>
  <c r="N185" i="26"/>
  <c r="M185" i="26"/>
  <c r="L185" i="26"/>
  <c r="K185" i="26"/>
  <c r="J185" i="26"/>
  <c r="I185" i="26"/>
  <c r="H185" i="26"/>
  <c r="F185" i="26"/>
  <c r="E185" i="26"/>
  <c r="D185" i="26"/>
  <c r="G184" i="26"/>
  <c r="G183" i="26"/>
  <c r="G182" i="26"/>
  <c r="G181" i="26"/>
  <c r="G180" i="26"/>
  <c r="G179" i="26"/>
  <c r="G178" i="26"/>
  <c r="I172" i="26"/>
  <c r="H172" i="26"/>
  <c r="G172" i="26"/>
  <c r="F172" i="26"/>
  <c r="E172" i="26"/>
  <c r="D172" i="26"/>
  <c r="K171" i="26"/>
  <c r="J171" i="26"/>
  <c r="K170" i="26"/>
  <c r="J170" i="26"/>
  <c r="K169" i="26"/>
  <c r="J169" i="26"/>
  <c r="K168" i="26"/>
  <c r="J168" i="26"/>
  <c r="K167" i="26"/>
  <c r="J167" i="26"/>
  <c r="K166" i="26"/>
  <c r="J166" i="26"/>
  <c r="K165" i="26"/>
  <c r="J165" i="26"/>
  <c r="J162" i="26"/>
  <c r="I162" i="26"/>
  <c r="H162" i="26"/>
  <c r="F162" i="26"/>
  <c r="E162" i="26"/>
  <c r="D162" i="26"/>
  <c r="G161" i="26"/>
  <c r="G160" i="26"/>
  <c r="G159" i="26"/>
  <c r="G158" i="26"/>
  <c r="G157" i="26"/>
  <c r="G156" i="26"/>
  <c r="G155" i="26"/>
  <c r="N151" i="26"/>
  <c r="M151" i="26"/>
  <c r="L151" i="26"/>
  <c r="K151" i="26"/>
  <c r="J151" i="26"/>
  <c r="H151" i="26"/>
  <c r="G151" i="26"/>
  <c r="F151" i="26"/>
  <c r="E151" i="26"/>
  <c r="D151" i="26"/>
  <c r="I150" i="26"/>
  <c r="I149" i="26"/>
  <c r="I148" i="26"/>
  <c r="I147" i="26"/>
  <c r="I146" i="26"/>
  <c r="I145" i="26"/>
  <c r="I144" i="26"/>
  <c r="F137" i="26"/>
  <c r="E137" i="26"/>
  <c r="D137" i="26"/>
  <c r="G136" i="26"/>
  <c r="G135" i="26"/>
  <c r="G134" i="26"/>
  <c r="G133" i="26"/>
  <c r="G132" i="26"/>
  <c r="G131" i="26"/>
  <c r="L127" i="26"/>
  <c r="K127" i="26"/>
  <c r="I127" i="26"/>
  <c r="H127" i="26"/>
  <c r="G127" i="26"/>
  <c r="F127" i="26"/>
  <c r="E127" i="26"/>
  <c r="D127" i="26"/>
  <c r="L116" i="26"/>
  <c r="K116" i="26"/>
  <c r="I116" i="26"/>
  <c r="H116" i="26"/>
  <c r="G116" i="26"/>
  <c r="F116" i="26"/>
  <c r="E116" i="26"/>
  <c r="D116" i="26"/>
  <c r="M105" i="26"/>
  <c r="L105" i="26"/>
  <c r="K105" i="26"/>
  <c r="J105" i="26"/>
  <c r="I105" i="26"/>
  <c r="H105" i="26"/>
  <c r="G105" i="26"/>
  <c r="F105" i="26"/>
  <c r="E105" i="26"/>
  <c r="D105" i="26"/>
  <c r="K92" i="26"/>
  <c r="J92" i="26"/>
  <c r="I92" i="26"/>
  <c r="H92" i="26"/>
  <c r="G92" i="26"/>
  <c r="F92" i="26"/>
  <c r="E92" i="26"/>
  <c r="D92" i="26"/>
  <c r="O79" i="26"/>
  <c r="N79" i="26"/>
  <c r="M79" i="26"/>
  <c r="L79" i="26"/>
  <c r="K79" i="26"/>
  <c r="J79" i="26"/>
  <c r="I79" i="26"/>
  <c r="F79" i="26"/>
  <c r="E79" i="26"/>
  <c r="D79" i="26"/>
  <c r="G78" i="26"/>
  <c r="G77" i="26"/>
  <c r="G76" i="26"/>
  <c r="G75" i="26"/>
  <c r="G74" i="26"/>
  <c r="G73" i="26"/>
  <c r="G72" i="26"/>
  <c r="L69" i="26"/>
  <c r="K69" i="26"/>
  <c r="I69" i="26"/>
  <c r="H69" i="26"/>
  <c r="G69" i="26"/>
  <c r="F69" i="26"/>
  <c r="E69" i="26"/>
  <c r="D69" i="26"/>
  <c r="K58" i="26"/>
  <c r="J58" i="26"/>
  <c r="I58" i="26"/>
  <c r="H58" i="26"/>
  <c r="G58" i="26"/>
  <c r="F58" i="26"/>
  <c r="E58" i="26"/>
  <c r="D58" i="26"/>
  <c r="E47" i="26"/>
  <c r="D47" i="26"/>
  <c r="F35" i="26"/>
  <c r="E35" i="26"/>
  <c r="D35" i="26"/>
  <c r="G34" i="26"/>
  <c r="G33" i="26"/>
  <c r="G32" i="26"/>
  <c r="G31" i="26"/>
  <c r="G30" i="26"/>
  <c r="G29" i="26"/>
  <c r="G28" i="26"/>
  <c r="O24" i="26"/>
  <c r="N24" i="26"/>
  <c r="M24" i="26"/>
  <c r="L24" i="26"/>
  <c r="K24" i="26"/>
  <c r="J24" i="26"/>
  <c r="I24" i="26"/>
  <c r="H24" i="26"/>
  <c r="F24" i="26"/>
  <c r="E24" i="26"/>
  <c r="D24" i="26"/>
  <c r="G23" i="26"/>
  <c r="G22" i="26"/>
  <c r="G21" i="26"/>
  <c r="G20" i="26"/>
  <c r="G19" i="26"/>
  <c r="G17" i="26"/>
  <c r="K172" i="26" l="1"/>
  <c r="G79" i="26"/>
  <c r="G162" i="26"/>
  <c r="J172" i="26"/>
  <c r="G185" i="26"/>
  <c r="G196" i="26"/>
  <c r="G24" i="26"/>
  <c r="G35" i="26"/>
  <c r="G137" i="26"/>
  <c r="I151" i="26"/>
  <c r="F222" i="2"/>
  <c r="F216" i="2"/>
  <c r="I219" i="25"/>
  <c r="H219" i="25"/>
  <c r="G219" i="25"/>
  <c r="F219" i="25"/>
  <c r="E219" i="25"/>
  <c r="D219" i="25"/>
  <c r="F213" i="25"/>
  <c r="L209" i="25"/>
  <c r="K209" i="25"/>
  <c r="J209" i="25"/>
  <c r="I209" i="25"/>
  <c r="H209" i="25"/>
  <c r="G209" i="25"/>
  <c r="F209" i="25"/>
  <c r="E209" i="25"/>
  <c r="D209" i="25"/>
  <c r="L196" i="25"/>
  <c r="K196" i="25"/>
  <c r="J196" i="25"/>
  <c r="I196" i="25"/>
  <c r="H196" i="25"/>
  <c r="F196" i="25"/>
  <c r="E196" i="25"/>
  <c r="D196" i="25"/>
  <c r="G195" i="25"/>
  <c r="G194" i="25"/>
  <c r="G193" i="25"/>
  <c r="G192" i="25"/>
  <c r="G191" i="25"/>
  <c r="G190" i="25"/>
  <c r="G189" i="25"/>
  <c r="O185" i="25"/>
  <c r="N185" i="25"/>
  <c r="M185" i="25"/>
  <c r="L185" i="25"/>
  <c r="K185" i="25"/>
  <c r="J185" i="25"/>
  <c r="I185" i="25"/>
  <c r="H185" i="25"/>
  <c r="F185" i="25"/>
  <c r="E185" i="25"/>
  <c r="D185" i="25"/>
  <c r="G184" i="25"/>
  <c r="G183" i="25"/>
  <c r="G182" i="25"/>
  <c r="G181" i="25"/>
  <c r="G180" i="25"/>
  <c r="G179" i="25"/>
  <c r="G178" i="25"/>
  <c r="I172" i="25"/>
  <c r="H172" i="25"/>
  <c r="G172" i="25"/>
  <c r="F172" i="25"/>
  <c r="E172" i="25"/>
  <c r="D172" i="25"/>
  <c r="K171" i="25"/>
  <c r="J171" i="25"/>
  <c r="K170" i="25"/>
  <c r="J170" i="25"/>
  <c r="K169" i="25"/>
  <c r="J169" i="25"/>
  <c r="K168" i="25"/>
  <c r="J168" i="25"/>
  <c r="K167" i="25"/>
  <c r="J167" i="25"/>
  <c r="K166" i="25"/>
  <c r="K172" i="25" s="1"/>
  <c r="J166" i="25"/>
  <c r="K165" i="25"/>
  <c r="J165" i="25"/>
  <c r="J162" i="25"/>
  <c r="I162" i="25"/>
  <c r="H162" i="25"/>
  <c r="F162" i="25"/>
  <c r="E162" i="25"/>
  <c r="D162" i="25"/>
  <c r="G161" i="25"/>
  <c r="G160" i="25"/>
  <c r="G159" i="25"/>
  <c r="G158" i="25"/>
  <c r="G157" i="25"/>
  <c r="G156" i="25"/>
  <c r="G155" i="25"/>
  <c r="N151" i="25"/>
  <c r="M151" i="25"/>
  <c r="L151" i="25"/>
  <c r="K151" i="25"/>
  <c r="J151" i="25"/>
  <c r="H151" i="25"/>
  <c r="G151" i="25"/>
  <c r="F151" i="25"/>
  <c r="E151" i="25"/>
  <c r="D151" i="25"/>
  <c r="I150" i="25"/>
  <c r="I149" i="25"/>
  <c r="I148" i="25"/>
  <c r="I147" i="25"/>
  <c r="I146" i="25"/>
  <c r="I145" i="25"/>
  <c r="I144" i="25"/>
  <c r="F137" i="25"/>
  <c r="E137" i="25"/>
  <c r="D137" i="25"/>
  <c r="G136" i="25"/>
  <c r="G135" i="25"/>
  <c r="G134" i="25"/>
  <c r="G133" i="25"/>
  <c r="G132" i="25"/>
  <c r="G131" i="25"/>
  <c r="L127" i="25"/>
  <c r="K127" i="25"/>
  <c r="I127" i="25"/>
  <c r="H127" i="25"/>
  <c r="G127" i="25"/>
  <c r="F127" i="25"/>
  <c r="E127" i="25"/>
  <c r="D127" i="25"/>
  <c r="L116" i="25"/>
  <c r="K116" i="25"/>
  <c r="I116" i="25"/>
  <c r="H116" i="25"/>
  <c r="G116" i="25"/>
  <c r="F116" i="25"/>
  <c r="E116" i="25"/>
  <c r="D116" i="25"/>
  <c r="M105" i="25"/>
  <c r="L105" i="25"/>
  <c r="K105" i="25"/>
  <c r="J105" i="25"/>
  <c r="I105" i="25"/>
  <c r="H105" i="25"/>
  <c r="G105" i="25"/>
  <c r="F105" i="25"/>
  <c r="E105" i="25"/>
  <c r="D105" i="25"/>
  <c r="K92" i="25"/>
  <c r="J92" i="25"/>
  <c r="I92" i="25"/>
  <c r="H92" i="25"/>
  <c r="G92" i="25"/>
  <c r="F92" i="25"/>
  <c r="E92" i="25"/>
  <c r="D92" i="25"/>
  <c r="O79" i="25"/>
  <c r="N79" i="25"/>
  <c r="M79" i="25"/>
  <c r="L79" i="25"/>
  <c r="K79" i="25"/>
  <c r="J79" i="25"/>
  <c r="I79" i="25"/>
  <c r="F79" i="25"/>
  <c r="E79" i="25"/>
  <c r="D79" i="25"/>
  <c r="G78" i="25"/>
  <c r="G77" i="25"/>
  <c r="G76" i="25"/>
  <c r="G75" i="25"/>
  <c r="G74" i="25"/>
  <c r="G73" i="25"/>
  <c r="G72" i="25"/>
  <c r="L69" i="25"/>
  <c r="K69" i="25"/>
  <c r="I69" i="25"/>
  <c r="H69" i="25"/>
  <c r="G69" i="25"/>
  <c r="F69" i="25"/>
  <c r="E69" i="25"/>
  <c r="D69" i="25"/>
  <c r="K58" i="25"/>
  <c r="J58" i="25"/>
  <c r="I58" i="25"/>
  <c r="H58" i="25"/>
  <c r="G58" i="25"/>
  <c r="F58" i="25"/>
  <c r="E58" i="25"/>
  <c r="D58" i="25"/>
  <c r="E47" i="25"/>
  <c r="D47" i="25"/>
  <c r="F35" i="25"/>
  <c r="E35" i="25"/>
  <c r="D35" i="25"/>
  <c r="G34" i="25"/>
  <c r="G33" i="25"/>
  <c r="G32" i="25"/>
  <c r="G31" i="25"/>
  <c r="G30" i="25"/>
  <c r="G29" i="25"/>
  <c r="G28" i="25"/>
  <c r="O24" i="25"/>
  <c r="N24" i="25"/>
  <c r="M24" i="25"/>
  <c r="L24" i="25"/>
  <c r="K24" i="25"/>
  <c r="J24" i="25"/>
  <c r="I24" i="25"/>
  <c r="H24" i="25"/>
  <c r="F24" i="25"/>
  <c r="E24" i="25"/>
  <c r="D24" i="25"/>
  <c r="G23" i="25"/>
  <c r="G22" i="25"/>
  <c r="G21" i="25"/>
  <c r="G20" i="25"/>
  <c r="G19" i="25"/>
  <c r="G18" i="25"/>
  <c r="G17" i="25"/>
  <c r="G162" i="25" l="1"/>
  <c r="G24" i="25"/>
  <c r="G35" i="25"/>
  <c r="G137" i="25"/>
  <c r="I151" i="25"/>
  <c r="G79" i="25"/>
  <c r="J172" i="25"/>
  <c r="G185" i="25"/>
  <c r="G196" i="25"/>
  <c r="I219" i="24"/>
  <c r="H219" i="24"/>
  <c r="G219" i="24"/>
  <c r="L209" i="24"/>
  <c r="K209" i="24"/>
  <c r="J209" i="24"/>
  <c r="I209" i="24"/>
  <c r="H209" i="24"/>
  <c r="G209" i="24"/>
  <c r="F209" i="24"/>
  <c r="E209" i="24"/>
  <c r="D209" i="24"/>
  <c r="L196" i="24"/>
  <c r="K196" i="24"/>
  <c r="J196" i="24"/>
  <c r="I196" i="24"/>
  <c r="H196" i="24"/>
  <c r="D196" i="24"/>
  <c r="G195" i="24"/>
  <c r="G194" i="24"/>
  <c r="G193" i="24"/>
  <c r="G192" i="24"/>
  <c r="G191" i="24"/>
  <c r="G190" i="24"/>
  <c r="G189" i="24"/>
  <c r="O185" i="24"/>
  <c r="N185" i="24"/>
  <c r="M185" i="24"/>
  <c r="L185" i="24"/>
  <c r="K185" i="24"/>
  <c r="J185" i="24"/>
  <c r="I185" i="24"/>
  <c r="H185" i="24"/>
  <c r="F185" i="24"/>
  <c r="E185" i="24"/>
  <c r="D185" i="24"/>
  <c r="G184" i="24"/>
  <c r="G183" i="24"/>
  <c r="G182" i="24"/>
  <c r="G181" i="24"/>
  <c r="G180" i="24"/>
  <c r="G179" i="24"/>
  <c r="G178" i="24"/>
  <c r="I172" i="24"/>
  <c r="H172" i="24"/>
  <c r="G172" i="24"/>
  <c r="F172" i="24"/>
  <c r="E172" i="24"/>
  <c r="D172" i="24"/>
  <c r="K171" i="24"/>
  <c r="J171" i="24"/>
  <c r="K170" i="24"/>
  <c r="J170" i="24"/>
  <c r="K169" i="24"/>
  <c r="J169" i="24"/>
  <c r="K168" i="24"/>
  <c r="J168" i="24"/>
  <c r="K167" i="24"/>
  <c r="J167" i="24"/>
  <c r="K166" i="24"/>
  <c r="J166" i="24"/>
  <c r="K165" i="24"/>
  <c r="J165" i="24"/>
  <c r="J162" i="24"/>
  <c r="I162" i="24"/>
  <c r="H162" i="24"/>
  <c r="F162" i="24"/>
  <c r="E162" i="24"/>
  <c r="D162" i="24"/>
  <c r="G161" i="24"/>
  <c r="G160" i="24"/>
  <c r="G159" i="24"/>
  <c r="G158" i="24"/>
  <c r="G157" i="24"/>
  <c r="G156" i="24"/>
  <c r="G155" i="24"/>
  <c r="N151" i="24"/>
  <c r="M151" i="24"/>
  <c r="L151" i="24"/>
  <c r="K151" i="24"/>
  <c r="J151" i="24"/>
  <c r="H151" i="24"/>
  <c r="G151" i="24"/>
  <c r="F151" i="24"/>
  <c r="E151" i="24"/>
  <c r="D151" i="24"/>
  <c r="I150" i="24"/>
  <c r="I149" i="24"/>
  <c r="I148" i="24"/>
  <c r="I147" i="24"/>
  <c r="I146" i="24"/>
  <c r="I145" i="24"/>
  <c r="I144" i="24"/>
  <c r="F137" i="24"/>
  <c r="E137" i="24"/>
  <c r="D137" i="24"/>
  <c r="G136" i="24"/>
  <c r="G135" i="24"/>
  <c r="G134" i="24"/>
  <c r="G133" i="24"/>
  <c r="G132" i="24"/>
  <c r="G131" i="24"/>
  <c r="L127" i="24"/>
  <c r="K127" i="24"/>
  <c r="I127" i="24"/>
  <c r="H127" i="24"/>
  <c r="G127" i="24"/>
  <c r="F127" i="24"/>
  <c r="E127" i="24"/>
  <c r="D127" i="24"/>
  <c r="L116" i="24"/>
  <c r="K116" i="24"/>
  <c r="I116" i="24"/>
  <c r="H116" i="24"/>
  <c r="G116" i="24"/>
  <c r="F116" i="24"/>
  <c r="E116" i="24"/>
  <c r="D116" i="24"/>
  <c r="M105" i="24"/>
  <c r="L105" i="24"/>
  <c r="K105" i="24"/>
  <c r="J105" i="24"/>
  <c r="I105" i="24"/>
  <c r="H105" i="24"/>
  <c r="G105" i="24"/>
  <c r="F105" i="24"/>
  <c r="E105" i="24"/>
  <c r="D105" i="24"/>
  <c r="K92" i="24"/>
  <c r="J92" i="24"/>
  <c r="I92" i="24"/>
  <c r="H92" i="24"/>
  <c r="G92" i="24"/>
  <c r="F92" i="24"/>
  <c r="E92" i="24"/>
  <c r="D92" i="24"/>
  <c r="O79" i="24"/>
  <c r="N79" i="24"/>
  <c r="M79" i="24"/>
  <c r="L79" i="24"/>
  <c r="K79" i="24"/>
  <c r="J79" i="24"/>
  <c r="I79" i="24"/>
  <c r="F79" i="24"/>
  <c r="E79" i="24"/>
  <c r="D79" i="24"/>
  <c r="G78" i="24"/>
  <c r="G77" i="24"/>
  <c r="G76" i="24"/>
  <c r="G75" i="24"/>
  <c r="G74" i="24"/>
  <c r="G73" i="24"/>
  <c r="G72" i="24"/>
  <c r="L69" i="24"/>
  <c r="K69" i="24"/>
  <c r="I69" i="24"/>
  <c r="H69" i="24"/>
  <c r="G69" i="24"/>
  <c r="F69" i="24"/>
  <c r="E69" i="24"/>
  <c r="D69" i="24"/>
  <c r="K58" i="24"/>
  <c r="J58" i="24"/>
  <c r="I58" i="24"/>
  <c r="H58" i="24"/>
  <c r="G58" i="24"/>
  <c r="F58" i="24"/>
  <c r="E58" i="24"/>
  <c r="D58" i="24"/>
  <c r="E47" i="24"/>
  <c r="D47" i="24"/>
  <c r="F35" i="24"/>
  <c r="E35" i="24"/>
  <c r="D35" i="24"/>
  <c r="G34" i="24"/>
  <c r="G33" i="24"/>
  <c r="G32" i="24"/>
  <c r="G31" i="24"/>
  <c r="G30" i="24"/>
  <c r="G29" i="24"/>
  <c r="G28" i="24"/>
  <c r="O24" i="24"/>
  <c r="N24" i="24"/>
  <c r="M24" i="24"/>
  <c r="L24" i="24"/>
  <c r="K24" i="24"/>
  <c r="J24" i="24"/>
  <c r="I24" i="24"/>
  <c r="H24" i="24"/>
  <c r="F24" i="24"/>
  <c r="E24" i="24"/>
  <c r="D24" i="24"/>
  <c r="G23" i="24"/>
  <c r="G22" i="24"/>
  <c r="G21" i="24"/>
  <c r="G20" i="24"/>
  <c r="G19" i="24"/>
  <c r="G18" i="24"/>
  <c r="G17" i="24"/>
  <c r="J172" i="24" l="1"/>
  <c r="G185" i="24"/>
  <c r="G24" i="24"/>
  <c r="G79" i="24"/>
  <c r="I151" i="24"/>
  <c r="G162" i="24"/>
  <c r="G137" i="24"/>
  <c r="K172" i="24"/>
  <c r="G35" i="24"/>
  <c r="G196" i="24"/>
  <c r="I219" i="23"/>
  <c r="H219" i="23"/>
  <c r="G219" i="23"/>
  <c r="F219" i="23"/>
  <c r="D219" i="23"/>
  <c r="E218" i="23"/>
  <c r="E221" i="2" s="1"/>
  <c r="E217" i="23"/>
  <c r="E220" i="2" s="1"/>
  <c r="E216" i="2" s="1"/>
  <c r="F213" i="23"/>
  <c r="E213" i="23"/>
  <c r="L209" i="23"/>
  <c r="K209" i="23"/>
  <c r="J209" i="23"/>
  <c r="I209" i="23"/>
  <c r="H209" i="23"/>
  <c r="G209" i="23"/>
  <c r="F209" i="23"/>
  <c r="E209" i="23"/>
  <c r="D209" i="23"/>
  <c r="D196" i="23"/>
  <c r="G195" i="23"/>
  <c r="G194" i="23"/>
  <c r="G193" i="23"/>
  <c r="K192" i="23"/>
  <c r="K195" i="2" s="1"/>
  <c r="J192" i="23"/>
  <c r="J195" i="2" s="1"/>
  <c r="I192" i="23"/>
  <c r="I195" i="2" s="1"/>
  <c r="H192" i="23"/>
  <c r="H195" i="2" s="1"/>
  <c r="F192" i="23"/>
  <c r="L191" i="23"/>
  <c r="L194" i="2" s="1"/>
  <c r="L199" i="2" s="1"/>
  <c r="K191" i="23"/>
  <c r="K194" i="2" s="1"/>
  <c r="J191" i="23"/>
  <c r="I191" i="23"/>
  <c r="H191" i="23"/>
  <c r="E191" i="23"/>
  <c r="G190" i="23"/>
  <c r="G189" i="23"/>
  <c r="O185" i="23"/>
  <c r="N185" i="23"/>
  <c r="M185" i="23"/>
  <c r="L185" i="23"/>
  <c r="K185" i="23"/>
  <c r="J185" i="23"/>
  <c r="D185" i="23"/>
  <c r="G184" i="23"/>
  <c r="G183" i="23"/>
  <c r="G182" i="23"/>
  <c r="I181" i="23"/>
  <c r="I184" i="2" s="1"/>
  <c r="H181" i="23"/>
  <c r="H184" i="2" s="1"/>
  <c r="F181" i="23"/>
  <c r="I180" i="23"/>
  <c r="I183" i="2" s="1"/>
  <c r="H180" i="23"/>
  <c r="E180" i="23"/>
  <c r="G179" i="23"/>
  <c r="G178" i="23"/>
  <c r="I172" i="23"/>
  <c r="H172" i="23"/>
  <c r="G172" i="23"/>
  <c r="F172" i="23"/>
  <c r="E172" i="23"/>
  <c r="D172" i="23"/>
  <c r="K171" i="23"/>
  <c r="J171" i="23"/>
  <c r="K170" i="23"/>
  <c r="J170" i="23"/>
  <c r="K169" i="23"/>
  <c r="J169" i="23"/>
  <c r="K168" i="23"/>
  <c r="J168" i="23"/>
  <c r="K167" i="23"/>
  <c r="J167" i="23"/>
  <c r="K166" i="23"/>
  <c r="J166" i="23"/>
  <c r="K165" i="23"/>
  <c r="J165" i="23"/>
  <c r="J162" i="23"/>
  <c r="I162" i="23"/>
  <c r="H162" i="23"/>
  <c r="F162" i="23"/>
  <c r="E162" i="23"/>
  <c r="D162" i="23"/>
  <c r="G161" i="23"/>
  <c r="G160" i="23"/>
  <c r="G159" i="23"/>
  <c r="G158" i="23"/>
  <c r="G157" i="23"/>
  <c r="G156" i="23"/>
  <c r="G155" i="23"/>
  <c r="N151" i="23"/>
  <c r="M151" i="23"/>
  <c r="L151" i="23"/>
  <c r="K151" i="23"/>
  <c r="J151" i="23"/>
  <c r="H151" i="23"/>
  <c r="G151" i="23"/>
  <c r="F151" i="23"/>
  <c r="E151" i="23"/>
  <c r="D151" i="23"/>
  <c r="I150" i="23"/>
  <c r="I149" i="23"/>
  <c r="I148" i="23"/>
  <c r="I147" i="23"/>
  <c r="I146" i="23"/>
  <c r="I145" i="23"/>
  <c r="I144" i="23"/>
  <c r="I151" i="23" s="1"/>
  <c r="F137" i="23"/>
  <c r="E137" i="23"/>
  <c r="D137" i="23"/>
  <c r="G136" i="23"/>
  <c r="G135" i="23"/>
  <c r="G134" i="23"/>
  <c r="G133" i="23"/>
  <c r="G132" i="23"/>
  <c r="G131" i="23"/>
  <c r="L127" i="23"/>
  <c r="K127" i="23"/>
  <c r="I127" i="23"/>
  <c r="H127" i="23"/>
  <c r="G127" i="23"/>
  <c r="F127" i="23"/>
  <c r="E127" i="23"/>
  <c r="D127" i="23"/>
  <c r="L116" i="23"/>
  <c r="K116" i="23"/>
  <c r="I116" i="23"/>
  <c r="H116" i="23"/>
  <c r="G116" i="23"/>
  <c r="F116" i="23"/>
  <c r="E116" i="23"/>
  <c r="D116" i="23"/>
  <c r="M105" i="23"/>
  <c r="L105" i="23"/>
  <c r="K105" i="23"/>
  <c r="J105" i="23"/>
  <c r="I105" i="23"/>
  <c r="H105" i="23"/>
  <c r="G105" i="23"/>
  <c r="F105" i="23"/>
  <c r="E105" i="23"/>
  <c r="D105" i="23"/>
  <c r="K92" i="23"/>
  <c r="J92" i="23"/>
  <c r="I92" i="23"/>
  <c r="H92" i="23"/>
  <c r="G92" i="23"/>
  <c r="F92" i="23"/>
  <c r="E92" i="23"/>
  <c r="D92" i="23"/>
  <c r="O79" i="23"/>
  <c r="N79" i="23"/>
  <c r="M79" i="23"/>
  <c r="L79" i="23"/>
  <c r="K79" i="23"/>
  <c r="J79" i="23"/>
  <c r="I79" i="23"/>
  <c r="F79" i="23"/>
  <c r="E79" i="23"/>
  <c r="D79" i="23"/>
  <c r="G78" i="23"/>
  <c r="G77" i="23"/>
  <c r="G76" i="23"/>
  <c r="G75" i="23"/>
  <c r="G74" i="23"/>
  <c r="G73" i="23"/>
  <c r="G72" i="23"/>
  <c r="G79" i="23" s="1"/>
  <c r="L69" i="23"/>
  <c r="K69" i="23"/>
  <c r="I69" i="23"/>
  <c r="H69" i="23"/>
  <c r="G69" i="23"/>
  <c r="F69" i="23"/>
  <c r="E69" i="23"/>
  <c r="D69" i="23"/>
  <c r="K58" i="23"/>
  <c r="J58" i="23"/>
  <c r="I58" i="23"/>
  <c r="H58" i="23"/>
  <c r="G58" i="23"/>
  <c r="F58" i="23"/>
  <c r="E58" i="23"/>
  <c r="D58" i="23"/>
  <c r="E47" i="23"/>
  <c r="D47" i="23"/>
  <c r="F35" i="23"/>
  <c r="E35" i="23"/>
  <c r="D35" i="23"/>
  <c r="G34" i="23"/>
  <c r="G33" i="23"/>
  <c r="G32" i="23"/>
  <c r="G31" i="23"/>
  <c r="G30" i="23"/>
  <c r="G29" i="23"/>
  <c r="G28" i="23"/>
  <c r="O24" i="23"/>
  <c r="N24" i="23"/>
  <c r="M24" i="23"/>
  <c r="L24" i="23"/>
  <c r="K24" i="23"/>
  <c r="J24" i="23"/>
  <c r="I24" i="23"/>
  <c r="H24" i="23"/>
  <c r="F24" i="23"/>
  <c r="E24" i="23"/>
  <c r="D24" i="23"/>
  <c r="G23" i="23"/>
  <c r="G22" i="23"/>
  <c r="G21" i="23"/>
  <c r="G20" i="23"/>
  <c r="G19" i="23"/>
  <c r="G18" i="23"/>
  <c r="G17" i="23"/>
  <c r="G24" i="23" l="1"/>
  <c r="I188" i="2"/>
  <c r="K199" i="2"/>
  <c r="G35" i="23"/>
  <c r="G137" i="23"/>
  <c r="K172" i="23"/>
  <c r="F185" i="23"/>
  <c r="F184" i="2"/>
  <c r="E196" i="23"/>
  <c r="E194" i="2"/>
  <c r="L196" i="23"/>
  <c r="E222" i="2"/>
  <c r="G180" i="23"/>
  <c r="E183" i="2"/>
  <c r="H196" i="23"/>
  <c r="H194" i="2"/>
  <c r="H199" i="2" s="1"/>
  <c r="G162" i="23"/>
  <c r="H185" i="23"/>
  <c r="H183" i="2"/>
  <c r="H188" i="2" s="1"/>
  <c r="I196" i="23"/>
  <c r="I194" i="2"/>
  <c r="I199" i="2" s="1"/>
  <c r="F196" i="23"/>
  <c r="F195" i="2"/>
  <c r="J172" i="23"/>
  <c r="I185" i="23"/>
  <c r="J196" i="23"/>
  <c r="J194" i="2"/>
  <c r="J199" i="2" s="1"/>
  <c r="K196" i="23"/>
  <c r="E219" i="23"/>
  <c r="G192" i="23"/>
  <c r="G191" i="23"/>
  <c r="G196" i="23" s="1"/>
  <c r="E185" i="23"/>
  <c r="G181" i="23"/>
  <c r="G185" i="23" s="1"/>
  <c r="B223" i="22"/>
  <c r="I219" i="22"/>
  <c r="H219" i="22"/>
  <c r="G219" i="22"/>
  <c r="F219" i="22"/>
  <c r="E219" i="22"/>
  <c r="D219" i="22"/>
  <c r="F213" i="22"/>
  <c r="E213" i="22"/>
  <c r="L209" i="22"/>
  <c r="K209" i="22"/>
  <c r="J209" i="22"/>
  <c r="I209" i="22"/>
  <c r="H209" i="22"/>
  <c r="G209" i="22"/>
  <c r="F209" i="22"/>
  <c r="E209" i="22"/>
  <c r="D209" i="22"/>
  <c r="L196" i="22"/>
  <c r="K196" i="22"/>
  <c r="J196" i="22"/>
  <c r="I196" i="22"/>
  <c r="H196" i="22"/>
  <c r="F196" i="22"/>
  <c r="E196" i="22"/>
  <c r="D196" i="22"/>
  <c r="G195" i="22"/>
  <c r="G194" i="22"/>
  <c r="G193" i="22"/>
  <c r="G192" i="22"/>
  <c r="G191" i="22"/>
  <c r="G189" i="22"/>
  <c r="O185" i="22"/>
  <c r="N185" i="22"/>
  <c r="M185" i="22"/>
  <c r="L185" i="22"/>
  <c r="K185" i="22"/>
  <c r="J185" i="22"/>
  <c r="I185" i="22"/>
  <c r="H185" i="22"/>
  <c r="F185" i="22"/>
  <c r="E185" i="22"/>
  <c r="D185" i="22"/>
  <c r="G184" i="22"/>
  <c r="T183" i="22"/>
  <c r="G183" i="22"/>
  <c r="G182" i="22"/>
  <c r="G181" i="22"/>
  <c r="G180" i="22"/>
  <c r="G179" i="22"/>
  <c r="G178" i="22"/>
  <c r="I172" i="22"/>
  <c r="H172" i="22"/>
  <c r="G172" i="22"/>
  <c r="F172" i="22"/>
  <c r="E172" i="22"/>
  <c r="D172" i="22"/>
  <c r="K171" i="22"/>
  <c r="J171" i="22"/>
  <c r="K170" i="22"/>
  <c r="J170" i="22"/>
  <c r="K169" i="22"/>
  <c r="J169" i="22"/>
  <c r="K168" i="22"/>
  <c r="J168" i="22"/>
  <c r="K166" i="22"/>
  <c r="K165" i="22"/>
  <c r="J165" i="22"/>
  <c r="J162" i="22"/>
  <c r="I162" i="22"/>
  <c r="H162" i="22"/>
  <c r="F162" i="22"/>
  <c r="E162" i="22"/>
  <c r="D162" i="22"/>
  <c r="G161" i="22"/>
  <c r="G160" i="22"/>
  <c r="G159" i="22"/>
  <c r="G158" i="22"/>
  <c r="G157" i="22"/>
  <c r="G155" i="22"/>
  <c r="N151" i="22"/>
  <c r="M151" i="22"/>
  <c r="L151" i="22"/>
  <c r="K151" i="22"/>
  <c r="J151" i="22"/>
  <c r="H151" i="22"/>
  <c r="G151" i="22"/>
  <c r="F151" i="22"/>
  <c r="E151" i="22"/>
  <c r="D151" i="22"/>
  <c r="I150" i="22"/>
  <c r="I149" i="22"/>
  <c r="I148" i="22"/>
  <c r="I147" i="22"/>
  <c r="I144" i="22"/>
  <c r="F137" i="22"/>
  <c r="E137" i="22"/>
  <c r="D137" i="22"/>
  <c r="G136" i="22"/>
  <c r="G135" i="22"/>
  <c r="G134" i="22"/>
  <c r="G133" i="22"/>
  <c r="G132" i="22"/>
  <c r="L127" i="22"/>
  <c r="K127" i="22"/>
  <c r="I127" i="22"/>
  <c r="H127" i="22"/>
  <c r="G127" i="22"/>
  <c r="F127" i="22"/>
  <c r="E127" i="22"/>
  <c r="D127" i="22"/>
  <c r="L116" i="22"/>
  <c r="K116" i="22"/>
  <c r="I116" i="22"/>
  <c r="H116" i="22"/>
  <c r="G116" i="22"/>
  <c r="F116" i="22"/>
  <c r="E116" i="22"/>
  <c r="D116" i="22"/>
  <c r="M105" i="22"/>
  <c r="L105" i="22"/>
  <c r="K105" i="22"/>
  <c r="J105" i="22"/>
  <c r="I105" i="22"/>
  <c r="H105" i="22"/>
  <c r="G105" i="22"/>
  <c r="F105" i="22"/>
  <c r="E105" i="22"/>
  <c r="D105" i="22"/>
  <c r="K92" i="22"/>
  <c r="J92" i="22"/>
  <c r="I92" i="22"/>
  <c r="H92" i="22"/>
  <c r="G92" i="22"/>
  <c r="F92" i="22"/>
  <c r="E92" i="22"/>
  <c r="D92" i="22"/>
  <c r="O79" i="22"/>
  <c r="N79" i="22"/>
  <c r="M79" i="22"/>
  <c r="L79" i="22"/>
  <c r="K79" i="22"/>
  <c r="J79" i="22"/>
  <c r="I79" i="22"/>
  <c r="F79" i="22"/>
  <c r="E79" i="22"/>
  <c r="D79" i="22"/>
  <c r="G78" i="22"/>
  <c r="G77" i="22"/>
  <c r="G76" i="22"/>
  <c r="G75" i="22"/>
  <c r="G74" i="22"/>
  <c r="G72" i="22"/>
  <c r="L69" i="22"/>
  <c r="K69" i="22"/>
  <c r="I69" i="22"/>
  <c r="H69" i="22"/>
  <c r="G69" i="22"/>
  <c r="F69" i="22"/>
  <c r="E69" i="22"/>
  <c r="D69" i="22"/>
  <c r="K58" i="22"/>
  <c r="J58" i="22"/>
  <c r="I58" i="22"/>
  <c r="H58" i="22"/>
  <c r="G58" i="22"/>
  <c r="F58" i="22"/>
  <c r="E58" i="22"/>
  <c r="D58" i="22"/>
  <c r="E47" i="22"/>
  <c r="D47" i="22"/>
  <c r="F35" i="22"/>
  <c r="E35" i="22"/>
  <c r="D35" i="22"/>
  <c r="G34" i="22"/>
  <c r="G33" i="22"/>
  <c r="G32" i="22"/>
  <c r="G31" i="22"/>
  <c r="G30" i="22"/>
  <c r="G28" i="22"/>
  <c r="O24" i="22"/>
  <c r="N24" i="22"/>
  <c r="M24" i="22"/>
  <c r="L24" i="22"/>
  <c r="K24" i="22"/>
  <c r="J24" i="22"/>
  <c r="I24" i="22"/>
  <c r="H24" i="22"/>
  <c r="F24" i="22"/>
  <c r="E24" i="22"/>
  <c r="D24" i="22"/>
  <c r="G23" i="22"/>
  <c r="G22" i="22"/>
  <c r="G21" i="22"/>
  <c r="G20" i="22"/>
  <c r="G19" i="22"/>
  <c r="G18" i="22"/>
  <c r="G17" i="22"/>
  <c r="G137" i="22" l="1"/>
  <c r="I151" i="22"/>
  <c r="G79" i="22"/>
  <c r="G162" i="22"/>
  <c r="J172" i="22"/>
  <c r="G24" i="22"/>
  <c r="G35" i="22"/>
  <c r="K172" i="22"/>
  <c r="G185" i="22"/>
  <c r="J213" i="22"/>
  <c r="J215" i="22" s="1"/>
  <c r="E188" i="2"/>
  <c r="G183" i="2"/>
  <c r="F188" i="2"/>
  <c r="G184" i="2"/>
  <c r="G196" i="22"/>
  <c r="E199" i="2"/>
  <c r="G194" i="2"/>
  <c r="M196" i="22"/>
  <c r="G195" i="2"/>
  <c r="F199" i="2"/>
  <c r="G199" i="2" l="1"/>
  <c r="G188" i="2"/>
  <c r="Q181" i="2" s="1"/>
</calcChain>
</file>

<file path=xl/comments1.xml><?xml version="1.0" encoding="utf-8"?>
<comments xmlns="http://schemas.openxmlformats.org/spreadsheetml/2006/main">
  <authors>
    <author>Anna Dybowska</author>
  </authors>
  <commentList>
    <comment ref="F64" authorId="0">
      <text>
        <r>
          <rPr>
            <b/>
            <sz val="9"/>
            <color indexed="81"/>
            <rFont val="Tahoma"/>
            <family val="2"/>
            <charset val="238"/>
          </rPr>
          <t>Anna Dybowska:</t>
        </r>
        <r>
          <rPr>
            <sz val="9"/>
            <color indexed="81"/>
            <rFont val="Tahoma"/>
            <family val="2"/>
            <charset val="238"/>
          </rPr>
          <t xml:space="preserve">
grune woche - 1 
gęsinowe- 1
ESDK/dożynki - 1</t>
        </r>
      </text>
    </comment>
    <comment ref="G64" authorId="0">
      <text>
        <r>
          <rPr>
            <b/>
            <sz val="9"/>
            <color indexed="81"/>
            <rFont val="Tahoma"/>
            <family val="2"/>
            <charset val="238"/>
          </rPr>
          <t>Anna Dybowska:</t>
        </r>
        <r>
          <rPr>
            <sz val="9"/>
            <color indexed="81"/>
            <rFont val="Tahoma"/>
            <family val="2"/>
            <charset val="238"/>
          </rPr>
          <t xml:space="preserve">
chrońmy pszczoły- 3
</t>
        </r>
      </text>
    </comment>
    <comment ref="K64" authorId="0">
      <text>
        <r>
          <rPr>
            <b/>
            <sz val="9"/>
            <color indexed="81"/>
            <rFont val="Tahoma"/>
            <family val="2"/>
            <charset val="238"/>
          </rPr>
          <t>Anna Dybowska:</t>
        </r>
        <r>
          <rPr>
            <sz val="9"/>
            <color indexed="81"/>
            <rFont val="Tahoma"/>
            <family val="2"/>
            <charset val="238"/>
          </rPr>
          <t xml:space="preserve">
WSG- 1 
</t>
        </r>
      </text>
    </comment>
    <comment ref="L64" authorId="0">
      <text>
        <r>
          <rPr>
            <b/>
            <sz val="9"/>
            <color indexed="81"/>
            <rFont val="Tahoma"/>
            <family val="2"/>
            <charset val="238"/>
          </rPr>
          <t>Anna Dybowska:</t>
        </r>
        <r>
          <rPr>
            <sz val="9"/>
            <color indexed="81"/>
            <rFont val="Tahoma"/>
            <family val="2"/>
            <charset val="238"/>
          </rPr>
          <t xml:space="preserve">
pałuki publ. - 1/2000</t>
        </r>
      </text>
    </comment>
    <comment ref="E131" authorId="0">
      <text>
        <r>
          <rPr>
            <b/>
            <sz val="9"/>
            <color indexed="81"/>
            <rFont val="Tahoma"/>
            <family val="2"/>
            <charset val="238"/>
          </rPr>
          <t>Anna Dybowska:</t>
        </r>
        <r>
          <rPr>
            <sz val="9"/>
            <color indexed="81"/>
            <rFont val="Tahoma"/>
            <family val="2"/>
            <charset val="238"/>
          </rPr>
          <t xml:space="preserve">
członkowie sieci KSOW - region</t>
        </r>
      </text>
    </comment>
  </commentList>
</comments>
</file>

<file path=xl/comments2.xml><?xml version="1.0" encoding="utf-8"?>
<comments xmlns="http://schemas.openxmlformats.org/spreadsheetml/2006/main">
  <authors>
    <author>Beata Adamska</author>
  </authors>
  <commentList>
    <comment ref="F19" authorId="0">
      <text>
        <r>
          <rPr>
            <b/>
            <sz val="9"/>
            <color indexed="81"/>
            <rFont val="Tahoma"/>
            <family val="2"/>
            <charset val="238"/>
          </rPr>
          <t>Beata Adamska:</t>
        </r>
        <r>
          <rPr>
            <sz val="9"/>
            <color indexed="81"/>
            <rFont val="Tahoma"/>
            <family val="2"/>
            <charset val="238"/>
          </rPr>
          <t xml:space="preserve">
Ekogala, Dubiecko</t>
        </r>
      </text>
    </comment>
  </commentList>
</comments>
</file>

<file path=xl/comments3.xml><?xml version="1.0" encoding="utf-8"?>
<comments xmlns="http://schemas.openxmlformats.org/spreadsheetml/2006/main">
  <authors>
    <author>Sacharczuk Ewa</author>
  </authors>
  <commentList>
    <comment ref="D42" authorId="0">
      <text>
        <r>
          <rPr>
            <b/>
            <sz val="9"/>
            <color indexed="81"/>
            <rFont val="Tahoma"/>
            <family val="2"/>
            <charset val="238"/>
          </rPr>
          <t>Sacharczuk Ewa:</t>
        </r>
        <r>
          <rPr>
            <sz val="9"/>
            <color indexed="81"/>
            <rFont val="Tahoma"/>
            <family val="2"/>
            <charset val="238"/>
          </rPr>
          <t xml:space="preserve">
- strona KSOW 8 612
- strona PROW 5 698</t>
        </r>
      </text>
    </comment>
    <comment ref="E42" authorId="0">
      <text>
        <r>
          <rPr>
            <b/>
            <sz val="9"/>
            <color indexed="81"/>
            <rFont val="Tahoma"/>
            <family val="2"/>
            <charset val="238"/>
          </rPr>
          <t>Sacharczuk Ewa:</t>
        </r>
        <r>
          <rPr>
            <sz val="9"/>
            <color indexed="81"/>
            <rFont val="Tahoma"/>
            <family val="2"/>
            <charset val="238"/>
          </rPr>
          <t xml:space="preserve">
- strona KSOW 5 384
- strona PROW 1 301</t>
        </r>
      </text>
    </comment>
    <comment ref="D43" authorId="0">
      <text>
        <r>
          <rPr>
            <b/>
            <sz val="9"/>
            <color indexed="81"/>
            <rFont val="Tahoma"/>
            <family val="2"/>
            <charset val="238"/>
          </rPr>
          <t>Sacharczuk Ewa:</t>
        </r>
        <r>
          <rPr>
            <sz val="9"/>
            <color indexed="81"/>
            <rFont val="Tahoma"/>
            <family val="2"/>
            <charset val="238"/>
          </rPr>
          <t xml:space="preserve">
- strona KSOW 5 014
- strona PROW 16 166</t>
        </r>
      </text>
    </comment>
    <comment ref="E43" authorId="0">
      <text>
        <r>
          <rPr>
            <b/>
            <sz val="9"/>
            <color indexed="81"/>
            <rFont val="Tahoma"/>
            <family val="2"/>
            <charset val="238"/>
          </rPr>
          <t>Sacharczuk Ewa:</t>
        </r>
        <r>
          <rPr>
            <sz val="9"/>
            <color indexed="81"/>
            <rFont val="Tahoma"/>
            <family val="2"/>
            <charset val="238"/>
          </rPr>
          <t xml:space="preserve">
- strona KSOW 2 596
- strona PROW 2 825</t>
        </r>
      </text>
    </comment>
    <comment ref="D132" authorId="0">
      <text>
        <r>
          <rPr>
            <b/>
            <sz val="9"/>
            <color indexed="81"/>
            <rFont val="Tahoma"/>
            <family val="2"/>
            <charset val="238"/>
          </rPr>
          <t>Sacharczuk Ewa:</t>
        </r>
        <r>
          <rPr>
            <sz val="9"/>
            <color indexed="81"/>
            <rFont val="Tahoma"/>
            <family val="2"/>
            <charset val="238"/>
          </rPr>
          <t xml:space="preserve">
Organizowaliśmy 7 posiedzeń obiegowo w których kazdorazowo głosowali wszyscy członkowie grupy (47 osób).</t>
        </r>
      </text>
    </comment>
    <comment ref="D133" authorId="0">
      <text>
        <r>
          <rPr>
            <b/>
            <sz val="9"/>
            <color indexed="81"/>
            <rFont val="Tahoma"/>
            <family val="2"/>
            <charset val="238"/>
          </rPr>
          <t>Sacharczuk Ewa:</t>
        </r>
        <r>
          <rPr>
            <sz val="9"/>
            <color indexed="81"/>
            <rFont val="Tahoma"/>
            <family val="2"/>
            <charset val="238"/>
          </rPr>
          <t xml:space="preserve">
Organizowaliśmy 4 posiedzenia obiegowo w których każdorazowo głosowali wszyscy członkowie grupy (47 osób) oraz 1 spotkanie stacjonarne w którym uczestniczyło 29 członków grupy.</t>
        </r>
      </text>
    </comment>
    <comment ref="F181" authorId="0">
      <text>
        <r>
          <rPr>
            <b/>
            <sz val="9"/>
            <color indexed="81"/>
            <rFont val="Tahoma"/>
            <family val="2"/>
            <charset val="238"/>
          </rPr>
          <t>Sacharczuk Ewa:</t>
        </r>
        <r>
          <rPr>
            <sz val="9"/>
            <color indexed="81"/>
            <rFont val="Tahoma"/>
            <family val="2"/>
            <charset val="238"/>
          </rPr>
          <t xml:space="preserve">
2 - Spotkania informacyjne, 1 Seminarium oraz 1 Forum</t>
        </r>
      </text>
    </comment>
    <comment ref="F192" authorId="0">
      <text>
        <r>
          <rPr>
            <b/>
            <sz val="9"/>
            <color indexed="81"/>
            <rFont val="Tahoma"/>
            <family val="2"/>
            <charset val="238"/>
          </rPr>
          <t>Sacharczuk Ewa:</t>
        </r>
        <r>
          <rPr>
            <sz val="9"/>
            <color indexed="81"/>
            <rFont val="Tahoma"/>
            <family val="2"/>
            <charset val="238"/>
          </rPr>
          <t xml:space="preserve">
2 - Spotkania informacyjne, 1 Seminarium oraz 1 Forum</t>
        </r>
      </text>
    </comment>
  </commentList>
</comments>
</file>

<file path=xl/comments4.xml><?xml version="1.0" encoding="utf-8"?>
<comments xmlns="http://schemas.openxmlformats.org/spreadsheetml/2006/main">
  <authors>
    <author>pjarocki</author>
    <author>Piotr</author>
  </authors>
  <commentList>
    <comment ref="D19" authorId="0">
      <text>
        <r>
          <rPr>
            <b/>
            <sz val="12"/>
            <color indexed="81"/>
            <rFont val="Tahoma"/>
            <family val="2"/>
            <charset val="238"/>
          </rPr>
          <t>pjarocki:</t>
        </r>
        <r>
          <rPr>
            <sz val="12"/>
            <color indexed="81"/>
            <rFont val="Tahoma"/>
            <family val="2"/>
            <charset val="238"/>
          </rPr>
          <t xml:space="preserve">
Operacje własne:
1. Szkolenie dla LGD dot. wsparcie na rzecz kosztów bieżących i aktywizacji - 3 wydarzenia
2. Piknik nad Odrą (Aleja Zachodniopomorskie Smaki) - 1 wydarzenie
3. Jarmark Jakubowy - 1 wydarzenie
4. Piknik nad Odrą (Lista Produktów Tradycyjnych) - 1 wydarzenie
5. Agro-Pomerania (stoisko) - 1 wydarzenie
6. Festiwal Piwa - 1 wydarzenie
7. Akademia Sołtysa - 4 wydarzenia
8. Jarmark Bożonarodzeniowy - 1 wydarzenie
9. Cykl szkoleń dot. wod-kan - 3 wydarzenia
10. Szkolenia z ZP - 2 wydarzenia
11. Spotkania informacyjno - promocyjne (przy okazji podpisywania umów) - 17 wydarzeń oraz 1 szkolenie organizowane przez WIR, w ktorym uczestniczyły 2 osoby z WPROW.
Operacje Partnerów:
1. Gmina Stare Czarnowo - 1 wydarzenie
2. Szkolne Koło TPD w Żabnicy - 1 wydarzenie
3. LGD "Powiatu Świdwińskiego" - 1 wydarzenie (szkolenie)
4. Pod Kasztanami - 2 wydarzenia (Konkurs kulinarny i konferencja)
5. Agro - Pomerania - 1 wydarzenie
6. Powiat Łobeski - 1 wydarzenie 
7. Gospodarka Pasieczna - 6 wydarzeń (5 szkoleń i konferencja)
8. Gmina Łobez - 1 wydarzenie 
9. Agro - Eko - 1 wydarzenie
10. Jaskółka - 1 wydarzenie
11. DOK - 5 wydarzeń (5 warszatów o rożnej tematyce)
12. Realizujmy marzenia - 2 wydarzenia (wyjazd i debata)
13. Zagroda edukacyjna - 1 wydarzenie
14. Jarmark w Toporzyku - 1 wydarzenie
15. Gmina Przelewice - 1 wydarzenie
16. GOK w Rewalu - 1 wydarzenie
17. CIW - 1 wydarzenie
18. Jacek Smoliński - 9 wydarzeń (9 warsztatów w rożnym czasie i miejsach)
19. ZMW - 1 wydarzenie
20. ZUT - 2 wydarzenia (konferencja i wyjazd studyjny)
21. Lider Pojezierza - 1 wydarzenie
</t>
        </r>
      </text>
    </comment>
    <comment ref="E19" authorId="0">
      <text>
        <r>
          <rPr>
            <b/>
            <sz val="12"/>
            <color indexed="81"/>
            <rFont val="Tahoma"/>
            <family val="2"/>
            <charset val="238"/>
          </rPr>
          <t>pjarocki:</t>
        </r>
        <r>
          <rPr>
            <sz val="12"/>
            <color indexed="81"/>
            <rFont val="Tahoma"/>
            <family val="2"/>
            <charset val="238"/>
          </rPr>
          <t xml:space="preserve">
operacje własne:
1. Dożynki prezydenckie w Spale - 1 wydarzenie
2. Smaki Regionów - Poznań - 1 wydarzenie
3. Natura Food - 1 wydarzenie
</t>
        </r>
      </text>
    </comment>
    <comment ref="F19" authorId="0">
      <text>
        <r>
          <rPr>
            <b/>
            <sz val="12"/>
            <color indexed="81"/>
            <rFont val="Tahoma"/>
            <family val="2"/>
            <charset val="238"/>
          </rPr>
          <t xml:space="preserve">pjarocki:
</t>
        </r>
        <r>
          <rPr>
            <sz val="12"/>
            <color indexed="81"/>
            <rFont val="Tahoma"/>
            <family val="2"/>
            <charset val="238"/>
          </rPr>
          <t xml:space="preserve">Operacje własne:
1. Grune Woche 2016 - 1 wydarzenie
</t>
        </r>
      </text>
    </comment>
    <comment ref="I19" authorId="0">
      <text>
        <r>
          <rPr>
            <b/>
            <sz val="12"/>
            <color indexed="81"/>
            <rFont val="Tahoma"/>
            <family val="2"/>
            <charset val="238"/>
          </rPr>
          <t>pjarocki:</t>
        </r>
        <r>
          <rPr>
            <sz val="12"/>
            <color indexed="81"/>
            <rFont val="Tahoma"/>
            <family val="2"/>
            <charset val="238"/>
          </rPr>
          <t xml:space="preserve">
Operacje własne:
1. Jarmark Jakubowy - 1 wydarzenie
2. Smaki Regionów - Poznań - 1 wydarzenie
3. Natura Food - 1 wydarzenie
4. Grune Woche 2016 - 1 wydarzenie
5. Piknik nad Odrą (Lista Produktów Tradycyjnych) - 1 wydarzenie
6. Agro-Pomerania (stoisko) - 1 wydarzenie
Operacje Partnerów:
1. Gmina Stare Czarnowo - 1 wydarzenie
2. Agro - Pomerania - 1 wydarzenie
3. Gospodarka Pasieczna - 6 wydarzeń (5 szkoleń i konferencja)
4. Agro - Eko - 1 wydarzenie
5. Jarmark w Toporzyku - 1 wydarzenie
6. ZUT - 2 wydarzenia (konferencja i wyjazd studyjny)
</t>
        </r>
      </text>
    </comment>
    <comment ref="J19" authorId="0">
      <text>
        <r>
          <rPr>
            <b/>
            <sz val="12"/>
            <color indexed="81"/>
            <rFont val="Tahoma"/>
            <family val="2"/>
            <charset val="238"/>
          </rPr>
          <t>pjarocki:</t>
        </r>
        <r>
          <rPr>
            <sz val="12"/>
            <color indexed="81"/>
            <rFont val="Tahoma"/>
            <family val="2"/>
            <charset val="238"/>
          </rPr>
          <t xml:space="preserve">
Operacje Partnerów:
1. Gmina Łobez - 1 wydarzenie 
2. Gmina Przelewice - 1 wydarzenie</t>
        </r>
      </text>
    </comment>
    <comment ref="K19" authorId="0">
      <text>
        <r>
          <rPr>
            <b/>
            <sz val="12"/>
            <color indexed="81"/>
            <rFont val="Tahoma"/>
            <family val="2"/>
            <charset val="238"/>
          </rPr>
          <t>pjarocki:</t>
        </r>
        <r>
          <rPr>
            <sz val="12"/>
            <color indexed="81"/>
            <rFont val="Tahoma"/>
            <family val="2"/>
            <charset val="238"/>
          </rPr>
          <t xml:space="preserve">
operacje własne:
1. Piknik nad Odrą (Aleja Zachodniopomorskie Smaki) - 1 wydarzenie
2. Dożynki prezydenckie w Spale - 1 wydarzenie
3. Festiwal Piwa - 1 wydarzenie
4. Akademia Sołtysa - 4 wydarzenia
5. Cykl szkoleń dot. wod-kan - 3 wydarzenia
6. Szkolenia z ZP - 2 wydarzenia
7. Spotkania informacyjno - promocyjne (przy okazji podpisywania umów) - 17 wydarzeń oraz 1 szkolenie organizowane przez WIR, w ktorym uczestniczyły 2 osoby z WPROW.
Operacje Partnerów:
1. Szkolne Koło TPD w Żabnicy - 1 wydarzenie
2. Pod Kasztanami - 2 wydarzenia (Konkurs kulinarny i konferencja)
3. Powiat Łobeski - 1 wydarzenie 
4. Jaskółka - 1 wydarzenie
5. DOK - 5 wydarzeń (5 warszatów o rożnej tematyce)
6. Realizujmy marzenia - 2 wydarzenia (wyjazd i debata)
7. Zagroda edukacyjna - 1 wydarzenie
8. GOK w Rewalu - 1 wydarzenie
9. Jacek Smoliński - 9 wydarzeń (9 warsztatów w rożnym czasie i miejsach)
10. ZMW - 1 wydarzenie
</t>
        </r>
      </text>
    </comment>
    <comment ref="L19" authorId="0">
      <text>
        <r>
          <rPr>
            <b/>
            <sz val="12"/>
            <color indexed="81"/>
            <rFont val="Tahoma"/>
            <family val="2"/>
            <charset val="238"/>
          </rPr>
          <t>pjarocki:</t>
        </r>
        <r>
          <rPr>
            <sz val="12"/>
            <color indexed="81"/>
            <rFont val="Tahoma"/>
            <family val="2"/>
            <charset val="238"/>
          </rPr>
          <t xml:space="preserve">
operacje własne:
1. Szkolenie dla LGD dot. wsparcie na rzecz kosztów bieżących i aktywizacji - 3 wydarzenia
Operacje Partnerów:
1. LGD "Powiatu Świdwińskiego" - 1 wydarzenie (szkolenie)
2. Lider Pojezierza - 1 wydarzenie 
3. CIW - 1 wydarzenie
</t>
        </r>
      </text>
    </comment>
    <comment ref="O19" authorId="0">
      <text>
        <r>
          <rPr>
            <b/>
            <sz val="9"/>
            <color indexed="81"/>
            <rFont val="Tahoma"/>
            <family val="2"/>
            <charset val="238"/>
          </rPr>
          <t>pjarocki:</t>
        </r>
        <r>
          <rPr>
            <sz val="9"/>
            <color indexed="81"/>
            <rFont val="Tahoma"/>
            <family val="2"/>
            <charset val="238"/>
          </rPr>
          <t xml:space="preserve">
Jarmark Bożonarodzeniowy - 1 wydarzenie</t>
        </r>
      </text>
    </comment>
    <comment ref="D20" authorId="0">
      <text>
        <r>
          <rPr>
            <b/>
            <sz val="12"/>
            <color indexed="81"/>
            <rFont val="Tahoma"/>
            <family val="2"/>
            <charset val="238"/>
          </rPr>
          <t xml:space="preserve">pjarocki:
</t>
        </r>
        <r>
          <rPr>
            <sz val="12"/>
            <color indexed="81"/>
            <rFont val="Tahoma"/>
            <family val="2"/>
            <charset val="238"/>
          </rPr>
          <t>Operacje własne:</t>
        </r>
        <r>
          <rPr>
            <b/>
            <sz val="12"/>
            <color indexed="81"/>
            <rFont val="Tahoma"/>
            <family val="2"/>
            <charset val="238"/>
          </rPr>
          <t xml:space="preserve">
</t>
        </r>
        <r>
          <rPr>
            <sz val="12"/>
            <color indexed="81"/>
            <rFont val="Tahoma"/>
            <family val="2"/>
            <charset val="238"/>
          </rPr>
          <t>1. Piknik nad Odrą AZS: 1 wydarzenie
2. Piknik nad Odrą stoisko (PK): 1 wydarzenie</t>
        </r>
      </text>
    </comment>
    <comment ref="F20" authorId="0">
      <text>
        <r>
          <rPr>
            <b/>
            <sz val="12"/>
            <color indexed="81"/>
            <rFont val="Tahoma"/>
            <family val="2"/>
            <charset val="238"/>
          </rPr>
          <t>pjarocki:</t>
        </r>
        <r>
          <rPr>
            <sz val="12"/>
            <color indexed="81"/>
            <rFont val="Tahoma"/>
            <family val="2"/>
            <charset val="238"/>
          </rPr>
          <t xml:space="preserve">
Operacje własne:
1. Grune Woche - 1 wydarzenie</t>
        </r>
      </text>
    </comment>
    <comment ref="I20" authorId="0">
      <text>
        <r>
          <rPr>
            <b/>
            <sz val="12"/>
            <color indexed="81"/>
            <rFont val="Tahoma"/>
            <family val="2"/>
            <charset val="238"/>
          </rPr>
          <t>pjarocki:</t>
        </r>
        <r>
          <rPr>
            <sz val="12"/>
            <color indexed="81"/>
            <rFont val="Tahoma"/>
            <family val="2"/>
            <charset val="238"/>
          </rPr>
          <t xml:space="preserve">
Operacje własne:
1. Grune Woche - 1 wydarzenie</t>
        </r>
      </text>
    </comment>
    <comment ref="K20" authorId="0">
      <text>
        <r>
          <rPr>
            <b/>
            <sz val="12"/>
            <color indexed="81"/>
            <rFont val="Tahoma"/>
            <family val="2"/>
            <charset val="238"/>
          </rPr>
          <t xml:space="preserve">pjarocki:
</t>
        </r>
        <r>
          <rPr>
            <sz val="12"/>
            <color indexed="81"/>
            <rFont val="Tahoma"/>
            <family val="2"/>
            <charset val="238"/>
          </rPr>
          <t xml:space="preserve">Operacje własne:
1. Piknik nad Odrą AZS: 1 wydarzenie
2. Piknik nad Odrą stoisko (PK): 1 wydarzenie
</t>
        </r>
      </text>
    </comment>
    <comment ref="D30" authorId="0">
      <text>
        <r>
          <rPr>
            <b/>
            <sz val="12"/>
            <color indexed="81"/>
            <rFont val="Tahoma"/>
            <family val="2"/>
            <charset val="238"/>
          </rPr>
          <t>pjarocki:</t>
        </r>
        <r>
          <rPr>
            <sz val="12"/>
            <color indexed="81"/>
            <rFont val="Tahoma"/>
            <family val="2"/>
            <charset val="238"/>
          </rPr>
          <t xml:space="preserve">
Operacje własne:
1. Szkolenie dla LGD dot. wsparcie na rzecz kosztów bieżących i aktywizacji oraz 19.1 itp. - 79 osób
2. Piknik nad Odrą (Aleja Zachodniopomorskie Smaki) - 15 wystawców i 50 000 odwiedzających (wg organizatora)
3. Jarmark Jakubowy - 9 wystawców i 50 000 odwiedzających (wg organizatora)
4. Piknik nad Odrą (Lista Produktów Tradycyjnych) - 1 kucharz + kapela
5. Agro-Pomerania (stoisko) - 7 wystawców
6. Festiwal Piwa - 1 prezenter
7. Akademia Sołtysa - 240 osób
8. Jarmark Bożonarodzeniowy - 1 kucharz
9. Cykl szkoleń dot. wod-kan - 148 osób
10. Szkolenia z ZP - 88 osób
11. Spotkania informacyjno - promocyjne (przy okazji podpisywania umów) - 17 wydarzeń oraz 1 szkolenie organizowane przez WIR, w ktorym uczestniczyły 2 osoby z WPROW. 200 osób
Operacje Partnerów:
1. Gmina Stare Czarnowo - 34 wystawców, ok. 5000 odwiedzających (wg organizatora)
2. Szkolne Koło TPD w Żabnicy - 25 uczestników konkursu kulinarnego, 12 uczestników konkursu plastycznego dla dzieci oraz 1500 odzwiedzających (wg organizatora)
3. LGD "Powiatu Świdwińskiego" - 39 osób
4. Pod Kasztanami - 500 osób
5. Agro - Pomerania - 100 000 osób (informacja organizatora)
6. Powiat Łobeski - 145 osób
7. Gospodarka Pasieczna - 353 osoby
8. Gmina Łobez - 350 osób
9. Agro - Eko - 10 gospodarstw
10. Jaskółka - 109
11. DOK - 81 osób
12. Realizujmy marzenia - 50 osób
13. Zagroda edukacyjna - 20 osób
14. Jarmark w Toporzyku - 800 osób
15. Gmina Przelewice - 250 osób
16. GOK w Rewalu - 600 osób
17. CIW - 37 osób
18. Jacek Smoliński - 325 osób
19. ZMW - 54 osoby
20. ZUT - 100 osób 
21. Lider Pojezierza wyjazd na Litwę: 45 osób</t>
        </r>
      </text>
    </comment>
    <comment ref="E30" authorId="1">
      <text>
        <r>
          <rPr>
            <b/>
            <sz val="11"/>
            <color indexed="81"/>
            <rFont val="Tahoma"/>
            <family val="2"/>
            <charset val="238"/>
          </rPr>
          <t>Piotr:</t>
        </r>
        <r>
          <rPr>
            <sz val="11"/>
            <color indexed="81"/>
            <rFont val="Tahoma"/>
            <family val="2"/>
            <charset val="238"/>
          </rPr>
          <t xml:space="preserve">
operacje własne:
1. Dożynki prezydenckie w Spale - 1 kapela, 10 000 odwiedzających
2. Smaki Regionów - Poznań - 10 wystawców, 10 000 odwiedzających
3. Natura Food - 9 wystawców, 12 000 odwiedzających</t>
        </r>
      </text>
    </comment>
    <comment ref="F30" authorId="0">
      <text>
        <r>
          <rPr>
            <b/>
            <sz val="12"/>
            <color indexed="81"/>
            <rFont val="Tahoma"/>
            <family val="2"/>
            <charset val="238"/>
          </rPr>
          <t>pjarocki:</t>
        </r>
        <r>
          <rPr>
            <sz val="12"/>
            <color indexed="81"/>
            <rFont val="Tahoma"/>
            <family val="2"/>
            <charset val="238"/>
          </rPr>
          <t xml:space="preserve">
Grune Woche 2016: Liczba odwiedzających targi to 411 731; liczba wystawców - 9</t>
        </r>
      </text>
    </comment>
    <comment ref="D31" authorId="0">
      <text>
        <r>
          <rPr>
            <b/>
            <sz val="12"/>
            <color indexed="81"/>
            <rFont val="Tahoma"/>
            <family val="2"/>
            <charset val="238"/>
          </rPr>
          <t xml:space="preserve">pjarocki:
</t>
        </r>
        <r>
          <rPr>
            <sz val="12"/>
            <color indexed="81"/>
            <rFont val="Tahoma"/>
            <family val="2"/>
            <charset val="238"/>
          </rPr>
          <t xml:space="preserve">Operacje własne:
1. Piknik nad Odrą AZS - 14 wystawców, ok. 50 000 odwiedzających (wg organizatora)
2. Piknik nad Odrą stoisko (PK): 100 odwiedzających
</t>
        </r>
      </text>
    </comment>
    <comment ref="F31" authorId="0">
      <text>
        <r>
          <rPr>
            <b/>
            <sz val="12"/>
            <color indexed="81"/>
            <rFont val="Tahoma"/>
            <family val="2"/>
            <charset val="238"/>
          </rPr>
          <t xml:space="preserve">pjarocki:
</t>
        </r>
        <r>
          <rPr>
            <sz val="12"/>
            <color indexed="81"/>
            <rFont val="Tahoma"/>
            <family val="2"/>
            <charset val="238"/>
          </rPr>
          <t xml:space="preserve">Operacje własne:
1. Grune Woche - 9 wystawców, 400 000 odwiedzających
</t>
        </r>
      </text>
    </comment>
    <comment ref="D42" authorId="0">
      <text>
        <r>
          <rPr>
            <b/>
            <sz val="12"/>
            <color indexed="81"/>
            <rFont val="Tahoma"/>
            <family val="2"/>
            <charset val="238"/>
          </rPr>
          <t xml:space="preserve">pjarocki:
</t>
        </r>
        <r>
          <rPr>
            <sz val="12"/>
            <color indexed="81"/>
            <rFont val="Tahoma"/>
            <family val="2"/>
            <charset val="238"/>
          </rPr>
          <t>01.01.-31.12.2016:
1. sesje na stronie zachodniopomorskie.ksow.pl - 6 211 (wg danych uzyskanych z FAPA),
2. sesje na stronie prow.wzp.pl - 63 382 (dane z Biura Informatyki UMWZ)
3. sesje dla zakładki KSOW na stronie Wydziału - 490 (dane z Biura Informatyki)</t>
        </r>
      </text>
    </comment>
    <comment ref="E42" authorId="0">
      <text>
        <r>
          <rPr>
            <b/>
            <sz val="12"/>
            <color indexed="81"/>
            <rFont val="Tahoma"/>
            <family val="2"/>
            <charset val="238"/>
          </rPr>
          <t xml:space="preserve">pjarocki:
</t>
        </r>
        <r>
          <rPr>
            <sz val="12"/>
            <color indexed="81"/>
            <rFont val="Tahoma"/>
            <family val="2"/>
            <charset val="238"/>
          </rPr>
          <t>01.01.-31.12.2016
1. liczba użytkowników na stronie zachodniopomorskie.ksow.pl - 4 357 (wg danych uzyskanych z FAPA),
2. liczba użytkowniików na stronie prow.wzp.pl - 24 875 (dane z Biura Informatyki UMWZ)
3. liczba użytkowników dla zakładki KSOW na stronie Wydziału - 374 (dane z Biura Informatyki</t>
        </r>
      </text>
    </comment>
    <comment ref="D43" authorId="0">
      <text>
        <r>
          <rPr>
            <b/>
            <sz val="12"/>
            <color indexed="81"/>
            <rFont val="Tahoma"/>
            <family val="2"/>
            <charset val="238"/>
          </rPr>
          <t xml:space="preserve">pjarocki:
</t>
        </r>
        <r>
          <rPr>
            <sz val="12"/>
            <color indexed="81"/>
            <rFont val="Tahoma"/>
            <family val="2"/>
            <charset val="238"/>
          </rPr>
          <t>1. sesje na stronie zachodniopomorskie.ksow.pl - 2 927 (wg danych uzyskanych z FAPA),
2. sesje na stronie prow.wzp.pl - XXXX (dane z Biura Informatyki UMWZ)
3. sesje dla zakładki KSOW na stronie Wydziału - XXXX (dane z Biura Informatyki)</t>
        </r>
      </text>
    </comment>
    <comment ref="E43" authorId="0">
      <text>
        <r>
          <rPr>
            <b/>
            <sz val="12"/>
            <color indexed="81"/>
            <rFont val="Tahoma"/>
            <family val="2"/>
            <charset val="238"/>
          </rPr>
          <t xml:space="preserve">pjarocki:
</t>
        </r>
        <r>
          <rPr>
            <sz val="12"/>
            <color indexed="81"/>
            <rFont val="Tahoma"/>
            <family val="2"/>
            <charset val="238"/>
          </rPr>
          <t>1. liczba użytkowników na stronie zachodniopomorskie.ksow.pl - 1 809 (wg danych uzyskanych z FAPA),
2. liczba użytkowniików na stronie prow.wzp.pl - XXX (dane z Biura Informatyki UMWZ)
3. liczba użytkowników dla zakładki KSOW na stronie Wydziału - XXX (dane z Biura Informatyki</t>
        </r>
      </text>
    </comment>
    <comment ref="L63" authorId="0">
      <text>
        <r>
          <rPr>
            <b/>
            <sz val="11"/>
            <color indexed="81"/>
            <rFont val="Tahoma"/>
            <family val="2"/>
            <charset val="238"/>
          </rPr>
          <t>pjarocki:</t>
        </r>
        <r>
          <rPr>
            <sz val="11"/>
            <color indexed="81"/>
            <rFont val="Tahoma"/>
            <family val="2"/>
            <charset val="238"/>
          </rPr>
          <t xml:space="preserve">
1. Artykuł w "Smak i Tradycja" - nakład: 5000 egz. - informacja od wydawcy;
2. Ulotki informacyjne: 500 szt.;
3. Listowniki: 2 000 szt.</t>
        </r>
      </text>
    </comment>
    <comment ref="F64" authorId="0">
      <text>
        <r>
          <rPr>
            <b/>
            <sz val="9"/>
            <color indexed="81"/>
            <rFont val="Tahoma"/>
            <family val="2"/>
            <charset val="238"/>
          </rPr>
          <t>pjarocki:</t>
        </r>
        <r>
          <rPr>
            <sz val="9"/>
            <color indexed="81"/>
            <rFont val="Tahoma"/>
            <family val="2"/>
            <charset val="238"/>
          </rPr>
          <t xml:space="preserve">
1. COBORU - 2 publikacje (1000 + 900)
</t>
        </r>
      </text>
    </comment>
    <comment ref="H64" authorId="0">
      <text>
        <r>
          <rPr>
            <b/>
            <sz val="9"/>
            <color indexed="81"/>
            <rFont val="Tahoma"/>
            <family val="2"/>
            <charset val="238"/>
          </rPr>
          <t>pjarocki:</t>
        </r>
        <r>
          <rPr>
            <sz val="9"/>
            <color indexed="81"/>
            <rFont val="Tahoma"/>
            <family val="2"/>
            <charset val="238"/>
          </rPr>
          <t xml:space="preserve">
1. Festiwal Piwa - wkładka, nakład: 3 000 egz.
2. Pod Kasztanami - śpiewnik, nakład: 500 egz.
3. Powiat Łobeski - publikacji pokongresowa, nakład: 1000 egz.</t>
        </r>
      </text>
    </comment>
    <comment ref="L64" authorId="0">
      <text>
        <r>
          <rPr>
            <b/>
            <sz val="11"/>
            <color indexed="81"/>
            <rFont val="Tahoma"/>
            <family val="2"/>
            <charset val="238"/>
          </rPr>
          <t>pjarocki:</t>
        </r>
        <r>
          <rPr>
            <sz val="11"/>
            <color indexed="81"/>
            <rFont val="Tahoma"/>
            <family val="2"/>
            <charset val="238"/>
          </rPr>
          <t xml:space="preserve">
1. Artykuł w prasie regionalnej - nakład 21 725 egz.
2. Ulotki PROW 2014-2020: 3 000 szt.
3. Listowniki: 4 000 szt.</t>
        </r>
      </text>
    </comment>
    <comment ref="D100" authorId="0">
      <text>
        <r>
          <rPr>
            <b/>
            <sz val="12"/>
            <color indexed="81"/>
            <rFont val="Tahoma"/>
            <family val="2"/>
            <charset val="238"/>
          </rPr>
          <t>pjarocki:</t>
        </r>
        <r>
          <rPr>
            <sz val="9"/>
            <color indexed="81"/>
            <rFont val="Tahoma"/>
            <family val="2"/>
            <charset val="238"/>
          </rPr>
          <t xml:space="preserve">
WGR ds. KSOW</t>
        </r>
      </text>
    </comment>
    <comment ref="E100" authorId="0">
      <text>
        <r>
          <rPr>
            <b/>
            <sz val="12"/>
            <color indexed="81"/>
            <rFont val="Tahoma"/>
            <family val="2"/>
            <charset val="238"/>
          </rPr>
          <t>pjarocki:</t>
        </r>
        <r>
          <rPr>
            <sz val="12"/>
            <color indexed="81"/>
            <rFont val="Tahoma"/>
            <family val="2"/>
            <charset val="238"/>
          </rPr>
          <t xml:space="preserve">
7 spotkań, podjęto 8 uchwał</t>
        </r>
      </text>
    </comment>
    <comment ref="D101" authorId="0">
      <text>
        <r>
          <rPr>
            <b/>
            <sz val="12"/>
            <color indexed="81"/>
            <rFont val="Tahoma"/>
            <family val="2"/>
            <charset val="238"/>
          </rPr>
          <t>pjarocki:</t>
        </r>
        <r>
          <rPr>
            <sz val="9"/>
            <color indexed="81"/>
            <rFont val="Tahoma"/>
            <family val="2"/>
            <charset val="238"/>
          </rPr>
          <t xml:space="preserve">
WGR ds. KSOW</t>
        </r>
      </text>
    </comment>
    <comment ref="E101" authorId="0">
      <text>
        <r>
          <rPr>
            <b/>
            <sz val="12"/>
            <color indexed="81"/>
            <rFont val="Tahoma"/>
            <family val="2"/>
            <charset val="238"/>
          </rPr>
          <t>pjarocki:</t>
        </r>
        <r>
          <rPr>
            <sz val="12"/>
            <color indexed="81"/>
            <rFont val="Tahoma"/>
            <family val="2"/>
            <charset val="238"/>
          </rPr>
          <t xml:space="preserve">
4 spotkania, podjęto 4 uchwały</t>
        </r>
      </text>
    </comment>
    <comment ref="D180" authorId="0">
      <text>
        <r>
          <rPr>
            <b/>
            <sz val="12"/>
            <color indexed="81"/>
            <rFont val="Tahoma"/>
            <family val="2"/>
            <charset val="238"/>
          </rPr>
          <t>pjarocki:</t>
        </r>
        <r>
          <rPr>
            <sz val="12"/>
            <color indexed="81"/>
            <rFont val="Tahoma"/>
            <family val="2"/>
            <charset val="238"/>
          </rPr>
          <t xml:space="preserve">
Własne:
1. Szkolenia dla LGD dot. wsparcia na rzecz kosztów bieżących i aktywizacji oraz 19.1 itp. - 79 osób (ogółem na 3 szkolenia);
2. Szkolenia wod-kan. - 148 osób (łącznie na 3 szkoleniach);
3. Szkolenia z pzp - 88 osób (na 2 szkoleniach);
4. Akademia Sołtysa - 240 osób (4 spotkania).
Partnerów:
1. LGD "Powiatu Świdwińskiego" - szkolenie - 39 osób;
2. Gospodarka Pasieczna - 353 osoby (ogółem 250 na 5 szkoleniach i 103 na konferencji);
3. DOK - 81 osób (5 spotkań warsztatowych);
4. Realizujmy marzenia - 50 osób (debata);
5. CIW - 37 osób (szkolenie);
6. Jacek Smoliński - 325 osób (9 dni warsztatowych);
</t>
        </r>
      </text>
    </comment>
    <comment ref="E180" authorId="1">
      <text>
        <r>
          <rPr>
            <b/>
            <sz val="11"/>
            <color indexed="81"/>
            <rFont val="Tahoma"/>
            <family val="2"/>
            <charset val="238"/>
          </rPr>
          <t>Piotr:</t>
        </r>
        <r>
          <rPr>
            <sz val="11"/>
            <color indexed="81"/>
            <rFont val="Tahoma"/>
            <family val="2"/>
            <charset val="238"/>
          </rPr>
          <t xml:space="preserve">
1. Zagroda edukacyjna - 20 osób (seminarium wyjazdowe);</t>
        </r>
      </text>
    </comment>
    <comment ref="J180" authorId="0">
      <text>
        <r>
          <rPr>
            <b/>
            <sz val="12"/>
            <color indexed="81"/>
            <rFont val="Tahoma"/>
            <family val="2"/>
            <charset val="238"/>
          </rPr>
          <t>pjarocki:</t>
        </r>
        <r>
          <rPr>
            <sz val="12"/>
            <color indexed="81"/>
            <rFont val="Tahoma"/>
            <family val="2"/>
            <charset val="238"/>
          </rPr>
          <t xml:space="preserve">
Partnerów:
1.Fospodarka Pasieczna - 353 osoby (ogółem 250 na 5 szkoleniach i 103 na konferencji);</t>
        </r>
      </text>
    </comment>
    <comment ref="L180" authorId="0">
      <text>
        <r>
          <rPr>
            <b/>
            <sz val="12"/>
            <color indexed="81"/>
            <rFont val="Tahoma"/>
            <family val="2"/>
            <charset val="238"/>
          </rPr>
          <t xml:space="preserve">pjarocki:
</t>
        </r>
        <r>
          <rPr>
            <sz val="12"/>
            <color indexed="81"/>
            <rFont val="Tahoma"/>
            <family val="2"/>
            <charset val="238"/>
          </rPr>
          <t xml:space="preserve">Własne:
1. Szkolenia wod-kan. - 148 osób (łącznie na 3 szkoleniach);
2. Szkolenia z pzp - 88 osób (na 2 szkoleniach);
3. Akademia Sołtysa - 240 osób (4 spotkania).
Partnerów:
1. DOK - 81 osób (5 spotkań warsztatowych);
2. Realizujmy marzenia - 50 osób (debata);
3. Zagroda edukacyjna - 20 osób (seminarium wyjazdowe);
4. Jacek Smoliński - 325 osób (9 dni warsztatowych);
</t>
        </r>
        <r>
          <rPr>
            <sz val="9"/>
            <color indexed="81"/>
            <rFont val="Tahoma"/>
            <family val="2"/>
            <charset val="238"/>
          </rPr>
          <t xml:space="preserve">
</t>
        </r>
      </text>
    </comment>
    <comment ref="M180" authorId="0">
      <text>
        <r>
          <rPr>
            <b/>
            <sz val="12"/>
            <color indexed="81"/>
            <rFont val="Tahoma"/>
            <family val="2"/>
            <charset val="238"/>
          </rPr>
          <t>pjarocki:</t>
        </r>
        <r>
          <rPr>
            <sz val="12"/>
            <color indexed="81"/>
            <rFont val="Tahoma"/>
            <family val="2"/>
            <charset val="238"/>
          </rPr>
          <t xml:space="preserve">
Własne:
1. Szkolenia dla LGD dot. wsparcia na rzecz kosztów bieżących i aktywizacji oraz 19.1 itp. - 79 osób (ogółem na 3 szkolenia);
Partnerów:
1. LGD "Powiatu Świdwińskiego" - szkolenie - 39 osób;
2. CIW - 37 osób (szkolenie);
</t>
        </r>
      </text>
    </comment>
    <comment ref="D181" authorId="0">
      <text>
        <r>
          <rPr>
            <b/>
            <sz val="12"/>
            <color indexed="81"/>
            <rFont val="Tahoma"/>
            <family val="2"/>
            <charset val="238"/>
          </rPr>
          <t>pjarocki:</t>
        </r>
        <r>
          <rPr>
            <sz val="12"/>
            <color indexed="81"/>
            <rFont val="Tahoma"/>
            <family val="2"/>
            <charset val="238"/>
          </rPr>
          <t xml:space="preserve">
Własne:
1. Szkolenia KSOW: 1 szkolenie dla 45 osób,
2. Szkolenie - targowiska: 1 szkolenie dla 28 osób.
</t>
        </r>
      </text>
    </comment>
    <comment ref="L181" authorId="0">
      <text>
        <r>
          <rPr>
            <b/>
            <sz val="12"/>
            <color indexed="81"/>
            <rFont val="Tahoma"/>
            <family val="2"/>
            <charset val="238"/>
          </rPr>
          <t>pjarocki:</t>
        </r>
        <r>
          <rPr>
            <sz val="12"/>
            <color indexed="81"/>
            <rFont val="Tahoma"/>
            <family val="2"/>
            <charset val="238"/>
          </rPr>
          <t xml:space="preserve">
Własne:
1. Szkolenia KSOW: 1 szkolenie dla 45 osób,
2. Szkolenie - targowiska: 1 szkolenie dla 28 osób.
</t>
        </r>
      </text>
    </comment>
    <comment ref="D191" authorId="0">
      <text>
        <r>
          <rPr>
            <b/>
            <sz val="12"/>
            <color indexed="81"/>
            <rFont val="Tahoma"/>
            <family val="2"/>
            <charset val="238"/>
          </rPr>
          <t xml:space="preserve">pjarocki:
</t>
        </r>
        <r>
          <rPr>
            <sz val="12"/>
            <color indexed="81"/>
            <rFont val="Tahoma"/>
            <family val="2"/>
            <charset val="238"/>
          </rPr>
          <t xml:space="preserve">Własne:
1. Szkolenia dla LGD dot. wsparcia na rzecz kosztów bieżących i aktywizacji oraz 19.1 itp. - 79 osób (ogółem na 3 szkolenia);
2. Szkolenia wod-kan. - 148 osób (łącznie na 3 szkoleniach);
3. Szkolenia z pzp - 88 osób (na 2 szkoleniach);
4. Akademia Sołtysa - 240 osób (4 spotkania).
Partnerów:
1. LGD "Powiatu Świdwińskiego" - szkolenie - 39 osób;
2. Gospodarka Pasieczna - 353 osoby (ogółem 250 na 5 szkoleniach i 103 na konferencji);
3. DOK - 81 osób (5 spotkań warsztatowych);
4. Realizujmy marzenia - 50 osób (debata);
5. CIW - 37 osób (szkolenie);
6. Jacek Smoliński - 325 osób (9 dni warsztatowych);
</t>
        </r>
      </text>
    </comment>
    <comment ref="E191" authorId="1">
      <text>
        <r>
          <rPr>
            <b/>
            <sz val="11"/>
            <color indexed="81"/>
            <rFont val="Tahoma"/>
            <family val="2"/>
            <charset val="238"/>
          </rPr>
          <t>Piotr:</t>
        </r>
        <r>
          <rPr>
            <sz val="11"/>
            <color indexed="81"/>
            <rFont val="Tahoma"/>
            <family val="2"/>
            <charset val="238"/>
          </rPr>
          <t xml:space="preserve">
1. Zagroda edukacyjna - 20 osób (seminarium wyjazdowe);</t>
        </r>
      </text>
    </comment>
    <comment ref="I191" authorId="0">
      <text>
        <r>
          <rPr>
            <b/>
            <sz val="11"/>
            <color indexed="81"/>
            <rFont val="Tahoma"/>
            <family val="2"/>
            <charset val="238"/>
          </rPr>
          <t>pjarocki:</t>
        </r>
        <r>
          <rPr>
            <sz val="11"/>
            <color indexed="81"/>
            <rFont val="Tahoma"/>
            <family val="2"/>
            <charset val="238"/>
          </rPr>
          <t xml:space="preserve">
Własne:
1. Szkolenia dla LGD dot. wsparcia na rzecz kosztów bieżących i aktywizacji oraz 19.1 itp. - 79 osób (ogółem na 3 szkolenia);
Partnerów:
1. LGD "Powiatu Świdwińskiego" - szkolenie - 39 osób;
2. CIW - 37 osób (szkolenie);
</t>
        </r>
      </text>
    </comment>
    <comment ref="K191" authorId="0">
      <text>
        <r>
          <rPr>
            <b/>
            <sz val="11"/>
            <color indexed="81"/>
            <rFont val="Tahoma"/>
            <family val="2"/>
            <charset val="238"/>
          </rPr>
          <t>pjarocki:</t>
        </r>
        <r>
          <rPr>
            <sz val="11"/>
            <color indexed="81"/>
            <rFont val="Tahoma"/>
            <family val="2"/>
            <charset val="238"/>
          </rPr>
          <t xml:space="preserve">
Partnerów:
1. Gospodarka Pasieczna - 353 osoby (ogółem 250 na 5 szkoleniach i 103 na konferencji);
2. DOK - 81 osób (5 spotkań warsztatowych);
3. Realizujmy marzenia - 50 osób (debata);
4. Zagroda edukacyjna - 20 osób (seminarium wyjazdowe);
5. Jacek Smoliński - 325 osób (9 dni warsztatowych);</t>
        </r>
      </text>
    </comment>
    <comment ref="L191" authorId="0">
      <text>
        <r>
          <rPr>
            <b/>
            <sz val="11"/>
            <color indexed="81"/>
            <rFont val="Tahoma"/>
            <family val="2"/>
            <charset val="238"/>
          </rPr>
          <t>pjarocki:</t>
        </r>
        <r>
          <rPr>
            <sz val="11"/>
            <color indexed="81"/>
            <rFont val="Tahoma"/>
            <family val="2"/>
            <charset val="238"/>
          </rPr>
          <t xml:space="preserve">
Własne:
1. Szkolenia wod-kan. - 148 osób (łącznie na 3 szkoleniach);
2. Szkolenia z pzp - 88 osób (na 2 szkoleniach);
3. Akademia Sołtysa - 240 osób (4 spotkania).
</t>
        </r>
      </text>
    </comment>
    <comment ref="D192" authorId="0">
      <text>
        <r>
          <rPr>
            <b/>
            <sz val="12"/>
            <color indexed="81"/>
            <rFont val="Tahoma"/>
            <family val="2"/>
            <charset val="238"/>
          </rPr>
          <t>pjarocki:</t>
        </r>
        <r>
          <rPr>
            <sz val="12"/>
            <color indexed="81"/>
            <rFont val="Tahoma"/>
            <family val="2"/>
            <charset val="238"/>
          </rPr>
          <t xml:space="preserve">
Własne:
1. Szkolenia KSOW: 1 szkolenie dla 45 osób,
2. Szkolenie - targowiska: 1 szkolenie dla 28 osób.
</t>
        </r>
      </text>
    </comment>
    <comment ref="K192" authorId="0">
      <text>
        <r>
          <rPr>
            <b/>
            <sz val="12"/>
            <color indexed="81"/>
            <rFont val="Tahoma"/>
            <family val="2"/>
            <charset val="238"/>
          </rPr>
          <t xml:space="preserve">pjarocki:
</t>
        </r>
        <r>
          <rPr>
            <sz val="12"/>
            <color indexed="81"/>
            <rFont val="Tahoma"/>
            <family val="2"/>
            <charset val="238"/>
          </rPr>
          <t xml:space="preserve">1. szkolenie dla [partnerów KSOW: 45 osób
</t>
        </r>
      </text>
    </comment>
    <comment ref="L192" authorId="0">
      <text>
        <r>
          <rPr>
            <b/>
            <sz val="12"/>
            <color indexed="81"/>
            <rFont val="Tahoma"/>
            <family val="2"/>
            <charset val="238"/>
          </rPr>
          <t xml:space="preserve">pjarocki:
</t>
        </r>
        <r>
          <rPr>
            <sz val="12"/>
            <color indexed="81"/>
            <rFont val="Tahoma"/>
            <family val="2"/>
            <charset val="238"/>
          </rPr>
          <t>1. Szkolenie - targowiska: 28 osób</t>
        </r>
      </text>
    </comment>
    <comment ref="D204" authorId="0">
      <text>
        <r>
          <rPr>
            <b/>
            <sz val="11"/>
            <color indexed="81"/>
            <rFont val="Tahoma"/>
            <family val="2"/>
            <charset val="238"/>
          </rPr>
          <t>pjarocki:</t>
        </r>
        <r>
          <rPr>
            <sz val="11"/>
            <color indexed="81"/>
            <rFont val="Tahoma"/>
            <family val="2"/>
            <charset val="238"/>
          </rPr>
          <t xml:space="preserve">
Lider Pojezierza - projekt współpracy, Litwa</t>
        </r>
      </text>
    </comment>
    <comment ref="B213" authorId="0">
      <text>
        <r>
          <rPr>
            <b/>
            <sz val="9"/>
            <color indexed="81"/>
            <rFont val="Tahoma"/>
            <family val="2"/>
            <charset val="238"/>
          </rPr>
          <t>pjarocki:</t>
        </r>
        <r>
          <rPr>
            <sz val="9"/>
            <color indexed="81"/>
            <rFont val="Tahoma"/>
            <family val="2"/>
            <charset val="238"/>
          </rPr>
          <t xml:space="preserve">
Funkcjonowanie w 2015 roku:
1. Wynagrodzenia z pochodnymi - 120 244,12 zł,
2. Usługi prawnicze - 27 693,94 zł,
3. Wynajem pomieszczeń - 7 793,52 zł,
4. Delegacje krajowe - 1 105,79 zł,
5. Materiały biurowe - 502,00 zł.
ogółem: 157 339,37 zł.
Funkcjonowanie w 2016 roku:
1. wynagrodzenia z pochodnymi - 174 737,19 zł,
2. usługi prawnicze - 18 942,00 zł,
3. wynajem pomieszczeń - 10 672,49 zł,
4. delegacje krajowe - 2 550,65 zł,
5. materiały biurowe i wyposażenie (w tym aparat fot.) - 2 864,56 zł
ogółem: 209 766,89 zł.</t>
        </r>
      </text>
    </comment>
    <comment ref="E214" authorId="0">
      <text>
        <r>
          <rPr>
            <b/>
            <sz val="12"/>
            <color indexed="81"/>
            <rFont val="Tahoma"/>
            <family val="2"/>
            <charset val="238"/>
          </rPr>
          <t>pjarocki:</t>
        </r>
        <r>
          <rPr>
            <sz val="12"/>
            <color indexed="81"/>
            <rFont val="Tahoma"/>
            <family val="2"/>
            <charset val="238"/>
          </rPr>
          <t xml:space="preserve">
2016:
Operacje własne:
1. Szkolenie dla LGD dot. wsparcie na rzecz kosztów bieżących i aktywizacji - 3 wydarzenia: 2 345
2. Piknik nad Odrą (Aleja Zachodniopomorskie Smaki) - 1 wydarzenie: 23 140
3. Jarmark Jakubowy - 1 wydarzenie: 8 037,76
4. Piknik nad Odrą (Lista Produktów Tradycyjnych) - 1 wydarzenie: 10 114,30
5. Agro-Pomerania (stoisko) - 1 wydarzenie: 8 339,40
6. Festiwal Piwa - 1 wydarzenie: 10 000
7. Akademia Sołtysa - 4 wydarzenia: 17 976,68
8. Jarmark Bożonarodzeniowy - 1 wydarzenie: 9 699,78
9. Cykl szkoleń dot. wod-kan - 3 wydarzenia: 1 860,23
10.Spotkania informacyjno - promocyjne (przy okazji podpisywania umów) - 17 wydarzeń oraz 1 szkolenie organizowane przez WIR, w ktorym uczestniczyły 2 osoby z WPROW. 2 838,74 zł
11. Szkolenie z pzp (2 szkolenia, 88 osób): 1 300 zł
12. Dożynki prezydenckie w Spale - 1 wydarzenie: 10 725,68
13. Smaki Regionów - Poznań - 1 wydarzenie: 92 869,42 
14. Natura Food - 1 wydarzenie: 20 132,85
15. Grune Woche 2016: 67 967,96
Operacje Partnerów:
1. Gmina Stare Czarnowo - 1 wydarzenie: 34 992,81
2. Szkolne Koło TPD w Żabnicy - 1 wydarzenie: 7 673,54
3. LGD "Powiatu Świdwińskiego" - 1 wydarzenie (szkolenie): 13 384,40
4. Pod Kasztanami - 2 wydarzenia (Konkurs kulinarny i konferencja): 18 791,10
5. Agro - Pomerania - 1 wydarzenie: 73 799,39
6. Powiat Łobeski - 1 wydarzenie: 20 518,24
7. Gospodarka Pasieczna - 6 wydarzeń (5 szkoleń i konferencja): 15 671,30
8. Gmina Łobez - 1 wydarzenie: 20 000
9. Agro - Eko - 1 wydarzenie: 19 000
10. Jaskółka - 1 wydarzenie: 4 700
11. DOK - 5 wydarzeń (5 warszatów o rożnej tematyce): 10 000
12. Realizujmy marzenia - 2 wydarzenia (wyjazd i debata): 15 432,50
13. Zagroda edukacyjna - 1 wydarzenie:14 570, 65
14. Jarmark w Toporzyku - 1 wydarzenie: 17 502,86
15. Gmina Przelewice - 1 wydarzenie: 19 557,25
16. GOK w Rewalu - 1 wydarzenie: 20 215
17. CIW - 1 wydarzenie: 3 919,33
18. Jacek Smoliński - 9 wydarzeń (9 warsztatów w rożnym czasie i miejscach): 9 741,61
19. ZMW - 1 wydarzenie: 10 000
20. ZUT - 2 wydarzenia (konferencja i wyjazd studyjny): 19 680
21. Lider Pojezierza: 30 000
</t>
        </r>
      </text>
    </comment>
    <comment ref="F214" authorId="0">
      <text>
        <r>
          <rPr>
            <b/>
            <sz val="12"/>
            <color indexed="81"/>
            <rFont val="Tahoma"/>
            <family val="2"/>
            <charset val="238"/>
          </rPr>
          <t>pjarocki:</t>
        </r>
        <r>
          <rPr>
            <sz val="12"/>
            <color indexed="81"/>
            <rFont val="Tahoma"/>
            <family val="2"/>
            <charset val="238"/>
          </rPr>
          <t xml:space="preserve">
2017:
Operacje własne:
1. Grune Woche: 80 286,27 
2. Piknik nad Odrą (Aleja Zachodniopomorskie Smaki) - 1 wydarzenie: 15 000,00
Oprócz tego PK:
1. Piknik nad Odrą (stoisko) - 15 000,00
</t>
        </r>
      </text>
    </comment>
    <comment ref="E216" authorId="0">
      <text>
        <r>
          <rPr>
            <b/>
            <sz val="11"/>
            <color indexed="81"/>
            <rFont val="Tahoma"/>
            <family val="2"/>
            <charset val="238"/>
          </rPr>
          <t>pjarocki:</t>
        </r>
        <r>
          <rPr>
            <sz val="11"/>
            <color indexed="81"/>
            <rFont val="Tahoma"/>
            <family val="2"/>
            <charset val="238"/>
          </rPr>
          <t xml:space="preserve">
1. COBORU - 2 publikacje (1000 + 900 egz.): 9 903,96 zł,
2. Artykuł w pracie regionalnej (21 725 egz.): 9 298,80 zł
3. Gadżety reklamowe: 90 397,50 zł
4. Roll-upy, potykacze: 3 284,10 zł;
5. Zakup druk. mat. inform.: 1 050 zł;
6. zakup druk. mat. prom.: 680 zł</t>
        </r>
      </text>
    </comment>
    <comment ref="F217" authorId="0">
      <text>
        <r>
          <rPr>
            <b/>
            <sz val="12"/>
            <color indexed="81"/>
            <rFont val="Tahoma"/>
            <family val="2"/>
            <charset val="238"/>
          </rPr>
          <t>Pjarocki:</t>
        </r>
        <r>
          <rPr>
            <sz val="12"/>
            <color indexed="81"/>
            <rFont val="Tahoma"/>
            <family val="2"/>
            <charset val="238"/>
          </rPr>
          <t xml:space="preserve">
1. delegacje: 2 044,38 PK
2. catering szkolenie KSOW: 1 035,00 PK
3. catering szkolenie - targowiska: 493,00 PK
</t>
        </r>
        <r>
          <rPr>
            <sz val="9"/>
            <color indexed="81"/>
            <rFont val="Tahoma"/>
            <family val="2"/>
            <charset val="238"/>
          </rPr>
          <t xml:space="preserve">
</t>
        </r>
      </text>
    </comment>
  </commentList>
</comments>
</file>

<file path=xl/sharedStrings.xml><?xml version="1.0" encoding="utf-8"?>
<sst xmlns="http://schemas.openxmlformats.org/spreadsheetml/2006/main" count="9620" uniqueCount="618">
  <si>
    <t>Wspólna Statystyka Sieci Obszarów Wiejskich</t>
  </si>
  <si>
    <t>Centrum Doradztwa Rolniczego</t>
  </si>
  <si>
    <t>Ogólne Wytyczne</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</si>
  <si>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
    </r>
  </si>
  <si>
    <t>1. Wydarzenia</t>
  </si>
  <si>
    <t>Zasięg geograficzny</t>
  </si>
  <si>
    <t>Zakres tematyczny (w tym)</t>
  </si>
  <si>
    <t>1.1 Liczba zorganizowanych wydarzeń</t>
  </si>
  <si>
    <r>
      <t>Komentarze</t>
    </r>
    <r>
      <rPr>
        <sz val="10"/>
        <color indexed="8"/>
        <rFont val="Calibri"/>
        <family val="2"/>
      </rPr>
      <t xml:space="preserve"> 
(proszę wskazać co jest rozumiane przez kategorię "inne")</t>
    </r>
  </si>
  <si>
    <t>Rok</t>
  </si>
  <si>
    <t>lokalny/regionalny</t>
  </si>
  <si>
    <t>krajowy</t>
  </si>
  <si>
    <t>międzynarodowy</t>
  </si>
  <si>
    <t>SUMA</t>
  </si>
  <si>
    <t>przeznaczone dla doradców i/lub usługi wspierające innowacje (P1)</t>
  </si>
  <si>
    <t>z naciskiem na żywotność i konkurencyjność gospodarstw rolnych, łańcuch żywnościowy, przetwórstwo i marketing, zarządzanie ryzykiem (P2 i P3)</t>
  </si>
  <si>
    <t>z naciskiem na zarządzanie ekosystemami, zasoby naturalne i klimat (P4 i P5)</t>
  </si>
  <si>
    <t>z naciskiem na włączenie społeczne, redukcja ubóstwa (P6)</t>
  </si>
  <si>
    <t xml:space="preserve">z naciskiem na LEADER/RLKS i LGD (włączając współpracę) (P6) </t>
  </si>
  <si>
    <t>z których przeznaczone dla LGD włączając wsparcie współpracy (P6)</t>
  </si>
  <si>
    <t>z naciskiem na upowszechnianie wyników monitoringu i ewaluacji</t>
  </si>
  <si>
    <t>Inne lub mieszane (proszę doprecyzuj w komentarzach)</t>
  </si>
  <si>
    <r>
      <rPr>
        <b/>
        <sz val="10"/>
        <color indexed="8"/>
        <rFont val="Calibri"/>
        <family val="2"/>
        <charset val="238"/>
      </rPr>
      <t xml:space="preserve">Międzynarodowy zasięg 2016:    </t>
    </r>
    <r>
      <rPr>
        <sz val="10"/>
        <color indexed="8"/>
        <rFont val="Calibri"/>
        <family val="2"/>
        <charset val="238"/>
      </rPr>
      <t xml:space="preserve">                                                                                                                                                                                                                                                                                    1. XXII Międzynarodowe Targi Techniki Rolniczej AGROTECH w Kielcach                                                                                                                                                                                        2. Centralna Wystawa Rolnicza w Monachium (Niemcy)                                                                                                                                                                                                                            3. Wyspa innowacji podczas Międzynarodowych targów rolniczych w Nadarzyńskim Ptaku                                                                                                                                                                                                                                                                                                                                                                                                  </t>
    </r>
    <r>
      <rPr>
        <b/>
        <sz val="10"/>
        <color indexed="8"/>
        <rFont val="Calibri"/>
        <family val="2"/>
        <charset val="238"/>
      </rPr>
      <t xml:space="preserve">Krajowy zasięg 2016:  </t>
    </r>
    <r>
      <rPr>
        <sz val="10"/>
        <color indexed="8"/>
        <rFont val="Calibri"/>
        <family val="2"/>
        <charset val="238"/>
      </rPr>
      <t xml:space="preserve">                                                                                                                                                                                                                                                                                                                 1. Wdrażanie innowacyjnych działań rolniczych przez członków Ogólnopolskiej Sieci Zagród Edukacyjnych.                                                                                                               2. Wyniki badań naukowych umożliwiajacych wprowadzenie nowoczesnych rozwiazań w gospodarstwie ekologicznym.                                                                      3. Praktyczne wykorzystanie badań naukowych we wdrożeniu innowacji w produkcji ogrodniczej.                                                                                                                  4. Nauka dla praktyki - innowacyjne rozwiazania dla ekologicznej produkcji rolnej.                                                                                                                                                          5. Innowacyjny rozwój energetyki prosumenckiej na obszarach wiejskich.                                                                                                                                                                       6. Innowacje w rolnictwie - kluczowe dla wsparcia inwestycji i konkurencyjności.                                                                                                                                                            7. Innowacyjne gospodarowanie zasobami wody w rolnictwie.                                                                                                                                                                                                               8. Forum wiedzy i innowacji. 
</t>
    </r>
    <r>
      <rPr>
        <b/>
        <sz val="10"/>
        <color indexed="8"/>
        <rFont val="Calibri"/>
        <family val="2"/>
        <charset val="238"/>
      </rPr>
      <t>Międzynarodowy zasięg 2017 rok:</t>
    </r>
    <r>
      <rPr>
        <sz val="10"/>
        <color indexed="8"/>
        <rFont val="Calibri"/>
        <family val="2"/>
        <charset val="238"/>
      </rPr>
      <t xml:space="preserve">
1. XXIII Międzynarodowe Targi Techniki Rolniczej AGROTECH w Kielcach </t>
    </r>
    <r>
      <rPr>
        <sz val="10"/>
        <color rgb="FFFF0000"/>
        <rFont val="Calibri"/>
        <family val="2"/>
        <charset val="238"/>
      </rPr>
      <t xml:space="preserve"> </t>
    </r>
  </si>
  <si>
    <t>1.2 Liczba uczestników wydarzeń</t>
  </si>
  <si>
    <r>
      <rPr>
        <b/>
        <sz val="10"/>
        <color indexed="8"/>
        <rFont val="Calibri"/>
        <family val="2"/>
        <charset val="238"/>
      </rPr>
      <t xml:space="preserve">Międzynarodowy zasięg 2016:   </t>
    </r>
    <r>
      <rPr>
        <sz val="10"/>
        <color indexed="8"/>
        <rFont val="Calibri"/>
        <family val="2"/>
        <charset val="238"/>
      </rPr>
      <t xml:space="preserve">                                                                                                                                                                                                                                                                                              1. 64330 to liczba odwiedzających XII Międzynarodowe Targi Techniki Rolniczej AGROTECH w Kielcach (źródło: http://www.targikielce.pl/pl/agrotech.htm) - dotyczy stoiska Wiedza i innowacje, 
2. 2.700 sztuk ulotek opisujących SIR rozdanych podczas Centralnej Wystawy Rolniczej w Monachium,                                                                                                                           3. Wyspa innowacji podczas Międzynarodowych targów rolniczych w Nadarzyńskim Ptaku - brak danych dotyczących liczby odwiedzających - nawiązano kontakty z 20 wystawcami (cel: zachęcenie do rejestracji w bazie Partnerów SIR, przedstawienie możliwości realizacji oporacji w ramach PO - Działanie 5, zachęcenie do przystąpienia do Działania "Współpraca")                                                                                                                                                                                                             </t>
    </r>
    <r>
      <rPr>
        <b/>
        <sz val="10"/>
        <color indexed="8"/>
        <rFont val="Calibri"/>
        <family val="2"/>
        <charset val="238"/>
      </rPr>
      <t xml:space="preserve">Krajowy zasięg 2016:  </t>
    </r>
    <r>
      <rPr>
        <sz val="10"/>
        <color indexed="8"/>
        <rFont val="Calibri"/>
        <family val="2"/>
        <charset val="238"/>
      </rPr>
      <t xml:space="preserve">                                                                                                                                                                                                                                                                                                                 1. Wdrażanie innowacyjnych działań rolniczych przez członków Ogólnopolskiej Sieci Zagród Edukacyjnych - 270 uczestników                                                                                                            2. Wyniki badań naukowych umożliwiajacych wprowadzenie nowoczesnych rozwiazań w gospodarstwie ekologicznym - 55 uczestników                                                                      3. Praktyczne wykorzystanie badań naukowych we wdrożeniu innowacji w produkcji ogrodniczej - 55 uczestników                                                                                                                  4. Nauka dla praktyki - innowacyjne rozwiazania dla ekologicznej produkcji rolnej - 94 uczestników                                                                                                                                                         5. Innowacyjny rozwój energetyki prosumenckiej na obszarach wiejskich - 70 uczestników                                                                                                                                                                       6. Innowacje w rolnictwie - kluczowe dla wsparcia inwestycji i konkurencyjności - 235 uczestników                                                                                                                                                            7. Innowacyjne gospodarowanie zasobami wody w rolnictwie - 220 uczestników                                                                                                                                                                                                              8. Forum wiedzy i innowacji - 220 uczestników  
</t>
    </r>
    <r>
      <rPr>
        <b/>
        <sz val="10"/>
        <color indexed="8"/>
        <rFont val="Calibri"/>
        <family val="2"/>
        <charset val="238"/>
      </rPr>
      <t xml:space="preserve">Międzynarodowy zasięg 2017:  
1. </t>
    </r>
    <r>
      <rPr>
        <sz val="10"/>
        <color indexed="8"/>
        <rFont val="Calibri"/>
        <family val="2"/>
        <charset val="238"/>
      </rPr>
      <t xml:space="preserve">XXIII Międzynarodowe Targi Techniki Rolniczej AGROTECH w Kielcach - informacja o liczbie odwiedzających targi pobrana ze strony http://www.targikielce.pl/pl/agrotech.htm          </t>
    </r>
  </si>
  <si>
    <t>2. Narzędzia komunikacji</t>
  </si>
  <si>
    <t>2.1 Statystyki strony internetowej</t>
  </si>
  <si>
    <t>Liczba odwiedzin strony</t>
  </si>
  <si>
    <t>Liczba unikalnych użytkowników strony</t>
  </si>
  <si>
    <t>Strona internetowa CDR nie daje możliwości sprawdzenia liczby unikalnych użytkowników strony</t>
  </si>
  <si>
    <t>2.2 Media społecznościowe i fora internetowe</t>
  </si>
  <si>
    <t>Liczba używanych mediów społecznościowych</t>
  </si>
  <si>
    <t>Liczba założonych platform elektronicznych (e-forums)</t>
  </si>
  <si>
    <t>Liczba forów dyskusyjnych (w tym grup na facebooku i grupy dyskusyjne linkeldin)</t>
  </si>
  <si>
    <t>Liczba fanów na facebooku</t>
  </si>
  <si>
    <t>Liczba obserwujących Twitter</t>
  </si>
  <si>
    <t>Liczba tweetów (włączając re- tweety)</t>
  </si>
  <si>
    <t>Liczba postów na facebooku (wliczając udostępnienia)</t>
  </si>
  <si>
    <t>Liczba odwiedzin na stronie przekierowanych łącznie ze wszystkich mediów społecznościowych</t>
  </si>
  <si>
    <t>Strona WWW nie daje możliwości sprawdzenia liczby  odwiedzin na stronie przekierowanych łącznie ze wszystkich mediów społecznościowych (liczba fanów na facebook narastająca)</t>
  </si>
  <si>
    <t>1.01.2014 (bazowy)</t>
  </si>
  <si>
    <t>2.3 Liczba publikacji</t>
  </si>
  <si>
    <t>Liczba publikacji</t>
  </si>
  <si>
    <r>
      <rPr>
        <b/>
        <sz val="10"/>
        <color theme="1"/>
        <rFont val="Calibri"/>
        <family val="2"/>
        <charset val="238"/>
        <scheme val="minor"/>
      </rPr>
      <t>2016 rok</t>
    </r>
    <r>
      <rPr>
        <sz val="10"/>
        <color theme="1"/>
        <rFont val="Calibri"/>
        <family val="2"/>
        <charset val="238"/>
        <scheme val="minor"/>
      </rPr>
      <t xml:space="preserve"> - 148 artykułów - przetłumaczonych broszur EIP-AGRI - opublikowanych na Facebook (planowane wydanie broszury naich podstawie),  , ulotka 35000 szt. - dystrybuowana na terenie całego kraju podczas operacji realizowanych przez CDR i WODR oraz druk 7000 szt. tych samych ulotek w języku niemieckim (cel: dystrybucja podczas targów w Monachium) , 2 artykuły opublikowane e-biuletynie CDR;
</t>
    </r>
    <r>
      <rPr>
        <b/>
        <sz val="10"/>
        <color theme="1"/>
        <rFont val="Calibri"/>
        <family val="2"/>
        <charset val="238"/>
        <scheme val="minor"/>
      </rPr>
      <t xml:space="preserve">2017 rok: </t>
    </r>
    <r>
      <rPr>
        <sz val="10"/>
        <color theme="1"/>
        <rFont val="Calibri"/>
        <family val="2"/>
        <charset val="238"/>
        <scheme val="minor"/>
      </rPr>
      <t xml:space="preserve">
1. 37 artykułów opublikowanych na zakładce SIR (cdr.gov.pl),
2. Ulotka (3000 egz.) - Idea i zasady tworzenia gospodarstw opiekuńczych na bazie gospodarstw rolnych
3. Broszura (2000 egz.) - Idea rolnictwa społecznego oraz wypracowanej przez CDR/O/Kraków koncepcji gospodarstw opiekuńczych </t>
    </r>
  </si>
  <si>
    <t>2.4 Liczba multimediów i innych narzędzi komunikacji</t>
  </si>
  <si>
    <t>Liczba filmów/ programów telewizyjnych/audycji radiowych</t>
  </si>
  <si>
    <t xml:space="preserve">Liczba konkursów/ kategorii konkursowych </t>
  </si>
  <si>
    <r>
      <t>Liczba innych narzędzi komunikacyjnych - proszę określić jakich w "</t>
    </r>
    <r>
      <rPr>
        <i/>
        <sz val="10"/>
        <color indexed="8"/>
        <rFont val="Calibri"/>
        <family val="2"/>
        <charset val="238"/>
      </rPr>
      <t>Komentarzu"</t>
    </r>
  </si>
  <si>
    <t>Całkowita liczba multimediów i innych narzędzi komunikacji</t>
  </si>
  <si>
    <t>3. Zbieranie, analiza i upowszechnianie dobrych praktyk</t>
  </si>
  <si>
    <t xml:space="preserve">3.1 Liczba zebranych i upowszechnionych przykładów dobrej praktyki </t>
  </si>
  <si>
    <r>
      <t>Komentarze</t>
    </r>
    <r>
      <rPr>
        <b/>
        <sz val="10"/>
        <color indexed="8"/>
        <rFont val="Calibri"/>
        <family val="2"/>
        <charset val="238"/>
      </rPr>
      <t xml:space="preserve"> 
</t>
    </r>
    <r>
      <rPr>
        <sz val="10"/>
        <color indexed="8"/>
        <rFont val="Calibri"/>
        <family val="2"/>
        <charset val="238"/>
      </rPr>
      <t>(proszę wskazać co jest rozumiane przez kategorię "inne")</t>
    </r>
  </si>
  <si>
    <t xml:space="preserve">Liczba dobrych praktyk </t>
  </si>
  <si>
    <t xml:space="preserve">Z naciskiem na transfer wiedzy i innowacyjność (P1) </t>
  </si>
  <si>
    <t>Z naciskiem na żywotność gospodarstw i konkurencyjność, łańcuch żywnościowy, przetwórstwo i marketing, zarządzanie ryzykiem (P2 i P3)</t>
  </si>
  <si>
    <t>Z naciskiem na zarządzanie ekosystemami, zasoby naturalne i klimat (P4 i P5)</t>
  </si>
  <si>
    <t>Z naciskiem na włączenie społeczne, redukcja ubóstwa (P6)</t>
  </si>
  <si>
    <t>Z naciskiem na LEADER/RLKS i LGD  (włączając współpracę) (P6)</t>
  </si>
  <si>
    <t>Z naciskiem na upowszechnianie wyników monitoringu i ewaluacji</t>
  </si>
  <si>
    <t>Inne tematy lub tematy mieszane  (proszę doprecyzuj w "Komentarzu")</t>
  </si>
  <si>
    <t>4. Wymiany tematyczne i analityczne</t>
  </si>
  <si>
    <t>4.1 Liczba utworzonych grup tematycznych i zorganizowanych spotkań</t>
  </si>
  <si>
    <r>
      <t>Komentarze</t>
    </r>
    <r>
      <rPr>
        <sz val="12"/>
        <color indexed="8"/>
        <rFont val="Calibri"/>
        <family val="2"/>
        <charset val="238"/>
      </rPr>
      <t xml:space="preserve"> 
(</t>
    </r>
    <r>
      <rPr>
        <sz val="10"/>
        <color indexed="8"/>
        <rFont val="Calibri"/>
        <family val="2"/>
        <charset val="238"/>
      </rPr>
      <t>proszę wskazać co jest rozumiane przez kategorię "inne")</t>
    </r>
  </si>
  <si>
    <t>Liczba tematycznych inicjatyw wg rodzajów aktywności</t>
  </si>
  <si>
    <t>Liczba grup tematycznych według głównego obszaru tematycznego w tym</t>
  </si>
  <si>
    <t>liczba grup tematycznych</t>
  </si>
  <si>
    <t>liczba spotkań grup tematycznych</t>
  </si>
  <si>
    <t>Z naciskiem na żywotność gospodarstw rolnych i konkurencyjność, łańcuch żywnościowy, przetwórstwo i marketing, zarządzanie ryzykiem (P2 i P3)</t>
  </si>
  <si>
    <t>z których przeznaczone dla LGD włączając wsparcie współpracy</t>
  </si>
  <si>
    <t xml:space="preserve">4.2 Liczba konsultacji tematycznych </t>
  </si>
  <si>
    <t>Konsultacje tematyczne z partnerami (włączając grupy koordynacyjne)</t>
  </si>
  <si>
    <t>Liczba inicjatyw tematycznych według głównego obszaru tematycznego w tym</t>
  </si>
  <si>
    <t>4.3 Liczba utworzonych innych inicjatyw tematycznych</t>
  </si>
  <si>
    <t>Inne (włączając inicjatywy badawcze dotyczące określonych tematów, fora internetowe, szkolenia tematyczne)</t>
  </si>
  <si>
    <r>
      <rPr>
        <b/>
        <sz val="10"/>
        <color theme="1"/>
        <rFont val="Calibri"/>
        <family val="2"/>
        <charset val="238"/>
        <scheme val="minor"/>
      </rPr>
      <t>2016 rok:</t>
    </r>
    <r>
      <rPr>
        <sz val="10"/>
        <color theme="1"/>
        <rFont val="Calibri"/>
        <family val="2"/>
        <charset val="238"/>
        <scheme val="minor"/>
      </rPr>
      <t xml:space="preserve">
1. Badania sondażowe w ramach operacji "Kreowanie partnerstwa w ramach KSOW dla działania Współpraca PROW 2014-2020".
2. Operacja pn "Nowe problemy identyfikowane przez rolników w rolnictwie i na obszarach wiejskicjh - diagnoza obszarów problemowych oraz możliwości podejmowania wspólnych działań na rzecz tworzenia innowacyjnych rozwiazań w ramach działania Współpraca"
</t>
    </r>
    <r>
      <rPr>
        <b/>
        <sz val="10"/>
        <color theme="1"/>
        <rFont val="Calibri"/>
        <family val="2"/>
        <charset val="238"/>
        <scheme val="minor"/>
      </rPr>
      <t>2017 rok:</t>
    </r>
    <r>
      <rPr>
        <sz val="10"/>
        <color theme="1"/>
        <rFont val="Calibri"/>
        <family val="2"/>
        <charset val="238"/>
        <scheme val="minor"/>
      </rPr>
      <t xml:space="preserve">
1. Badanie sądażowe realizowane w ramach operacji "Gospodarstwa opiekuńcze - budowanie sieci współpracy" </t>
    </r>
    <r>
      <rPr>
        <sz val="10"/>
        <color theme="1"/>
        <rFont val="Calibri"/>
        <family val="2"/>
        <charset val="238"/>
        <scheme val="minor"/>
      </rPr>
      <t xml:space="preserve">
</t>
    </r>
  </si>
  <si>
    <t>4.4 Liczba osób zaangażowanych w poszczególne inicjatywy</t>
  </si>
  <si>
    <t>Liczba osób według typu inicjatywy</t>
  </si>
  <si>
    <t>Grupy tematyczne</t>
  </si>
  <si>
    <t>tematyczne grupy konsultacyjne z partnerami (włączając grupy koordynacyjne)</t>
  </si>
  <si>
    <t>Inne (włączając inicjatywy badawcze dotyczące określonych tematów, fora internetowe)</t>
  </si>
  <si>
    <t>5. Współpraca i wkład do działań ENRD i EIP</t>
  </si>
  <si>
    <t>5.1 Liczba działań ENRD i EIP-AGRI, w których podmioty brały udział</t>
  </si>
  <si>
    <t>Rodzaj inicjatywy</t>
  </si>
  <si>
    <t>Całkowita liczba wydarzeń/inicjatyw według głównego organizatora</t>
  </si>
  <si>
    <t>Liczba inicjatyw tematycznych</t>
  </si>
  <si>
    <t>Liczba spotkań w ramach inicjatyw tematycznych (np. spotkania grup tematycznych)</t>
  </si>
  <si>
    <t>Liczba spotkań sieci Państw Członkowskich UE</t>
  </si>
  <si>
    <t>Liczba seminariów/ konferencji</t>
  </si>
  <si>
    <t>Inne wydarzenia (włączając Komitet Sterujący, Zgromadzenie ogólne, itp. Proszę określ inne wydarzenia w Komentarzach)</t>
  </si>
  <si>
    <t>Całkowita liczba inicjatyw, w których uczestniczyli przedstawiciele podmiotu lub partnerzy sieci</t>
  </si>
  <si>
    <t xml:space="preserve"> ...ENRD CP</t>
  </si>
  <si>
    <t>z których przedstawiciele podmiotu lub partnerzy sieci mieli aktywny wkład</t>
  </si>
  <si>
    <t>… Evaluation HD</t>
  </si>
  <si>
    <t>…EIP SP</t>
  </si>
  <si>
    <t>5.2 Liczba materiałów informacyjnych przekazanych ENRD i EIP-AGRI</t>
  </si>
  <si>
    <t>Prezentacje, publikacje i analizy przypadku</t>
  </si>
  <si>
    <t>Całkowita liczba materiałów informacyjnych dostarczonych do różnych jednostek organizacyjnych europejskiej sieci</t>
  </si>
  <si>
    <t>Liczba artyułów /informacji do publikacji ENRD/ EIP</t>
  </si>
  <si>
    <t xml:space="preserve">Liczba przekazanych przykładów dobrych praktyk/ case study </t>
  </si>
  <si>
    <t>Inne (proszę wyszczególnić jakie  w rubryce "Komentarze"</t>
  </si>
  <si>
    <t>Całkowita liczba informacji</t>
  </si>
  <si>
    <t>…ENRD CP</t>
  </si>
  <si>
    <t>…Evaluation HD</t>
  </si>
  <si>
    <t>5.3 Liczba materiałów informacyjnych przygotowanych przez ENRD CP, Evaluation HD lub EIP-AGRI SP, które zostały przetłumaczone i/lub rozpowszechnione na potrzeby szerszej publiczności w ramach sieci</t>
  </si>
  <si>
    <r>
      <rPr>
        <b/>
        <sz val="12"/>
        <color theme="1"/>
        <rFont val="Calibri"/>
        <family val="2"/>
        <charset val="238"/>
        <scheme val="minor"/>
      </rPr>
      <t>Komentarze</t>
    </r>
    <r>
      <rPr>
        <sz val="10"/>
        <color theme="1"/>
        <rFont val="Calibri"/>
        <family val="2"/>
        <scheme val="minor"/>
      </rPr>
      <t xml:space="preserve"> 
</t>
    </r>
    <r>
      <rPr>
        <sz val="10"/>
        <color theme="1"/>
        <rFont val="Calibri"/>
        <family val="2"/>
        <charset val="238"/>
        <scheme val="minor"/>
      </rPr>
      <t>(proszę wskazać co jest rozumiane przez kategorię "inne")</t>
    </r>
  </si>
  <si>
    <t>Liczba  informacji ENRD CP przetłumaczonych na język polski</t>
  </si>
  <si>
    <t>Liczba informacji ENRD CP rozpowszechnionych w Polsce</t>
  </si>
  <si>
    <t>Liczba  informacji Evaluation HD przetłumaczonych na język polski</t>
  </si>
  <si>
    <t>Liczba informacji Evalution HD rozpowszechnionych w Polsce</t>
  </si>
  <si>
    <t>Liczba  informacji EIP-SP przetłumaczonych na język polski</t>
  </si>
  <si>
    <t>Liczba informacji EIP-SP rozpowszechnionych w Polsce</t>
  </si>
  <si>
    <t>Całkowita liczba informacji przetłumaczonych na język polski</t>
  </si>
  <si>
    <t>Całkowita liczba informacji rozpowszechnionych w Polsce</t>
  </si>
  <si>
    <t>2016 - PRZETŁUMACZONO 148 ARTYKUŁÓW  (200 STRON)  ŚCIĄGNIĘTYCH ZE STRONY INTERNETOWEJ EIP AGRI I ROZPOWSZECHNIONO ……</t>
  </si>
  <si>
    <t>6.  Budowanie umiejętności i szkolenia</t>
  </si>
  <si>
    <t>6.1 Liczba działań o charakterze szkoleniowym</t>
  </si>
  <si>
    <r>
      <t xml:space="preserve">Komentarze 
</t>
    </r>
    <r>
      <rPr>
        <sz val="10"/>
        <color indexed="8"/>
        <rFont val="Calibri"/>
        <family val="2"/>
        <charset val="238"/>
      </rPr>
      <t>(proszę wskazać co jest rozumiane przez kategorię "inne")</t>
    </r>
  </si>
  <si>
    <t xml:space="preserve">Rodzaj działania szkoleniowego </t>
  </si>
  <si>
    <t>Zakres tematyczny</t>
  </si>
  <si>
    <t>liczba warsztatów/ szkoleń</t>
  </si>
  <si>
    <t>liczba wizyt/ wyjazdów studyjnych</t>
  </si>
  <si>
    <t>Inne (proszę podaj w komentarzach)</t>
  </si>
  <si>
    <t>całkowita liczba działań szkoleniowych</t>
  </si>
  <si>
    <t>liczba dni szkoleniowych</t>
  </si>
  <si>
    <r>
      <t xml:space="preserve"> AD. F180: "Wykorzystanie innowacji w gospodarstwie rolnym w zakresie ochrony środowiska" składała się z 2-ch wydarzeń, z której każda składała się ze szkolenia i wyjazdu studyjnego; "Od zaradności do przedsiębiorczości" składała się ze szkolenia 1-dniowego i 2-dniowego wyjazdu studyjnego, "Innowacje w rolnictwie - upowszechnienie badań naukowych i przykłady wdrożeń" dwa szkolenia z wyjazdami studyjnymi. AD G180: LICZBA DNI SZKOLENIOWYCH 17, LICZBA DNI OBEJMUJĄCYCH WYJAZDY STUDYJNE 16 DNI;
</t>
    </r>
    <r>
      <rPr>
        <b/>
        <sz val="10"/>
        <color theme="1"/>
        <rFont val="Calibri"/>
        <family val="2"/>
        <charset val="238"/>
        <scheme val="minor"/>
      </rPr>
      <t xml:space="preserve">2017 rok:
</t>
    </r>
    <r>
      <rPr>
        <sz val="10"/>
        <color theme="1"/>
        <rFont val="Calibri"/>
        <family val="2"/>
        <charset val="238"/>
        <scheme val="minor"/>
      </rPr>
      <t xml:space="preserve">1. Szkolenie z wyjazdem studyjnym: "Wykorzystanie innowacji w gospodarstwie rolnym w zakresie ochrony środowiska" - odbyły się szkolenie z wyjazdam studyjnym, w monitoringu miesięcznym zapisane są w operacjach częściowo zrealizowanych </t>
    </r>
    <r>
      <rPr>
        <sz val="10"/>
        <color rgb="FFFF0000"/>
        <rFont val="Calibri"/>
        <family val="2"/>
        <charset val="238"/>
        <scheme val="minor"/>
      </rPr>
      <t xml:space="preserve">
</t>
    </r>
    <r>
      <rPr>
        <sz val="10"/>
        <rFont val="Calibri"/>
        <family val="2"/>
        <charset val="238"/>
        <scheme val="minor"/>
      </rPr>
      <t xml:space="preserve">2. Szkolenie "Gospodarstwa opiekuńcze - budowanie sieci współpracy" - w I etapie podczas 3-dniowego szkolenia przeszkolono 40 doradców, którzy w II etapie przeprowadzili 48 szkoleń 1-dniowych we wszystkich województwach, w których wzieło udział 988 osób
3. Spotkanie informacyjno-szkoleniowe dla brokerów innowacji: 3
4. Spotkanie informacyjno-szkoleniowe dla pracowników CDR i ODR realizujących zadania na rzecz SIR: 1 </t>
    </r>
    <r>
      <rPr>
        <sz val="10"/>
        <color rgb="FFC00000"/>
        <rFont val="Calibri"/>
        <family val="2"/>
        <charset val="238"/>
        <scheme val="minor"/>
      </rPr>
      <t xml:space="preserve">
</t>
    </r>
  </si>
  <si>
    <t>6.2 Liczba osób biorących udział w działaniach szkoleniowych</t>
  </si>
  <si>
    <t>Rodzaj działania szkoleniowego</t>
  </si>
  <si>
    <t>Grupy interesariuszy</t>
  </si>
  <si>
    <t>liczba uczestników szkoleń/ warsztatów</t>
  </si>
  <si>
    <t>liczba uczestników wizyt/ wyjazdów studyjnych</t>
  </si>
  <si>
    <t>liczba uczestników innych lub mieszanych działań szkoleniowych (proszę doprecyzuj w "Komentarzu")</t>
  </si>
  <si>
    <t>liczba przedstawicieli IZ/AP</t>
  </si>
  <si>
    <t>liczba przedstawicieli LGD</t>
  </si>
  <si>
    <t>liczba doradców rolnych i przedstawicieli SIR</t>
  </si>
  <si>
    <t xml:space="preserve">liczba przedstawicieli lokalnych partnerów i organizacji </t>
  </si>
  <si>
    <t>liczba przedstawicieli innych grup interesariuszy (proszę doprecyzuj w"Komentarzu")</t>
  </si>
  <si>
    <r>
      <t xml:space="preserve">2016 rok:
</t>
    </r>
    <r>
      <rPr>
        <sz val="10"/>
        <color indexed="8"/>
        <rFont val="Calibri"/>
        <family val="2"/>
        <charset val="238"/>
      </rPr>
      <t xml:space="preserve">Uczestnikami operacji były osoby z całej Polski, nie można ich zakwalifikować jako lokalni Partnerzy, można wśród nich wymienić rolników, przedsiębiorców, nauczycieli szkół rolniczych, przedstawicieli uczelni i instytutów naukowych jak również osoby fizyczne zamierzające zainwestować w gospodarstwo rolne.
</t>
    </r>
    <r>
      <rPr>
        <b/>
        <sz val="10"/>
        <color indexed="8"/>
        <rFont val="Calibri"/>
        <family val="2"/>
        <charset val="238"/>
      </rPr>
      <t xml:space="preserve">2017 rok: </t>
    </r>
    <r>
      <rPr>
        <sz val="10"/>
        <color indexed="8"/>
        <rFont val="Calibri"/>
        <family val="2"/>
        <charset val="238"/>
      </rPr>
      <t xml:space="preserve">
ad. L192: rolnicy, przedsdtawiciele nauki </t>
    </r>
  </si>
  <si>
    <t xml:space="preserve">7. Wsparcie transnarodowej i międzyterytorialnej współpracy w ramach LEADER/RLKS i wspólnych inicjatyw  </t>
  </si>
  <si>
    <t xml:space="preserve">7.1 Liczba inicjatyw współpracy, ofert poszukiwania partnerów do współpracy, badań/analiz, wizyt studyjnych i innych działań na rzecz współpracy </t>
  </si>
  <si>
    <t>Liczba wydarzeń poświęconych współpracy</t>
  </si>
  <si>
    <t>Liczba osób zaangażowanych w te inicjatywy</t>
  </si>
  <si>
    <t>… w tym liczba osób z innych Państw Członkowskich UE</t>
  </si>
  <si>
    <t>… w tym liczba osób z innych regionów (do wypełnienia tylko przez JR)</t>
  </si>
  <si>
    <t>Liczba zebranych i przekazanych ofert poszukiwania partnerów do współpracy</t>
  </si>
  <si>
    <t>Liczba badań/analiz na temat współpracy</t>
  </si>
  <si>
    <t>Liczba wizyt studyjnych z naciskiem na współpracę</t>
  </si>
  <si>
    <t>Liczba osób uczestniczących w wyjazdach studyjnych</t>
  </si>
  <si>
    <t>…w tym osób z innych Państw Członkowskich UE</t>
  </si>
  <si>
    <t xml:space="preserve">8. Budżet sieci w EUR - Proszę nie licz podwójnie </t>
  </si>
  <si>
    <r>
      <rPr>
        <b/>
        <sz val="12"/>
        <color indexed="8"/>
        <rFont val="Calibri"/>
        <family val="2"/>
        <charset val="238"/>
      </rPr>
      <t xml:space="preserve">Komentarze </t>
    </r>
    <r>
      <rPr>
        <sz val="10"/>
        <color indexed="8"/>
        <rFont val="Calibri"/>
        <family val="2"/>
        <charset val="238"/>
      </rPr>
      <t>(proszę wskazać także inne kategorie)</t>
    </r>
  </si>
  <si>
    <t>Koszty związane z działalnością/planem działania</t>
  </si>
  <si>
    <t xml:space="preserve">1. Wynagrodzenia pracownikiów wraz z kosztami pracodawcy; Materiały, energia, remont, usł. kateringowa, wynajem mikrofonu bezprzewod., sprzątanie pomieszczeń, usł. telekomunikacyjne, podróże służbowe, organizacja spotkań szkoleniowo-informacyjnych dla pracowników WODR i CDR wykonujących działania na rzecz SIR, ochrona, 
2. J.w. + wynajem samochodu, szkolenia dla brokerów innowacji </t>
  </si>
  <si>
    <t>zał. 2</t>
  </si>
  <si>
    <t>w tym wydarzenia (tab. 1)</t>
  </si>
  <si>
    <t>zał. 1</t>
  </si>
  <si>
    <t>w tym strona internetowa (tab. 2.1, 2.2)</t>
  </si>
  <si>
    <t>Środki ulokowane w wydarzeniach/operacjach rozpoczętych</t>
  </si>
  <si>
    <t>w tym związane z innymi działaniami komunikacji (tab. 2.3, 2.4)</t>
  </si>
  <si>
    <t>w tym związane z innymi działaniami (tab. 3, 4, 5, 6, 7)</t>
  </si>
  <si>
    <t>Koszty funkcjonowania (wszystkie koszty administracyjne, materiały, koordynacja, itp.) Proszę określ je w komentarzach.</t>
  </si>
  <si>
    <r>
      <rPr>
        <b/>
        <sz val="11"/>
        <color theme="1"/>
        <rFont val="Calibri"/>
        <family val="2"/>
        <charset val="238"/>
        <scheme val="minor"/>
      </rPr>
      <t xml:space="preserve">informacja dodatkowa w/s różnicy w budżecie między zał. 1 a zał. 2 do sprawozdania: </t>
    </r>
    <r>
      <rPr>
        <sz val="11"/>
        <color theme="1"/>
        <rFont val="Calibri"/>
        <family val="2"/>
        <charset val="238"/>
        <scheme val="minor"/>
      </rPr>
      <t xml:space="preserve">w Planie Operacyjnym na lata 2016-2017 ujęte są operacje obejmujace swoim zasięgiem 2 lata, są to operacje etapowe, składające się z kilku szkoleń, kilku wyjazdów studyjnych bądź konferencji i publikacji pokonferencyjnej. Operacje, o których mowa, a które ujęte są w zał. nr 1 zapisane są w operacjach częściowo zrealizowanych, to:
1. Szkolenie z wyjazdem studyjnym: "Wykorzystanie innowacji w gospodarstwie rolnym w zakresie ochrony środowiska" - odbyły się 3 szkolenia z wyjazdam studyjnym z planowanych 4, przy czym 4 etap w trakcie realizacji (koszt etapów zrealizowanych w 2016 i2017 roku: </t>
    </r>
    <r>
      <rPr>
        <b/>
        <sz val="11"/>
        <color theme="1"/>
        <rFont val="Calibri"/>
        <family val="2"/>
        <charset val="238"/>
        <scheme val="minor"/>
      </rPr>
      <t>14471,00</t>
    </r>
    <r>
      <rPr>
        <sz val="11"/>
        <color theme="1"/>
        <rFont val="Calibri"/>
        <family val="2"/>
        <charset val="238"/>
        <scheme val="minor"/>
      </rPr>
      <t xml:space="preserve">)
2. Szkolenie z wyjazdem studyjnym - zrealizowane dwa etapy w 2016 r. (koszt etapów zrealizowanych w 2016 r.: </t>
    </r>
    <r>
      <rPr>
        <b/>
        <sz val="11"/>
        <color theme="1"/>
        <rFont val="Calibri"/>
        <family val="2"/>
        <charset val="238"/>
        <scheme val="minor"/>
      </rPr>
      <t>13921,49</t>
    </r>
    <r>
      <rPr>
        <sz val="11"/>
        <color theme="1"/>
        <rFont val="Calibri"/>
        <family val="2"/>
        <charset val="238"/>
        <scheme val="minor"/>
      </rPr>
      <t xml:space="preserve">)
3. Konferencja i publikacja pn. "Innowacyjne metody gospodarowania zasobami wody w rolnictwie" - konfrencja zrealizowana w 2016 roku, publikacja w trakcie realizacji (koszt etapu zrealizowanego: </t>
    </r>
    <r>
      <rPr>
        <b/>
        <sz val="11"/>
        <color theme="1"/>
        <rFont val="Calibri"/>
        <family val="2"/>
        <charset val="238"/>
        <scheme val="minor"/>
      </rPr>
      <t>109291,71</t>
    </r>
    <r>
      <rPr>
        <sz val="11"/>
        <color theme="1"/>
        <rFont val="Calibri"/>
        <family val="2"/>
        <charset val="238"/>
        <scheme val="minor"/>
      </rPr>
      <t xml:space="preserve">)
4. Szkolenie z wyjazdem studyjnym pn. "Rolnictwo precyzyjne..." - 2-u etapowe, 1 etap zakończony (koszt etapu zrealizowanego w 2016 r.: </t>
    </r>
    <r>
      <rPr>
        <b/>
        <sz val="11"/>
        <color theme="1"/>
        <rFont val="Calibri"/>
        <family val="2"/>
        <charset val="238"/>
        <scheme val="minor"/>
      </rPr>
      <t>11749,86</t>
    </r>
    <r>
      <rPr>
        <sz val="11"/>
        <color theme="1"/>
        <rFont val="Calibri"/>
        <family val="2"/>
        <charset val="238"/>
        <scheme val="minor"/>
      </rPr>
      <t xml:space="preserve">)
</t>
    </r>
    <r>
      <rPr>
        <b/>
        <sz val="11"/>
        <color theme="1"/>
        <rFont val="Calibri"/>
        <family val="2"/>
        <charset val="238"/>
        <scheme val="minor"/>
      </rPr>
      <t>Pozostała kwota w wysokości 35640,45 pln w załączniku nr 1 (operacje częściowo rozliczone) dotyczy operacji jednoetapowych i kolejnych etapów operacji wiloetapowych.</t>
    </r>
  </si>
  <si>
    <t>Dolnośląski Ośrodek Doradztwa Rolniczego</t>
  </si>
  <si>
    <r>
      <rPr>
        <b/>
        <sz val="10"/>
        <color indexed="8"/>
        <rFont val="Calibri"/>
        <family val="2"/>
        <charset val="238"/>
      </rPr>
      <t>2016</t>
    </r>
    <r>
      <rPr>
        <sz val="10"/>
        <color indexed="8"/>
        <rFont val="Calibri"/>
        <family val="2"/>
        <charset val="238"/>
      </rPr>
      <t xml:space="preserve"> - Szacowana liczba osób odwiedzająca imprezy organizowane przez DODR, na których zorganizowano punkty informacyjne SIR.
</t>
    </r>
    <r>
      <rPr>
        <b/>
        <sz val="10"/>
        <color indexed="8"/>
        <rFont val="Calibri"/>
        <family val="2"/>
        <charset val="238"/>
      </rPr>
      <t xml:space="preserve">2017 </t>
    </r>
    <r>
      <rPr>
        <sz val="10"/>
        <color indexed="8"/>
        <rFont val="Calibri"/>
        <family val="2"/>
        <charset val="238"/>
      </rPr>
      <t>-  Szacowana liczba osób podczas imprez, szkoleń i konferencji organizowanych/współorganizowanych przez DODR, na których zorganizowano punkty informacyjne SIR.</t>
    </r>
  </si>
  <si>
    <r>
      <rPr>
        <b/>
        <sz val="10"/>
        <color theme="1"/>
        <rFont val="Calibri"/>
        <family val="2"/>
        <charset val="238"/>
        <scheme val="minor"/>
      </rPr>
      <t xml:space="preserve">2016 </t>
    </r>
    <r>
      <rPr>
        <sz val="10"/>
        <color theme="1"/>
        <rFont val="Calibri"/>
        <family val="2"/>
        <charset val="238"/>
        <scheme val="minor"/>
      </rPr>
      <t xml:space="preserve">- Zamieszczono 26 informacji na temat  wydarzeń i spotkań dotyczących SIR.
</t>
    </r>
    <r>
      <rPr>
        <b/>
        <sz val="10"/>
        <color theme="1"/>
        <rFont val="Calibri"/>
        <family val="2"/>
        <charset val="238"/>
        <scheme val="minor"/>
      </rPr>
      <t>2017</t>
    </r>
    <r>
      <rPr>
        <sz val="10"/>
        <color theme="1"/>
        <rFont val="Calibri"/>
        <family val="2"/>
        <charset val="238"/>
        <scheme val="minor"/>
      </rPr>
      <t xml:space="preserve"> - Zamieszczono 12 informacji na temat wydarzeń, spotkań, działań w ramach SIR.
*Liczba użytkowników strony.</t>
    </r>
  </si>
  <si>
    <t>*</t>
  </si>
  <si>
    <r>
      <rPr>
        <b/>
        <sz val="10"/>
        <color theme="1"/>
        <rFont val="Calibri"/>
        <family val="2"/>
        <charset val="238"/>
        <scheme val="minor"/>
      </rPr>
      <t>2015</t>
    </r>
    <r>
      <rPr>
        <sz val="10"/>
        <color theme="1"/>
        <rFont val="Calibri"/>
        <family val="2"/>
        <charset val="238"/>
        <scheme val="minor"/>
      </rPr>
      <t xml:space="preserve"> - Zamieszczono bezplatną informację nt. SIR w czasopiśmie Twój Doradca Rolniczy Rynek w miesiącu listopad i grudzień 2015 r. (nakład 3 400 egz.)
</t>
    </r>
    <r>
      <rPr>
        <b/>
        <sz val="10"/>
        <color theme="1"/>
        <rFont val="Calibri"/>
        <family val="2"/>
        <charset val="238"/>
        <scheme val="minor"/>
      </rPr>
      <t>2016</t>
    </r>
    <r>
      <rPr>
        <sz val="10"/>
        <color theme="1"/>
        <rFont val="Calibri"/>
        <family val="2"/>
        <charset val="238"/>
        <scheme val="minor"/>
      </rPr>
      <t xml:space="preserve"> - 8 artykułów i 11 informacji - zaproszeń do współpracyw ramach SIR zamieszczonych w miesięczniku DODR Twój Doradca Rolniczy Rynek (nakład 3 300 egz.).
</t>
    </r>
    <r>
      <rPr>
        <b/>
        <sz val="10"/>
        <color theme="1"/>
        <rFont val="Calibri"/>
        <family val="2"/>
        <charset val="238"/>
        <scheme val="minor"/>
      </rPr>
      <t xml:space="preserve">2017 </t>
    </r>
    <r>
      <rPr>
        <sz val="10"/>
        <color theme="1"/>
        <rFont val="Calibri"/>
        <family val="2"/>
        <charset val="238"/>
        <scheme val="minor"/>
      </rPr>
      <t>- 12 artykułów i 6 informacji - zaproszeń do współpracy wramach SIR zamieszczonych w miesięczniku DODR Twój Doradca Rolniczy Rynek (nakład 3 300 egz.).</t>
    </r>
  </si>
  <si>
    <r>
      <rPr>
        <b/>
        <sz val="10"/>
        <color theme="1"/>
        <rFont val="Calibri"/>
        <family val="2"/>
        <charset val="238"/>
        <scheme val="minor"/>
      </rPr>
      <t>2015</t>
    </r>
    <r>
      <rPr>
        <sz val="10"/>
        <color theme="1"/>
        <rFont val="Calibri"/>
        <family val="2"/>
        <scheme val="minor"/>
      </rPr>
      <t xml:space="preserve"> - Organizacja 2 spotkań informacyjno-aktywizujących na terenie województwa dolnośląskiego (teren powiatu kłodzkiego i jeleniogórskiego).
</t>
    </r>
    <r>
      <rPr>
        <b/>
        <sz val="10"/>
        <color theme="1"/>
        <rFont val="Calibri"/>
        <family val="2"/>
        <charset val="238"/>
        <scheme val="minor"/>
      </rPr>
      <t>2016</t>
    </r>
    <r>
      <rPr>
        <sz val="10"/>
        <color theme="1"/>
        <rFont val="Calibri"/>
        <family val="2"/>
        <scheme val="minor"/>
      </rPr>
      <t xml:space="preserve"> - Organizacja 3 wyjazdów studyjnych i szkolenia połączonego z warsztatami.
</t>
    </r>
    <r>
      <rPr>
        <b/>
        <sz val="10"/>
        <color theme="1"/>
        <rFont val="Calibri"/>
        <family val="2"/>
        <charset val="238"/>
        <scheme val="minor"/>
      </rPr>
      <t>2017</t>
    </r>
    <r>
      <rPr>
        <sz val="10"/>
        <color theme="1"/>
        <rFont val="Calibri"/>
        <family val="2"/>
        <scheme val="minor"/>
      </rPr>
      <t xml:space="preserve"> - Organizacja 12 spotkań informacyjno-promocyjnych nt. SIR i działania "Współpraca", przeprowadzenie 8 wykładów nt. SIR oraz działania "Współpraca", udział w 14 spotkaniach dotyczących założenia grup EPI.
*inne - spotkania informacyjno-promocyjne SIR oraz przeprowadzone wykłady nt. SIR.</t>
    </r>
  </si>
  <si>
    <r>
      <rPr>
        <b/>
        <sz val="10"/>
        <color theme="1"/>
        <rFont val="Calibri"/>
        <family val="2"/>
        <charset val="238"/>
        <scheme val="minor"/>
      </rPr>
      <t>2015</t>
    </r>
    <r>
      <rPr>
        <sz val="10"/>
        <color theme="1"/>
        <rFont val="Calibri"/>
        <family val="2"/>
        <scheme val="minor"/>
      </rPr>
      <t xml:space="preserve"> - Organizacja 2 spotkań informacyjno-aktywizujących na terenie województwa dolnośląskiego (teren powiatu kłodzkiego i jeleniogórskiego).
</t>
    </r>
    <r>
      <rPr>
        <b/>
        <sz val="10"/>
        <color theme="1"/>
        <rFont val="Calibri"/>
        <family val="2"/>
        <charset val="238"/>
        <scheme val="minor"/>
      </rPr>
      <t xml:space="preserve">2016 </t>
    </r>
    <r>
      <rPr>
        <sz val="10"/>
        <color theme="1"/>
        <rFont val="Calibri"/>
        <family val="2"/>
        <scheme val="minor"/>
      </rPr>
      <t xml:space="preserve">- Organizacja 3 wyjazdów studyjnych i szkolenia połączonego z warsztatami.
</t>
    </r>
    <r>
      <rPr>
        <b/>
        <sz val="10"/>
        <color theme="1"/>
        <rFont val="Calibri"/>
        <family val="2"/>
        <charset val="238"/>
        <scheme val="minor"/>
      </rPr>
      <t>2017</t>
    </r>
    <r>
      <rPr>
        <sz val="10"/>
        <color theme="1"/>
        <rFont val="Calibri"/>
        <family val="2"/>
        <scheme val="minor"/>
      </rPr>
      <t xml:space="preserve"> - Organizacja 12 spotkań informacyjno-promocyjnych nt. SIR i działania "Współpraca", przeprowadzenie 8 wykładów nt. SIR oraz działania "Współpraca", udział w 14 spotkaniach dotyczących założenia grup EPI.
*liczba uczestników innych działań - odbiorcy spotkań informacyjno-promocyjnych SIR oraz przeprowadzonych wykładów nt. SIR.
</t>
    </r>
    <r>
      <rPr>
        <b/>
        <sz val="10"/>
        <color theme="1"/>
        <rFont val="Calibri"/>
        <family val="2"/>
        <charset val="238"/>
        <scheme val="minor"/>
      </rPr>
      <t>2017</t>
    </r>
    <r>
      <rPr>
        <sz val="10"/>
        <color theme="1"/>
        <rFont val="Calibri"/>
        <family val="2"/>
        <scheme val="minor"/>
      </rPr>
      <t xml:space="preserve"> - liczba uczestników innych działań - odbiorcy spotkań informacyjno-promocyjnych SIR i działania "Współpraca" oraz przeprowadzonych wykładów nt. SIR i działania "Współpraca".
*inne grupy - przedstawiciele jednostek samorządowych[51], PIORIN[1], DIR [1].
</t>
    </r>
    <r>
      <rPr>
        <b/>
        <sz val="10"/>
        <color theme="1"/>
        <rFont val="Calibri"/>
        <family val="2"/>
        <charset val="238"/>
        <scheme val="minor"/>
      </rPr>
      <t>2017</t>
    </r>
    <r>
      <rPr>
        <sz val="10"/>
        <color theme="1"/>
        <rFont val="Calibri"/>
        <family val="2"/>
        <scheme val="minor"/>
      </rPr>
      <t xml:space="preserve"> - KRUS [1], PIP [1].</t>
    </r>
  </si>
  <si>
    <t>Środki na funkcjonowanie.
W ramach funkcjonowania pracownicy SIR: aktualizują zakładkę SIR na stronie www.dodr.pl, przygotowują informacje do gazety TDRR, organizują spotkania informacyjno-promocyjne SIR zarówno grupowe jak i indywidualne, w ramach tworzenia sieci kontaktów, pozyskują nowych partnerów do Bazy Partnerów SIR, monitorują działania związane z SIR na Dolnym Śląsku, udzielają zainteresowanym informacje na temat istoty SIR, koordynują prawidłowe realizowanie PO 2016-2017 oraz inne zadania wg bieżących potrzeb. Do zadań brokera w ramach funkcjonowania należy m.in.: identyfikacja potencjalnych partnerów na obszarze działania brokera oraz nawiązanie z nimi współpracy,  prowadzenie działań aktywizujących, pomoc w tworzeniu i organizacji grup operacyjnych, pomoc w przygotowywaniu potrzebnych dokumentów formalnych związanych z funkcjonowaniem grupy oraz stałe monitorowanie grupy. 
W skład kosztów na funkcjonowanie wchodzą także koszty delegacji pracowników ds. SIR i brokera na szkolenia i spotkania związane z pozyskiwaniem wiedzy dot. Sieci i działania "Współpraca",  w celu tworzenia sieci kontaktów oraz w przypadku brokera w celu tworzenia i organizacji grup operacyjnych.
W 2015 r. dodatkowo oprócz kosztów funkcjonowania zakup (wyposażenie) stanowiska pracy oraz zakup 2 laptopów na potrzeby pracowników oddelegowanych do zadań SIR.</t>
  </si>
  <si>
    <t>[Kujawsko-Pomorski Ośrodek Doradztwa Rolniczego w Minikowie]</t>
  </si>
  <si>
    <r>
      <rPr>
        <b/>
        <sz val="10"/>
        <color indexed="8"/>
        <rFont val="Calibri"/>
        <family val="2"/>
        <charset val="238"/>
      </rPr>
      <t>Wydarzenia w 2016 r. to</t>
    </r>
    <r>
      <rPr>
        <sz val="10"/>
        <color indexed="8"/>
        <rFont val="Calibri"/>
        <family val="2"/>
        <charset val="238"/>
      </rPr>
      <t xml:space="preserve">: 1. Innowacyjne rozwiązania w zarządzaniu stadem bydła mlecznego w zautomatyzowanej oborze (konferencja 23.03.2016 r., warsztaty/pokaz 2-3.07.2016 r.), 2. II Forum Hodowców i Producentów Trzody Chlewnej Kujaw i Pomorza (konferencja 04.11.2016 r w Przysieku). 3. Skracanie łańcucha żywnościowego w ramach proekologicznej hodowli gęsi (szkolenie, warsztaty, spotkanie hodowców, impreza promocyjno-targowa Święto Gęsiny na Krajnie). 4. Innowacyjne praktyki hodowlane prezentowane podczas Europejskich Targów Hodowlanych w Clermont-Ferrand (wyjazd studyjny 02-08.10.2016 r.). 5. Zrównoważone użytkowanie zasobów wodnych i glebowych w okresach posusznych – innowacyjne rozwiązania (konferencja, 4 warsztaty). 6. Kujawsko-Pomorska Wieprzowina produkowana z wykorzystaniem polskiego białka pochodzenia roślinnego (spotkanie inauguracyjne, 5 warsztatów, konferencja podsumowująca). 7. Innowacyjne systemy uprawy roślin polowych przy użyciu agregatów nowej generacji (warsztaty/pokaz). 8. Upowszechnianie wiedzy na temat legalnej sprzedaży produktów lokalnych i tradycyjnych z branży rolno-spożywczej oraz tworzenie kanałów sprzedaży (szkolenie). 9. Droga rozwoju dla innowacyjnych rolników i przedsiębiorców. Warsztaty informacyjno-motywacyjne (warsztaty). 4 - stoiska informacyjne dotyczące SIR na imprezach targowych i dożynkach: Dni Otwartych Drzwi w Zarzeczewie, Dni Pola w Grubnie, Międzynarodowe Targi Rolno-Przemysłowe AGRO-TECH Minikowo, Dożynki Wojewódzkie w Piotrkowie Kujawskim. </t>
    </r>
    <r>
      <rPr>
        <b/>
        <sz val="10"/>
        <color indexed="8"/>
        <rFont val="Calibri"/>
        <family val="2"/>
        <charset val="238"/>
      </rPr>
      <t>W 2017 r.</t>
    </r>
    <r>
      <rPr>
        <sz val="10"/>
        <color indexed="8"/>
        <rFont val="Calibri"/>
        <family val="2"/>
        <charset val="238"/>
      </rPr>
      <t xml:space="preserve"> zorganizowano 11 wydarzeń, w tym: 3 stoiska informacyjne SIR, podczas imprez targowych: Międzynarodowy Dzień Rzepaku EURORZEPAK w Minikowie (18.05.2017 r.), Dni Otwartych Drzwi w Zarzeczewie (3-4.06.2017 r.) i Dni Pola w Grubnie (10-11.06.2017 r.), 2 wyjazdy studyjne: " „Innowacyjne rozwiązania w organizacji chowu i przetwórstwie bydła mięsnego” Witkowo (22-23.05.2017 r.) i "Wykorzystanie potencjału nowych odmian roślin uprawnych w rolnictwie zrównoważonym" Strzelce-Radzików-Falęty (22-23.06.2017 r.), Punkt informacyjno-konsultacyjny na Dniach Pola w Grubnie (10.06.2017 r.), Warsztaty dla pszczalarzy „Innowacyjne wykorzystanie kwiatowego pyłku pszczelego w wiosennej stymulacji rodzin pszczelich” (21.05.2017 r.), "Droga rozwoju dla innowacyjnych rolników i przedsiębiorców. Warsztaty informacyjno-motywacyjne" Włocławek (6-7 i 9-10.03.2017 r.), Warszaty polowe "Monitoring podstawowych chorób pszenicy w praktyce – rozpoznawanie wybranych chorób w okresie wegetacji" w Falęcinie (06.06.2017 r.), Konferencja sadownicza „Monitoring występowania chorób na plantacjach jabłoni chorób ze szczególnym uwzględnieniem parcha jabłoni” w Lisewie Kościelnym i Starorypinie (6-7.06.2017 r.), Szkolenie polowe w Minikowie "Innowacyjne systemy uprawy roślin polowych przy użyciu agregatów nowej generacji".</t>
    </r>
  </si>
  <si>
    <r>
      <rPr>
        <b/>
        <sz val="10"/>
        <color indexed="8"/>
        <rFont val="Calibri"/>
        <family val="2"/>
        <charset val="238"/>
      </rPr>
      <t>2016 r.</t>
    </r>
    <r>
      <rPr>
        <sz val="10"/>
        <color indexed="8"/>
        <rFont val="Calibri"/>
        <family val="2"/>
        <charset val="238"/>
      </rPr>
      <t xml:space="preserve"> z</t>
    </r>
    <r>
      <rPr>
        <b/>
        <sz val="10"/>
        <color indexed="8"/>
        <rFont val="Calibri"/>
        <family val="2"/>
        <charset val="238"/>
      </rPr>
      <t>asięg lokalny/regionalny</t>
    </r>
    <r>
      <rPr>
        <sz val="10"/>
        <color indexed="8"/>
        <rFont val="Calibri"/>
        <family val="2"/>
        <charset val="238"/>
      </rPr>
      <t xml:space="preserve"> - 3000 odwiedzających i 40 wystawców uczestniczących w Dożynkach Wojewódzkich w Piotrkowie Kuj. 28.08.2016 r. (według wskazań organizatora) oraz 50 osób (na podstawie list obecności) uczestniczących w warsztatach motywacyjno-informacyjnych pt. "Droga rozwoju dla innowacyjnych rolników i przedsiębiorców" 4-5.07. oraz 6-7.07.2016 r. w Przysieku. II Forum Hodowców i Producentów Trzody Chlewnej Kujaw i Pomorza 04.11.2016 r. w Przysieku (konferencja – 131 osób), Skracanie łańcucha żywnościowego w ramach proekologicznej hodowli gęsi (szkolenie – 16 osób, warsztaty – 17 osób, spotkanie hodowców 26 osób), Zrównoważone użytkowanie zasobów wodnych i glebowych w okresach posusznych – innowacyjne rozwiązania (konferencja 125 osób, 4 warsztaty – łącznie 128 uczestników), Kujawsko-Pomorska Wieprzowina produkowana z wykorzystaniem polskiego białka pochodzenia roślinnego (spotkanie inauguracyjne – 22 osoby, 5 warsztatów – łącznie 110 osób, konferencja podsumowująca – 70 uczestników), Innowacyjne systemy uprawy roślin polowych przy użyciu agregatów nowej generacji - (warsztaty/pokaz – 140 uczestników), Upowszechnianie wiedzy na temat legalnej sprzedaży produktów lokalnych i tradycyjnych z branży rolno-spożywczej oraz tworzenie kanałów sprzedaży (szkolenie 2-dniowe – 20 osób). </t>
    </r>
    <r>
      <rPr>
        <b/>
        <sz val="10"/>
        <color indexed="8"/>
        <rFont val="Calibri"/>
        <family val="2"/>
        <charset val="238"/>
      </rPr>
      <t>Zasięg krajowy</t>
    </r>
    <r>
      <rPr>
        <sz val="10"/>
        <color indexed="8"/>
        <rFont val="Calibri"/>
        <family val="2"/>
        <charset val="238"/>
      </rPr>
      <t xml:space="preserve"> - stoisko informacyjne SIR podczas targów Dni Otwartych Drzwi w Zarzeczewie 4-5.06.2016 r.  (15 000 odwiedzających i 206 wystawców na podstawie wskazań organizatora), stoisko informacyjne SIR podczas DNI POLA w Grubnie 18-19.06.2016 r. (25000 odwiedzających i 221 wystawców na podstawie wskazań organizatora) oraz 106 osób (na podstawi listy obecności) uczestników konferencji pt. "Innowacyjne rozwiązania w zarządzaniu stadem bydła mlecznego w zautomatyzowanej oborze" w siedzibie KPODR Minikowie oraz impreza promocyjno-targowa Święto Gęsi na Krajnie - (1000 odwiedzających i 80 wystawców na podstawie wskazań organizatora) </t>
    </r>
    <r>
      <rPr>
        <b/>
        <sz val="10"/>
        <color indexed="8"/>
        <rFont val="Calibri"/>
        <family val="2"/>
        <charset val="238"/>
      </rPr>
      <t>Zasięg międzynarodowy</t>
    </r>
    <r>
      <rPr>
        <sz val="10"/>
        <color indexed="8"/>
        <rFont val="Calibri"/>
        <family val="2"/>
        <charset val="238"/>
      </rPr>
      <t xml:space="preserve"> - stoisko SIR na Międzynarodowych Targach Rolno-Przemysłowych AGRO-TECH 2-3.07.2016 r. (35000 odwiedzających i 422 wystawców według wskazań organizatora) oraz 500 osób (na podstawie listy obecności) uczestniczących w praktycznym pokazie - zautomatyzowana obora podczas Targów AGRO-TECH w Minikowie, a także Wyjazd studyjny do Francji -w dn. 2-8.10.2016 r. na Europejskie Targi Hodowlane w Clemont-Ferrand - 26 uczestników. </t>
    </r>
    <r>
      <rPr>
        <b/>
        <sz val="10"/>
        <color indexed="8"/>
        <rFont val="Calibri"/>
        <family val="2"/>
        <charset val="238"/>
      </rPr>
      <t>W 2017 r.</t>
    </r>
    <r>
      <rPr>
        <sz val="10"/>
        <color indexed="8"/>
        <rFont val="Calibri"/>
        <family val="2"/>
        <charset val="238"/>
      </rPr>
      <t xml:space="preserve">,  wydarzenia o </t>
    </r>
    <r>
      <rPr>
        <b/>
        <sz val="10"/>
        <color indexed="8"/>
        <rFont val="Calibri"/>
        <family val="2"/>
        <charset val="238"/>
      </rPr>
      <t>zasięgu międzynarodowym</t>
    </r>
    <r>
      <rPr>
        <sz val="10"/>
        <color indexed="8"/>
        <rFont val="Calibri"/>
        <family val="2"/>
        <charset val="238"/>
      </rPr>
      <t xml:space="preserve"> to: Międzynarodowy Dzień Rzepaku EURORZEPAK w Minikowie - 324 osoby - konferencja i stoisko informacyjne SIR, </t>
    </r>
    <r>
      <rPr>
        <b/>
        <sz val="10"/>
        <color indexed="8"/>
        <rFont val="Calibri"/>
        <family val="2"/>
        <charset val="238"/>
      </rPr>
      <t>Zasięg krajowy</t>
    </r>
    <r>
      <rPr>
        <sz val="10"/>
        <color indexed="8"/>
        <rFont val="Calibri"/>
        <family val="2"/>
        <charset val="238"/>
      </rPr>
      <t xml:space="preserve"> - stoisko informacyjne SIR na Dniach Otwartych Drzwi w Zarzeczewie - 150 wystawców i 15 000 zwiedzających  i 200 wystawców i 20 000 odwiedzających na Dniach Pola w Grubnie - stoisko informacyjne SIR, Punkt informacyjno-konsultacyjny na Dniach Pola w Grubnie - 105 osób.</t>
    </r>
    <r>
      <rPr>
        <b/>
        <sz val="10"/>
        <color indexed="8"/>
        <rFont val="Calibri"/>
        <family val="2"/>
        <charset val="238"/>
      </rPr>
      <t xml:space="preserve"> Zasięg regionalny/lokalny</t>
    </r>
    <r>
      <rPr>
        <sz val="10"/>
        <color indexed="8"/>
        <rFont val="Calibri"/>
        <family val="2"/>
        <charset val="238"/>
      </rPr>
      <t xml:space="preserve"> - wyjazdy studyjne: " „Innowacyjne rozwiązania w organizacji chowu i przetwórstwie bydła mięsnego” Witkowo - 50 osób i "Wykorzystanie potencjału nowych odmian roślin uprawnych w rolnictwie zrównoważonym" Strzelce-Radzików-Falęty - 25 osób, , Warsztaty dla pszczelarzy „Innowacyjne wykorzystanie kwiatowego pyłku pszczelego w wiosennej stymulacji rodzin pszczelich” - 54 osoby, "Droga rozwoju dla innowacyjnych rolników i przedsiębiorców. Warsztaty informacyjno-motywacyjne" Włocławek - 51 osób, Warszaty polowe "Monitoring podstawowych chorób pszenicy w praktyce – rozpoznawanie wybranych chorób w okresie wegetacji" w Falęcinie - 44 osoby, Konferencja sadownicza „Monitoring występowania chorób na plantacjach jabłoni chorób ze szczególnym uwzględnieniem parcha jabłoni” w Lisewie Kościelnym i Starorypinie - 30 osób, Szkolenie polowe w Minikowie "Innowacyjne systemy uprawy roślin polowych przy użyciu agregatów nowej generacji" - 44 osoby.</t>
    </r>
  </si>
  <si>
    <r>
      <rPr>
        <b/>
        <sz val="10"/>
        <color indexed="8"/>
        <rFont val="Calibri"/>
        <family val="2"/>
        <charset val="238"/>
      </rPr>
      <t>2016 r</t>
    </r>
    <r>
      <rPr>
        <sz val="10"/>
        <color indexed="8"/>
        <rFont val="Calibri"/>
        <family val="2"/>
        <charset val="238"/>
      </rPr>
      <t xml:space="preserve">. - zakładka o Sieci na rzecz innowacji w rolnictwie i na obszarach wiejskich na stronie www.kpodr.pl, zamieszczono 34 informacje i artykuły. </t>
    </r>
    <r>
      <rPr>
        <b/>
        <sz val="10"/>
        <color indexed="8"/>
        <rFont val="Calibri"/>
        <family val="2"/>
        <charset val="238"/>
      </rPr>
      <t>W 2017 r.</t>
    </r>
    <r>
      <rPr>
        <sz val="10"/>
        <color indexed="8"/>
        <rFont val="Calibri"/>
        <family val="2"/>
        <charset val="238"/>
      </rPr>
      <t xml:space="preserve"> - w okresie kiedy sporządzano sprawozdanie z realizacji planu działania (statystyka) nie było możliwości pokazania danych dotyczących strony internetowej, gdyż była ona w modernizacji. Zostaną one uzupełnione w późniejszym okresie. </t>
    </r>
  </si>
  <si>
    <r>
      <rPr>
        <b/>
        <sz val="10"/>
        <color theme="1"/>
        <rFont val="Calibri"/>
        <family val="2"/>
        <charset val="238"/>
        <scheme val="minor"/>
      </rPr>
      <t>W 2016 roku</t>
    </r>
    <r>
      <rPr>
        <sz val="10"/>
        <color theme="1"/>
        <rFont val="Calibri"/>
        <family val="2"/>
        <charset val="238"/>
        <scheme val="minor"/>
      </rPr>
      <t xml:space="preserve"> wydano ulotkę informacyjną "Dołącz do SIR" - nakład 5000 egz., opublikowano 18 artykułów informujących o SIR i rozwiązaniach innowacyjnych w czasopismie branżowym - miesięczniku "Wieś Kujawsko-Pomorska" . </t>
    </r>
    <r>
      <rPr>
        <b/>
        <sz val="10"/>
        <color theme="1"/>
        <rFont val="Calibri"/>
        <family val="2"/>
        <charset val="238"/>
        <scheme val="minor"/>
      </rPr>
      <t>W</t>
    </r>
    <r>
      <rPr>
        <sz val="10"/>
        <color theme="1"/>
        <rFont val="Calibri"/>
        <family val="2"/>
        <charset val="238"/>
        <scheme val="minor"/>
      </rPr>
      <t xml:space="preserve"> </t>
    </r>
    <r>
      <rPr>
        <b/>
        <sz val="10"/>
        <color theme="1"/>
        <rFont val="Calibri"/>
        <family val="2"/>
        <charset val="238"/>
        <scheme val="minor"/>
      </rPr>
      <t>2017 r.</t>
    </r>
    <r>
      <rPr>
        <sz val="10"/>
        <color theme="1"/>
        <rFont val="Calibri"/>
        <family val="2"/>
        <charset val="238"/>
        <scheme val="minor"/>
      </rPr>
      <t xml:space="preserve"> wydano broszurę pt. " Innowacyjne rozwiązania w organizacji chowu bydła mięsnego" - nakład 2000 egz. oraz dodrukowano po zaktualizowaniu ulotkę informacyjną "Dołącz do SIR" - nakład 1000 egz., opublikowano także 6 artykułów dotyczących SIR w czasopismie branżowym miesięczniku wydawanym przez KPODR pt. "Wieś Kujawsko-Pomorska".</t>
    </r>
  </si>
  <si>
    <r>
      <t xml:space="preserve">Zidentyfikowane dobre praktyki w zakresie wdrażania innowacji w rolnictwie i na obszarach wiejskich z terenu województwa </t>
    </r>
    <r>
      <rPr>
        <b/>
        <sz val="10"/>
        <rFont val="Calibri"/>
        <family val="2"/>
        <charset val="238"/>
      </rPr>
      <t>w 2016 r</t>
    </r>
    <r>
      <rPr>
        <sz val="10"/>
        <rFont val="Calibri"/>
        <family val="2"/>
        <charset val="238"/>
      </rPr>
      <t>.: Energooszczędny i innowacyjny proces suszenia warzyw, Gospodarstwa opiekuńcze, Centrum Techniki Rolniczej (centrum szkoleniowe), Innowacyjne produkty mięsne z bakteriami probiotycznymi, Projekt i budowa agregatu uprawowo-siewnego do zasiewów w technologii pasowej (strip till). Siew pszenicy w technologii strip till, Od pola do stołu - Kujawsko-Pomorska Wieprzowina Produkowana z Wykorzystaniem Polskiego Białka Pochodzenia Roślinnego, Soja w województwach kujawsko-pomorskim i wielkopolskim - innowacyjne rozwiązania w uprawie, Innowacyjne rozwiązania w wykorzystaniu agregatu uprawowego do uprawy pasowej.</t>
    </r>
  </si>
  <si>
    <r>
      <t xml:space="preserve"> </t>
    </r>
    <r>
      <rPr>
        <b/>
        <sz val="10"/>
        <color theme="1"/>
        <rFont val="Calibri"/>
        <family val="2"/>
        <charset val="238"/>
        <scheme val="minor"/>
      </rPr>
      <t>W 2016 r</t>
    </r>
    <r>
      <rPr>
        <sz val="10"/>
        <color theme="1"/>
        <rFont val="Calibri"/>
        <family val="2"/>
        <charset val="238"/>
        <scheme val="minor"/>
      </rPr>
      <t xml:space="preserve">. nawiązano współpracę i odbyło się 12 spotkań informacyjno-organizacyjnych, których celem będzie wdrożenie określonych innowacji. Przedstawiciele Ośrodka rozmawiali między innymi z: OHZ Osięciny, BIN, Czajkowski Uprawa Pasowa, Korycki TECHKor, Wichliński EUROCENTER, Agrolok, Team-Rol, Geofabryka, Lechpol, Grabowski, Walter i Modraszewski. </t>
    </r>
    <r>
      <rPr>
        <b/>
        <sz val="10"/>
        <color theme="1"/>
        <rFont val="Calibri"/>
        <family val="2"/>
        <charset val="238"/>
        <scheme val="minor"/>
      </rPr>
      <t>W 2017 r</t>
    </r>
    <r>
      <rPr>
        <sz val="10"/>
        <color theme="1"/>
        <rFont val="Calibri"/>
        <family val="2"/>
        <charset val="238"/>
        <scheme val="minor"/>
      </rPr>
      <t>. przeprowadzono rozmowy i nawiązano współpracę, odbyły się 24 spotkania informacyjno-organizacyjne, m.in. z : przedstawicielami UTP z Bydgoszczy, Wytwórnią Makaronu Babalscy, BIN Aleksandrów Kujawski, Czajkowski Uprawa Pasowa, P.W. Lechpol, przedstawicielami ITP Ośrodek Badawczy w Bydgoszczy, Gospodasrstwo sadownicze Aleksandra i Witold Szulc, Gospodarstwo sadownicze Jarosław Domasz, Gospodarstwo sadownicze Andrzej Głuszczyński, Eurocenter Fundusze Unijne - Wichliński, Gospodastwo sadownicze Wojciech Pluta, Gospodarstwo sadownicze Mariusz Kuta, przedstawicielem Collegium Medicum UMK Bydgoszcz, Restauracja Ostomecko, Zakłady Mięsne Kwiecińscy, Masarnia Władysławowo, Krajowe Zrzeszenie Producentów Rzepaku i Roślin Białkowych, właścieiele gospodarstw: Szczutowo, Kościerzyn Mały, Jędrzejewo, Rypin, Rzemienice, Przedsiębiorstwo Farmet, Agrobiznes Park.</t>
    </r>
  </si>
  <si>
    <r>
      <rPr>
        <b/>
        <sz val="10"/>
        <color theme="1"/>
        <rFont val="Calibri"/>
        <family val="2"/>
        <charset val="238"/>
        <scheme val="minor"/>
      </rPr>
      <t>W 2016 r</t>
    </r>
    <r>
      <rPr>
        <sz val="10"/>
        <color theme="1"/>
        <rFont val="Calibri"/>
        <family val="2"/>
        <scheme val="minor"/>
      </rPr>
      <t xml:space="preserve">. odbyło się 18 spotkań o charakterze szkoleniowym z rolnikami i przedstawicielami firm branży rolniczej, na których przedstawiono informację o znaczeniu innowacji w rolnictwie i na obszarach wiejskich. Inne - wizyta w Instytucie Technologiczno-Przyrodniczym Oddział w Poznaniu (16.03.2016 r.) w ramach planowanej współpracy, której celem było zapoznanie się z działalnością, bazą badawczą i ofertą związaną z odnawialnymi źródłami energii, które mogą być wykorzystane w gospodarstwach rolnych. </t>
    </r>
    <r>
      <rPr>
        <b/>
        <sz val="10"/>
        <color theme="1"/>
        <rFont val="Calibri"/>
        <family val="2"/>
        <charset val="238"/>
        <scheme val="minor"/>
      </rPr>
      <t>W 2017 r.</t>
    </r>
    <r>
      <rPr>
        <sz val="10"/>
        <color theme="1"/>
        <rFont val="Calibri"/>
        <family val="2"/>
        <scheme val="minor"/>
      </rPr>
      <t xml:space="preserve"> odbyły się 4 spotkania o charakterze szkoleniowym z rolnikami i przedstawiciwelami firm z branży rolniczej.</t>
    </r>
  </si>
  <si>
    <r>
      <rPr>
        <b/>
        <sz val="10"/>
        <color indexed="8"/>
        <rFont val="Calibri"/>
        <family val="2"/>
        <charset val="238"/>
      </rPr>
      <t>W 2016 r.</t>
    </r>
    <r>
      <rPr>
        <sz val="10"/>
        <color indexed="8"/>
        <rFont val="Calibri"/>
        <family val="2"/>
        <charset val="238"/>
      </rPr>
      <t xml:space="preserve"> wizycie w Instytucie Technologiczno-Przyrodniczym w Poznaniu (16 marca) w celu zapoznania się z działalnością tej jednostki, szczególnie w zakresie OZE uczestniczyłyo 4 pracowników Kujawsko-Pomorskiego Ośrodka Doradztwa Rolniczego w Minikowie. </t>
    </r>
  </si>
  <si>
    <t xml:space="preserve">Środki na funkcjonowanie i pochodne obejmujące: wynagrodzenia pracowników zajmujących się SIR, delegacje, koszty związane z wyjazdami służbowymi, szkoleniami. Koszty działań zamieszczonych w tabeli 2.1, 4.2 (dotyczące 2016 r.) oraz 3.,4., 6. mieszczą się w kosztach funkcjonowania. </t>
  </si>
  <si>
    <t>Budżet w PLN</t>
  </si>
  <si>
    <t>[Lubelski Ośrodek Doradztwa Rolniczego w Końskowoli]</t>
  </si>
  <si>
    <t>administrowanie zakładką SIR na stronie www.wodr.konskowola.pl  w ramach funcjonowania, brak możliwości sprawdzenia liczby unikalnych użytkowników strony</t>
  </si>
  <si>
    <t xml:space="preserve">inne - wyjazd szkoleniowo-studyjny </t>
  </si>
  <si>
    <t>liczba uczestników innych lub … - uczestnicy wyjazdu szkoleniowo-studyjnego
przedstawiciele innych grup interesariuszy - rolnicy</t>
  </si>
  <si>
    <t>Środki na funkcjonowanie obejmujące: wynagrodzenia pracowników, delegacje, administrowanie zakładką SIR na stronie WODR, szkolenie pracowników SIR, pozyskiwanie Partnerów, współpraca z jednostkami badawczymi</t>
  </si>
  <si>
    <t>Lubuski Ośrodek Doradztwa Rolniczego</t>
  </si>
  <si>
    <t>PO 2016-2017 zrealizowano 11 operacji w 2016 r., w tym: 1 operacja składała się z dwóch szkoleń; 1 operacja z 6 przedsiewzięć informacyjno-promocyjnych i aktywizacyjnych tj. stoiska. W I połowie 2017 r. na dzien 30.06.2017 r. została rozpoczeta realizacja  operacji dot. przediśewziecia informacyjno-promocyjnego w postaci stoisk i konkusów sieci na rzezc innowacji w województwie lubuskim.</t>
  </si>
  <si>
    <t>PO 2016-2017 w 2016 r. zrealizowano 11 operacji, w tym: 1 operacja składała się z dwóch szkoleń; 1 operacja z 6 przedsiewzięć informacyjno-promocyjnych i aktywizacyjnych tj. stoiska, dodatkowo:
- 10 dziesięciu laureatów konkursu wiedzy o innowacjach w rolnictwie i na obszarach wiejskich - Targi rolnicze Lubniewice (Glisno)
- 10 dziesięciu laureatów konkursu wiedzy o innowacjach w rolnictwie i na obszarach wiejskich - AGRO-TARG Kalsk
- 10 dziesięciu laureatów konkursu wiedzy o innowacjach w rolnictwie i na obszarach wiejskich - Jesień w Gliśnie (Glisno)
- 10 dziesięciu laureatów konkursu wiedzy o innowacjach w rolnictwie i na obszarach wiejskich - Kiermasz Ogrodniczy Kalsk
- 10 dziesięciu laureatów konkursu wiedzy o innowacjach w rolnictwie i na obszarach wiejskich - Lubuskie Forum Gospodarcze
- 10 dziesięciu laureatów konkursu wiedzy o innowacjach w rolnictwie i na obszarach wiejskich Dożynki Wojewódzkie oraz 9  szkoleń, wyjazdów studyjnych, konferencji w ramach działani 2 i 5. w 2017 po zmianie PO na lata 2016-2017 wprowadzono 7 nowych operacji, przejęto jedną operację partnera, który się wycofał z realizacji oraz dwie zakontraktowane przy pierwotnym PO.</t>
  </si>
  <si>
    <t>2016-2017 w 2016 r.
opublikowano 37 ogloszeń/ artykułów w Lubuskich Aktualnościach Rolniczych, zamieszczono 31 informacji internetowych. W 2017 r. opublikowano ogłoszenia nt. stoisk inforacyjno-promocyjnych w dwóch gazetach targowych, w czasopiśmie LODR oraz na www.lodr.pl</t>
  </si>
  <si>
    <t>W 2016
zorganizowano 6 konkursów wiedzy nt. innowacji w rolnictwie i na obszarach wiejskich w ramach operacji Stoiska inforacyjno-promocyjne nosnikiem informacji o innowacjach, zorganizane podczas imprez targowych. W 2017 dotychczas zrealizowano dwa stoiska w ramach PO 2016-2017 (operacja dotyczy 6 stoisk informacyno-romocyjnych) oraz jedno w ramach funkcjonowania sieci podczas warsztatów polowych 13 czerwca br.</t>
  </si>
  <si>
    <t>Koszty funkcjonowania obejmują: 
w 2014-2015                                       
1. Organizacja 2-ch spotkań informacyjno-szkoleniowych dla pracowników LODR               
2. Wynagrodzenia pracowników, którzy w ramach zadań:                           
-  prowadzą bieżącą wymianę informacji oraz konsultacje w/s SIR,             
- nawiązując współpracę z jednostkami naukowymi, instytutami i organizacjami,               
-promowali Sieć                                        
3. Wyjazdy służbowe - krajowe 
4. Adaptacja i doposażenie biur
2016-2017
koszty funkcjonowania: płace, wraz z pochodnymi, delegacje, paliwo, mat.biurowe, telefony</t>
  </si>
  <si>
    <t>Łódzki Ośrodek Doradztwa Rolniczego - SIR</t>
  </si>
  <si>
    <t xml:space="preserve">Rok 2016
I) Zasięg lokalny/regionalny – Operacje:
1) Stoiska informacyjne „Przykłady  i promocja  Sieci na rzecz innowacji w rolnictwie i na obszarach wiejskich”:
• XXVI Targi Rolniczo-Ogrodnicze w Kościerzynie.
• Targi Rolne „W Sercu Polski” XXIII Wojewódzka Wystawa Zwierząt Hodowlanych. 
• XXV Promocyjno-Handlowa Wystawa Rolnicza ROL–SZANSA 2016.
• Dożynki wojewódzkie
2) Stoiska targowe w ramach funkcjonowania:
• XXIV Targi Rolne AGROTECHNIKA
II) Zasięg krajowy: 
1) Stoiska targowe w ramach funkcjonowania:
• XXIII Krajowe Dni Ziemniaka - Kościerzyński Dzień Ziemniaka
Rok 2017
I) Zasięg lokalny/regionalny – Operacje:
1) Stoisko informacyjne „Przykłady  i promocja  Sieci na rzecz innowacji w rolnictwie i na obszarach wiejskich”
• XXVII Targi Rolniczo-Ogrodnicze w Kościerzynie
• Targi Rolne „W Sercu Polski” XXIV Wojewódzka Wystawa Zwierząt Hodowlanych
2) Stoiska targowe w ramach funkcjonowania:
• XXV Targi Rolne AGROTECHNIKA
II) Zasięg międzynarodowy:
1) Stoiska targowe w ramach funkcjonowania:
• XVII Międzynarodowe Targi Ferma Bydła i XX Międzynarodowe Targi Ferma Świń i Drobiu
</t>
  </si>
  <si>
    <t xml:space="preserve">Rok 2016
I) Zasięg lokalny/regionalny – Operacje:
1) Stoiska informacyjne „Przykłady  i promocja  Sieci na rzecz innowacji w rolnictwie i na obszarach wiejskich”:
• XXVI Targi Rolniczo-Ogrodnicze w Kościerzynie. – 13 000 odwiedzających
• Targi Rolne „W Sercu Polski” XXIII Wojewódzka Wystawa Zwierząt Hodowlanych.  – 13000 odwiedzających
• XXV Promocyjno-Handlowa Wystawa Rolnicza ROL–SZANSA 2016. – 12000 odwiedzających
• Dożynki wojewódzkie
2) Stoiska targowe w ramach funkcjonowania:
• XXIV Targi Rolne AGROTECHNIKA – 12000 odwiedzających
II) Zasięg krajowy: 
1) Stoiska targowe w ramach funkcjonowania:
• XXIII Krajowe Dni Ziemniaka - Kościerzyński Dzień Ziemniaka – 15000 odwiedzających 
Rok 2017
I) Zasięg lokalny/regionalny – Operacje:
1) Stoisko informacyjne „Przykłady  i promocja  Sieci na rzecz innowacji w rolnictwie i na obszarach wiejskich”
• XXVII Targi Rolniczo-Ogrodnicze w Kościerzynie – 11000 odwiedzających 
• Targi Rolne „W Sercu Polski” XXIV Wojewódzka Wystawa Zwierząt Hodowlanych. – 12000 odwiedzających 
2) Stoiska targowe w ramach funkcjonowania:
• XXV Targi Rolne AGROTECHNIKA – 10000 odwiedzających 
II) Zasięg międzynarodowy:
1) Stoiska targowe w ramach funkcjonowania:
• XVII Międzynarodowe Targi Ferma Bydła i XX Międzynarodowe Targi Ferma Świń i Drobiu – 31000 odwiedzających (źródło:  http://targiferma.com.pl/pl/start/)
</t>
  </si>
  <si>
    <t>brak statystyk wejść na zakładkę SIR na stronie ŁODR</t>
  </si>
  <si>
    <t xml:space="preserve">Rok 2016
33 artykuły, relację, ogłoszenia umieszczone na stronie internetowej ŁODR w zakładce SIR
10 artykułów, informacji targowych, ogłoszeń itp. w lokalnych gazetach, miesięczniku ŁODR „RADA”, gazetkach targowych.
Rok 2017
20 artykuły, relację, ogłoszenia umieszczone na stronie internetowej ŁODR w zakładce SIR
6 artykułów, informacji targowych, ogłoszeń itp. w lokalnych gazetach, miesięczniku ŁODR „RADA”, gazetkach targowych.
</t>
  </si>
  <si>
    <t xml:space="preserve">Rok 2017 
Udział pracownika SIR w programie telewizyjnym na żywo TVP3 "Łodzią po regionie"
</t>
  </si>
  <si>
    <t xml:space="preserve">Rok 2016
I) Zasięg lokalny/regionalny – Operacje:
1) „Owady zapylające – szansą na przetrwanie rolnictwa” część I – składa się z 2 dniowego szkolenia i    2 dniowego wyjazdu studyjnego
2) „Innowacyjność w rolnictwie – szansą na rozwój”
3) „Innowacyjne technologie w przetwórstwie owocowo-warzywnym”
4) „Innowacyjny system utrzymania klimatu w budynkach inwentarskich”
5) Spotkania i szkolenia przeprowadzone w ramach operacji „Działania informacyjno-aktywizujące brokera innowacji formą identyfikacji problemów w rolnictwie, mogących stanowić podstawę do powstawania innowacyjnych grup operacyjnych” oraz w ramach funkcjonowania – 53 spotkania 
Rok 2017
1) Spotkania i szkolenia przeprowadzone w ramach operacji „Działania informacyjno-aktywizujące brokera innowacji formą identyfikacji problemów w rolnictwie, mogących stanowić podstawę do powstawania innowacyjnych grup operacyjnych” oraz w ramach funkcjonowania – 29 spotkań
</t>
  </si>
  <si>
    <t xml:space="preserve">Rok 2016
II) Zasięg lokalny/regionalny – Operacje:
1) „Owady zapylające – szansą na przetrwanie rolnictwa” część I – 54 uczestników
2) „Innowacyjność w rolnictwie – szansą na rozwój” – 49 uczestników 
3) „Innowacyjne technologie w przetwórstwie owocowo-warzywnym” – 48 uczestników
4) „Innowacyjny system utrzymania klimatu w budynkach inwentarskich” – 50 uczestników
5) Spotkania i szkolenia przeprowadzone w ramach operacji „Działania informacyjno-aktywizujące brokera innowacji formą identyfikacji problemów w rolnictwie, mogących stanowić podstawę do powstawania innowacyjnych grup operacyjnych” oraz w ramach funkcjonowania – 436 uczestników 
Rok 2017
1)  Spotkania i szkolenia przeprowadzone w ramach operacji „Działania informacyjno-aktywizujące brokera innowacji formą identyfikacji problemów w rolnictwie, mogących stanowić podstawę do powstawania innowacyjnych grup operacyjnych” oraz w ramach funkcjonowania – 268 uczestników
</t>
  </si>
  <si>
    <t>rolnicy, hodowcy, plantatorzy, przedsiębiorcy, weterynarze, pracownicy instytutów naukowych i uczelni itp..</t>
  </si>
  <si>
    <t>Wynagrodzenia pracownikiów wraz z kosztami pracodawcy; Materiały, energia, remont, sprzątanie pomieszczeń, usł. telekomunikacyjne, podróże służbowe, ZFŚS</t>
  </si>
  <si>
    <t>Małopolski Ośrodek Doradztwa Rolniczego w Karniowicach</t>
  </si>
  <si>
    <t xml:space="preserve">Strona internetowa Małopolskiego Ośrodka Doradztwa Rolniczego w Karniowicach  nie posiada w chwili obecnej funkcjonalności pozwalającej na analizowanie szczegółowych statystyk odwiedzin, stąd niemożliwe jest określenie liczby wejść na podstronę SIR.  </t>
  </si>
  <si>
    <t>W ramach przedstawicieli innych grup interesariuszy uwzględniono w szczególności  rolników.</t>
  </si>
  <si>
    <t>Koszty funkcjonowania obejmowały wynagrodzenia pracowników biura SIR wraz z pochodnymi oraz koszty przejazdów.</t>
  </si>
  <si>
    <t>Mazowiecki Ośrodek Doradztwa Rolniczego</t>
  </si>
  <si>
    <t xml:space="preserve"> 2016: 1.Mazowieckie Dni Rolnictwa w Płońsku - impreza o zasięgu krajowym, której MODR jest organizatorem. Podczas  Mazowieckich Dni Rolnictwa  
zorganizowano punkt konsultacyjny dla Instytutów na temat innowacji.  W 2017 - stoisko promocyjne SIR                            2. Stoisko promocyjne SIR podczas Międzynarodowych Dni z Doradztwem w Siedlcach</t>
  </si>
  <si>
    <t xml:space="preserve"> 2016-2017: 1. XVII Mazowieckie Dni Rolnictwa w Płońsku - impreza o zasięgu krajowym, zgromadziła ponad 430 wystawców oraz ok. 60 tys. odwiedzających. Punkt konsultacyjny odwiedziło ok. 100 osób (oszacowano na podstawie rozdanych ulotek SIR).                                                      2. 2016 - XXIII Międzynarodowe Dni z Doradztwem w Siedlcach - impreza o zasięgu krajowym- ok. 100 tys. odwiedzających. Rozdano 150 ulotek dlatego liczbę osób odzwiedzających stoisko oszacowano na tej podstawie.</t>
  </si>
  <si>
    <t>zakładka SIR na stronie internetowej www.modr.mazowsze.pl</t>
  </si>
  <si>
    <t xml:space="preserve"> </t>
  </si>
  <si>
    <t xml:space="preserve"> INNE - 1. "Możliwości utylizacji odpadów organicznych, poprawy plonowania i właściwości gleb przez zastosowanie biowęgla" - organizator, 1 konferencja dla 50 osób  2. Perspektywy kreowania korytarzy ekologicznych w skali lokalnej z korzyścią dla przyrody i rolnika -organizator -  1 spotkanie dla 50 osób 3. Konferecja "Utworzenie Mazowieckiego Parku Naukowo Technologicznego Poświętne w Płońsku" 4. "Nauka praktyce w obszarze innowacyjnych technologii rolniczych w kształtowaniu i ochronie środowiska" 3 konferencje</t>
  </si>
  <si>
    <t>1. "Możliwości utylizacji odpadów organicznych, poprawy plonowania i właściwości gleb przez zastosowanie biowęgla" -      1 konferencja dla 50 osób      2. 3 konferencje w ramach operacji "Nauka praktyce w kształtoaniu i ochronie środowiska"                                                 3. Perspektywy kreowania korytarzy ekologicznych w skali lokalnej z korzyścią dla przyrody i rolnika - 1 spotkanie dla 50 osób                     4. Konferencja w ramach operacji "Utworzenie Mazowieckiego PArku Naukowo Technologicznego Poświętne w Płońsku"     Gruęa innych interesariuszy stanowią rolnicy/mieszkańcy obszarów wiejskich/przetwórcy/     producenci rolni</t>
  </si>
  <si>
    <t>Wydarzenia z tab. 1 były organizowane przy okazji dużych imprez MODR i na ich organizację nie wykorzystywano środków SIR. Strona internetowa - zakładka SIR funkcjonuje w ramach strony www.modr.mazowsze.pl i nie generuje kosztów.  2016 - utrzymanie 1 etatu koordynatora (2 osoby po 50%); 2017 - od stycznia 1 etat koordynator, od lutego 50% etatu broker innowacji</t>
  </si>
  <si>
    <t>Opolski Ośrodek Doradztwa Rolniczego w Łosiowie</t>
  </si>
  <si>
    <r>
      <rPr>
        <b/>
        <sz val="10"/>
        <color indexed="8"/>
        <rFont val="Calibri"/>
        <family val="2"/>
        <charset val="238"/>
      </rPr>
      <t>ROK 2016</t>
    </r>
    <r>
      <rPr>
        <sz val="10"/>
        <color indexed="8"/>
        <rFont val="Calibri"/>
        <family val="2"/>
        <charset val="238"/>
      </rPr>
      <t xml:space="preserve"> Operacja 1 pn.:"Sieć na rzecz innowacji w rolnictwie i na obszarach wiejskich dla województwa opolskiego", obejmująca 1 konferencję (maj) i 6 spotkań informacyjno-szkoleniowych (październik)-P1; Operacja 2 pn.:"Forum Agro Inwestor OZE - dobre przykłady wdrażania innowacji. Gospodarka niskoemisyjna w rolnictwie", obejmująca 1 forum (maj)-P1,P5; Operacja 3 pn.:"Konferencja promująca innowacyjność i dobre praktyki w gospodarstwach rolnych, przedsiębiorstwach przetwórstwa rolno-spożywczego i usług rolniczych biorących udział w konkursie AgroLiga 2016", obejmująca 1 konferencję (czerwiec)-P1,P2; Operacja 4 pn."W przyjaźni z naturą", obejmująca 11 warsztatów (wrzesień-październik), 1 konferencję (listopad), 1 katalog (listopad) -P1,P5; Operacja 5 pn."Zrozumieć innowacje w rolnictwie i na obszarach wiejskich – ponadregionalna wymiana doświadczeń w zakresie funkcjonowania SIR na przykładzie działań tworzenia sieci kontaktów i wdrażania innowacji na obszarach wiejskich", obejmująca 1 warsztat (listopad)-P1; Operacja 6 pn.:"Przedsiębiorczość na obszarach wiejskich – innowacyjność organizacyjna i marketingowa”,obejmująca 1 warsztat-P1,P2; współorganizacja wydarzeń krajowych: Urząd Marszałkowski Województwa Opolskiego,Politechnika Opolska, Uniwersytet Ekonomiczny we Wrocławiu, Uniwersytet Opolski </t>
    </r>
    <r>
      <rPr>
        <b/>
        <sz val="10"/>
        <color indexed="8"/>
        <rFont val="Calibri"/>
        <family val="2"/>
        <charset val="238"/>
      </rPr>
      <t xml:space="preserve">ROK 2017 </t>
    </r>
    <r>
      <rPr>
        <sz val="10"/>
        <color indexed="8"/>
        <rFont val="Calibri"/>
        <family val="2"/>
        <charset val="238"/>
      </rPr>
      <t>planowane 2 operacje</t>
    </r>
  </si>
  <si>
    <r>
      <rPr>
        <b/>
        <sz val="10"/>
        <color indexed="8"/>
        <rFont val="Calibri"/>
        <family val="2"/>
        <charset val="238"/>
      </rPr>
      <t>ROK 2016</t>
    </r>
    <r>
      <rPr>
        <sz val="10"/>
        <color indexed="8"/>
        <rFont val="Calibri"/>
        <family val="2"/>
        <charset val="238"/>
      </rPr>
      <t xml:space="preserve"> liczba uczestników Operacja 1 pn.:"Sieć na rzecz innowacji w rolnictwie i na obszarach wiejskich dla województwa opolskiego"-320 osób, w tym: konferencja 80 osób, 6 szkoleń 240 osób; liczba uczestników Operacja 2 pn.:"Forum Agro Inwestor OZE - dobre przykłady wdrażania innowacji. Gospodarka niskoemisyjna w rolnictwie": 80 osób; liczba uczestników Operacja 3 pn.:"Konferencja promująca innowacyjność i dobre praktyki w gospodarstwach rolnych, przedsiębiorstwach przetwórstwa rolno-spożywczego i usług rolniczych biorących udział w konkursie AgroLiga 2016"-100 osób; liczba uczestników Operacja 4 pn.:"W przyjaźni z naturą"- 168 osób, w tym: konferencja 80 osób, 11 warsztatów 88 osób; liczba uczestników Operacja 5 pn.:"Zrozumieć innowacje w rolnictwie i na obszarach wiejskich – ponadregionalna wymiana doświadczeń w zakresie funkcjonowania SIR na przykładzie działań tworzenia sieci kontaktów i wdrażania innowacji na obszarach wiejskich"-25 osób; liczba uczestników Operacja 6 pn.:"Przedsiębiorczość na obszarach wiejskich-innowacyjność organizacyjna i marketingowa"-35 osób</t>
    </r>
  </si>
  <si>
    <r>
      <rPr>
        <b/>
        <sz val="10"/>
        <color indexed="8"/>
        <rFont val="Calibri"/>
        <family val="2"/>
        <charset val="238"/>
      </rPr>
      <t>ROK 2016</t>
    </r>
    <r>
      <rPr>
        <sz val="10"/>
        <color indexed="8"/>
        <rFont val="Calibri"/>
        <family val="2"/>
        <charset val="238"/>
      </rPr>
      <t xml:space="preserve"> całkowita liczba wizyt na stronie oodr.pl z zakładką SIR od dnia 01.01.2016 r. do dnia 31.12.2016 r. </t>
    </r>
    <r>
      <rPr>
        <b/>
        <sz val="10"/>
        <color indexed="8"/>
        <rFont val="Calibri"/>
        <family val="2"/>
        <charset val="238"/>
      </rPr>
      <t>ROK 2017</t>
    </r>
    <r>
      <rPr>
        <sz val="10"/>
        <color indexed="8"/>
        <rFont val="Calibri"/>
        <family val="2"/>
        <charset val="238"/>
      </rPr>
      <t xml:space="preserve"> Statystyki strony www.sir.oodr.pl od dnia 01.01.2017 r. do dnia 30.06.2017 r.</t>
    </r>
  </si>
  <si>
    <r>
      <rPr>
        <b/>
        <sz val="10"/>
        <color theme="1"/>
        <rFont val="Calibri"/>
        <family val="2"/>
        <charset val="238"/>
        <scheme val="minor"/>
      </rPr>
      <t xml:space="preserve">ROK 2015 </t>
    </r>
    <r>
      <rPr>
        <sz val="10"/>
        <color theme="1"/>
        <rFont val="Calibri"/>
        <family val="2"/>
        <charset val="238"/>
        <scheme val="minor"/>
      </rPr>
      <t>łączna liczba publikacji: 1 publikacja w ramach jednej operacji, tj. Operacja 1 pn.:"Wydanie czasopisma pt.:Dialog Energetyczny-Platforma energetyki konwencjonalnej i odnawialnej"-P1-czasopismo w nakładzie 2000 sztuk</t>
    </r>
    <r>
      <rPr>
        <b/>
        <sz val="10"/>
        <color theme="1"/>
        <rFont val="Calibri"/>
        <family val="2"/>
        <charset val="238"/>
        <scheme val="minor"/>
      </rPr>
      <t xml:space="preserve">; </t>
    </r>
    <r>
      <rPr>
        <sz val="10"/>
        <color theme="1"/>
        <rFont val="Calibri"/>
        <family val="2"/>
        <charset val="238"/>
        <scheme val="minor"/>
      </rPr>
      <t>1 ulotka informacyjna w ramach Opercji 1 pn.:"Spotkania informacyjno-szkoleniowe z zakresu tworzenia Sieci na rzecz innowacji w rolnictwie i na obszarach wiejskich, jako przykład innowacyjnego podejścia na rzecz rolnictwa i  rozwoju obszarów wiejskich województwa opolskiego"-P1-ulotka w nakładzie 5000 sztuk</t>
    </r>
    <r>
      <rPr>
        <b/>
        <sz val="10"/>
        <color theme="1"/>
        <rFont val="Calibri"/>
        <family val="2"/>
        <charset val="238"/>
        <scheme val="minor"/>
      </rPr>
      <t xml:space="preserve">; ROK 2016 </t>
    </r>
    <r>
      <rPr>
        <sz val="10"/>
        <color theme="1"/>
        <rFont val="Calibri"/>
        <family val="2"/>
        <charset val="238"/>
        <scheme val="minor"/>
      </rPr>
      <t xml:space="preserve">łączna liczba publikacji: 2 publikacje w ramach dwóch operacji ,tj. Operacja 1 pn.:"Konferencja promująca innowacyjność i dobre praktyki w gospodarstwach rolnych, przedsiębiorstwach przetwórstwa rolno-spożywczego i usług rolniczych biorących udział w konkursie AgroLiga 2016"- P1,P2-katalog w nakładzie 120 sztuk; Operacja 2 pn.:"W przyjaźni z naturą"-P1,P5-katalog w nakładzie 500 sztuk </t>
    </r>
    <r>
      <rPr>
        <b/>
        <sz val="10"/>
        <color theme="1"/>
        <rFont val="Calibri"/>
        <family val="2"/>
        <charset val="238"/>
        <scheme val="minor"/>
      </rPr>
      <t>ROK 2017</t>
    </r>
    <r>
      <rPr>
        <sz val="10"/>
        <color theme="1"/>
        <rFont val="Calibri"/>
        <family val="2"/>
        <charset val="238"/>
        <scheme val="minor"/>
      </rPr>
      <t xml:space="preserve"> planowana 1 publikacja, dodatkowo publikacja 9 artykułów o tematyce innowacji w rolnictwie (bez ponoszenia kosztów) </t>
    </r>
  </si>
  <si>
    <r>
      <rPr>
        <b/>
        <sz val="10"/>
        <color indexed="8"/>
        <rFont val="Calibri"/>
        <family val="2"/>
        <charset val="238"/>
      </rPr>
      <t>ROK 2016</t>
    </r>
    <r>
      <rPr>
        <sz val="10"/>
        <color indexed="8"/>
        <rFont val="Calibri"/>
        <family val="2"/>
        <charset val="238"/>
      </rPr>
      <t xml:space="preserve"> 2 filmy-P1,P2; 1 konkurs-P1,P5; 2 spoty radiowe-P1,P5; 2 ogłoszenia w prasie-P1,P5;1 ogłoszenie na portalu internetowym-P1,P5; 3 zaproszenia dla uczestników wydarzeń-P1,P2,P5</t>
    </r>
  </si>
  <si>
    <r>
      <rPr>
        <b/>
        <sz val="10"/>
        <color theme="1"/>
        <rFont val="Calibri"/>
        <family val="2"/>
        <charset val="238"/>
        <scheme val="minor"/>
      </rPr>
      <t>ROK 2015</t>
    </r>
    <r>
      <rPr>
        <sz val="10"/>
        <color theme="1"/>
        <rFont val="Calibri"/>
        <family val="2"/>
        <scheme val="minor"/>
      </rPr>
      <t xml:space="preserve"> całkowita liczba spotkań informacyjno-szkoleniowych w ramach Operacji 1 pn.:"Spotkania informacyjno-szkoleniowe z zakresu tworzenia Sieci na rzecz innowacji w rolnictwie i na obszarach wiejskich, jako przykład innowacyjnego podejścia na rzecz rolnictwa i  rozwoju obszarów wiejskich województwa opolskiego"-4 spotkania; </t>
    </r>
    <r>
      <rPr>
        <b/>
        <sz val="10"/>
        <color theme="1"/>
        <rFont val="Calibri"/>
        <family val="2"/>
        <charset val="238"/>
        <scheme val="minor"/>
      </rPr>
      <t>ROK 2016</t>
    </r>
    <r>
      <rPr>
        <sz val="10"/>
        <color theme="1"/>
        <rFont val="Calibri"/>
        <family val="2"/>
        <scheme val="minor"/>
      </rPr>
      <t xml:space="preserve"> całkowita liczb szkoleń/warsztatów w ramach Operacji-19, w tym: 6 szkoleń w ramach Operacji 1 pn.:"Konferencja i spotkania informacyjno-szkoleniowe pt.:Sieć na rzecz innowacji w rolnictwie i na obszarach wiejskich dla województwa opolskiego", 11 warsztatów w ramach Operacji 2 pn.:"Organizacja zadania pt.:W przyjaźni z naturą, obejmującego konferencję, konkursy i warsztaty, promującego innowacyjne rozwiązania w gospodarstwach rolnych", 1 warsztat w ramach Operacji 3 pn.:"Zrozumieć innowacje w rolnictwie i na obszarach wiejskich – ponadregionalna wymiana doświadczeń w zakresie funkcjonowania SIR na przykładzie działań tworzenia sieci kontaktów i wdrażania innowacji na obszarach wiejskich", 1 warsztat w ramach Operacji 4 pn.:"Szkolenie w formie warsztatów pt.:Przedsiębiorczość na obszarach wiejskich – innowacyjność organizacyjna i marketingowa” </t>
    </r>
    <r>
      <rPr>
        <b/>
        <sz val="10"/>
        <color theme="1"/>
        <rFont val="Calibri"/>
        <family val="2"/>
        <charset val="238"/>
        <scheme val="minor"/>
      </rPr>
      <t>ROK 2017</t>
    </r>
    <r>
      <rPr>
        <sz val="10"/>
        <color theme="1"/>
        <rFont val="Calibri"/>
        <family val="2"/>
        <scheme val="minor"/>
      </rPr>
      <t xml:space="preserve"> przeprowadzenie spotkań informacyjno-szkoleniowych dot. działania Współpraca i tworzenia grup operacyjnych oraz informowania o SIR wraz z promocją - 50 spotkań (bez ponoszenia kosztów)</t>
    </r>
  </si>
  <si>
    <r>
      <t xml:space="preserve">ROK 2015 </t>
    </r>
    <r>
      <rPr>
        <sz val="10"/>
        <color indexed="8"/>
        <rFont val="Calibri"/>
        <family val="2"/>
        <charset val="238"/>
      </rPr>
      <t xml:space="preserve">łączna liczba uczestników 4 spotkań w ramach Operacji 1 pn.:"Spotkania informacyjno-szkoleniowe z zakresu tworzenia Sieci na rzecz innowacji w rolnictwie i na obszarach wiejskich, jako przykład innowacyjnego podejścia na rzecz rolnictwa i  rozwoju obszarów wiejskich województwa opolskiego"-80 osób, w tym: przedstawiciele uczelni wyższych, studenci, rolnicy; </t>
    </r>
    <r>
      <rPr>
        <b/>
        <sz val="10"/>
        <color indexed="8"/>
        <rFont val="Calibri"/>
        <family val="2"/>
        <charset val="238"/>
      </rPr>
      <t>ROK 2016</t>
    </r>
    <r>
      <rPr>
        <sz val="10"/>
        <color indexed="8"/>
        <rFont val="Calibri"/>
        <family val="2"/>
        <charset val="238"/>
      </rPr>
      <t xml:space="preserve"> łączna liczba uczestników szkoleń/warsztatów w ramach czterech Operacji-388 osób, w tym: 6 szkoleń w ramach Operacji 1 pn.:"Konferencja i spotkania informacyjno-szkoleniowe pt.:Sieć na rzecz innowacji w rolnictwie i na obszarach wiejskich dla województwa opolskiego"-240 osób, 11 warsztatów w ramach Operacji 2 pn.:"Organizacja zadania pt.:W przyjaźni z naturą, obejmującego konferencję, konkursy i warsztaty, promującego innowacyjne rozwiązania w gospodarstwach rolnych"-88 osób, 1 warsztat w ramach Operacji 3 pn.:"Zrozumieć innowacje w rolnictwie i na obszarach wiejskich – ponadregionalna wymiana doświadczeń w zakresie funkcjonowania SIR na przykładzie działań tworzenia sieci kontaktów i wdrażania innowacji na obszarach wiejskich"-25 osób, 1 warsztat w ramach Operacji 4 pn.:"Szkolenie w formie warsztatów pt.:Przedsiębiorczość na obszarach wiejskich – innowacyjność organizacyjna i marketingowa”-35 osób </t>
    </r>
    <r>
      <rPr>
        <b/>
        <sz val="10"/>
        <color indexed="8"/>
        <rFont val="Calibri"/>
        <family val="2"/>
        <charset val="238"/>
      </rPr>
      <t>ROK 2017</t>
    </r>
    <r>
      <rPr>
        <sz val="10"/>
        <color indexed="8"/>
        <rFont val="Calibri"/>
        <family val="2"/>
        <charset val="238"/>
      </rPr>
      <t xml:space="preserve"> liczba uczestników spotkań informacyjno-szkoleniowych związanych z działaniem Współpraca i tworzeniem grup operacyjnych oraz informowania o SIR wraz z promocją (bez ponoszenia kosztów) - 1308 osób</t>
    </r>
  </si>
  <si>
    <t>inne działania - funkcjonowanie SIR w okresach: 01.01-31.12.2016 r. oraz 01.01.-30.06.2017 r., w tym: koszty delegacji, wynagrodzenia pracowników, inne koszty rodzajowe w ramach wydatków bieżących</t>
  </si>
  <si>
    <t>PODKARPACKI OŚRODEK DORADZTWA ROLNICZEGO</t>
  </si>
  <si>
    <r>
      <t>Komentarze</t>
    </r>
    <r>
      <rPr>
        <sz val="12"/>
        <color indexed="8"/>
        <rFont val="Calibri"/>
        <family val="2"/>
      </rPr>
      <t xml:space="preserve"> 
(proszę wskazać co jest rozumiane przez kategorię "inne")</t>
    </r>
  </si>
  <si>
    <t xml:space="preserve">
Rok 2016 
1 . konferencje- 5
2..udział w targach i innych imprezach promocyjnych- 6 -2016 
3.spotkania informacyjne dot. tematyki ,, Odnawialne Źródła Energii jako alternatywne rozwiązania stosowane w rolnictwie, leśnictwie i przetwórstwie '' - 21  
 Rok 2017 
 1.  spotkanie informacyjne partnerów KSOW  dot. realizacji operacji w ramach Planu operacyjnego KSOW 2016-2017   - 1  
 2. udział w dwudniowych targachDni Otwartych Drzwi Podkarpackiego Ośrodek Doradztwa Rolniczego w Boguchwale oraz XIX Regionalnej Wystawy    Zwierząt Hodowlanych - Boguchwała 2017,-( w ktorych uczestniczylo ok. 30 000 osób) -   1 
3.konferencja dot.  Profilaktyka zdrowia podczas którego przedstawiona została tematyka związana z działalnoscią SIR i działaniem ,, Współpraca''  - 1 
4.szkolenie dot. płatności obszarowych podczas którego przedstawiona została tematyka związana z działalnoscią SIR: zasady funkcjonowania, cele, roli PODR (w zakresie SIR) - 1 5.konferencja dot. rolniczego handlu detalicznego  podczas której przedstawiona została tematyka związana z działalnoscią SIR: zasady funkcjonowania, cele, roli PODR (w zakresie SIR oraz działania ,,Współpraca'' - 1 
6. konferencja dot. profilaktyki prozdrowotnej   podczas której przedstawiona została tematyka związana z działalnoscią SIR: zasady funkcjonowania, cele, roli PODR (w zakresie SIR oraz działania ,,Współpraca'' w ramach PROW 2014-2020 - 1 
7. konferencja ,, Innowacyjne metody w chowie bydła mlecznego i mięsnego zmierzające do produkcji wysokiej jakości markowego mleka i mięsa,,  
Uczestnikami wszystkich wydarzeń byli rolnicy, leśnicy ,  przedsiębiorcy, doradcy , przedstawiciele instytucji rolniczych i okłorolniczych. 
</t>
  </si>
  <si>
    <t xml:space="preserve">
Rok 2016 
- spotkania informacyjne dot. tematyki ,, Odnawialne Źródła Energii jako alternatywne rozwiązania stosowane w rolnictwie, leśnictwie i przetwórstwie '' 1 szt  - 315 osób  - 2016
ROK 2017
 1.spotkanie informacyjne partnerów KSOW  dot. realizacji operacji w ramach Planu operacyjnego KSOW 2016-2017   - 19 uczestników
  2.udział w dwudniowych targachDni Otwartych Drzwi Podkarpackiego Ośrodek Doradztwa Rolniczego w Boguchwale oraz XIX Regionalnej Wystawy    Zwierząt Hodowlanych - Boguchwała ( w ktorych uczestniczylo ok. 30 000 osób) 
3.konferencja dot.  Profilaktyka zdrowia podczas którego przedstawiona została tematyka związana z działalnoscią SIR i działaniem ,, Współpraca''  - 72 uczestników 
4.szkolenie dot. płatności obszarowych podczas którego przedstawiona została tematyka związana z działalnoscią SIR: zasady funkcjonowania, cele, roli PODR (w zakresie SIR) - 117uczestników
 5.  konferencja dot. rolniczego handlu detalicznego  podczas której przedstawiona została tematyka związana z działalnoscią SIR: zasady funkcjonowania, cele, roli PODR (w zakresie SIR oraz działania ,,Współpraca'' - 74 uczestników 
6. konferencja dot. profilaktyki prozdrowotnej   podczas której przedstawiona została tematyka związana z działalnoscią SIR: zasady funkcjonowania, cele, roli PODR (w zakresie SIR oraz działania ,,Współpraca'' w ramach PROW 2014-2020 -  60 uczestników 
7. konferencja ,, Innowacyjne metody w chowie bydła mlecznego i mięsnego zmierzające do produkcji wysokiej jakości markowego mleka i mięsa,, - 80 uczestników   
</t>
  </si>
  <si>
    <t>dane zostały podane na podstawie statystyk panelu strony w systemie CMS</t>
  </si>
  <si>
    <t xml:space="preserve">
1.opracowano ulotki informacyjną dot. funkcjonowania SIR i rozpropagowano w ilosci - 3 szt nakład 400 szt. - 2016
2. Opracownie ulotki informacyjnej 1 szt - 50 szt - 2016
3. opracowanie uotki informacyjnej dot działania ,, Współpraca''  - 1 szt - naklad 200 szt - 2017</t>
  </si>
  <si>
    <r>
      <t>Komentarze</t>
    </r>
    <r>
      <rPr>
        <sz val="11"/>
        <color indexed="8"/>
        <rFont val="Calibri"/>
        <family val="2"/>
      </rPr>
      <t xml:space="preserve"> 
(proszę wskazać co jest rozumiane przez kategorię "inne")</t>
    </r>
  </si>
  <si>
    <t xml:space="preserve">
2016
1. konsultacje z Prorektorem  ds.. Rozwoju i Polityki Finansowej dot. wdrażania działania ,,Współpraca'' - 1 - 2016
2. konsultacje z pracownikiem naukowym Uniwersytetu Rzeszowskigo  dot. wdrażania działania  ,,Współpracy'' . Przedmiotem rozmów było urocomienie produkcji  nowej generacji ulepszaczy glebowych na bazie grupy operacyjnej  składajacej sie z producentow rolnych, przedsiebiorców i strony naukowej  i doradczej.-1 - 2016
3.konsultacje z przedstawicielem  Małopolskiego Centrum  biotechniki sp. zo.o w Krasnem  dotyczące aplikacji w ramach działania ,, Współprca ''.  Tematem spotkania było wdrożenie  krzyżówki  bydła mięsnego na terenie Podkarpacia  o wysokich parametrach mięsnych i mlecznych . - 1 - 2016 
01-06. 2017  
1. konsultacje z partnerami KSOW ws. tworzenia grup operacyjnych - 1 szt - 6 uczestników - 2017 
2. konsultacje z potencjalnymi członkami grupy operacyjnej - 1 szt - 5 uczestników 
3. robocze spotkanie potencjalnej grupy operacyjnej dot. innowacyjnego chowu królików, omowienie zasad przyznawania pomocy działania ,,wspólpraca '' w ramach PROW 2014-2020 - 1  - 8 uczestników 
4. robocze spotkanie potencjalnych członków grupy operacyjnej omówienie zasad przyznawania pomocy działania ,,Wspólpraca '' w ramach PROW 2014-2020 - 1 - 3 uczestników 
</t>
  </si>
  <si>
    <t xml:space="preserve">2016
1.. Liczba spotkań aktywizujących potencjalnych partnerów   - 6
01-06. 2017  
- spotkania informacyjne  w celu tworzenia grupy operacyjnej , której potencjalnymi członkami mają zostać :
1.  Małopolskie Centrum  Biotechniki sp. zo.o w Krasnem -  zainteresowane  aplikacąi w ramach działania ,, Współprca ''.  Tematem spotkania było wdrożenie  krzyżówki  bydła mięsnego na terenie Podkarpacia  o wysokich parametrach mięsnych i mlecznych ora aspekty ekonomiczne tego rozwiązania   -    2
2. Zaklad Doświadczalny Instytutu Zootechniki PIB z Odrzechowej - zainteresowane  aplikacąi w ramach działania ,, Współprca ''. - temat -  Wpływ nawożenia pofermentem z biogazowni  na wzrost kukurydzy  i uzytków zielonych  stosując go bezpośrednio  poprzez rozlewania za pomoca nawożenia kropelkowego    - 1 
3.rolnik indywidualny - pszczelarz zainteresowany  aplikacą w ramach działania ,, Współprca ''.-Temat - Wprowadzenie nowego produktu na rynek w postaci miodu skrzypowego - 1 
4. Sotkanie z przedstawicielami potencjalnych członków grupy operacyjnej (w zakresie hodowli królików) przy współudziale Urzędu Wojewódzkiego  zainteresowanych aplikacą w ramach działania ,, Współprca ''.  Uczestnikami spotkania byli:  przedstawiciele Zakładu Doświadczalnego Instytutu Zootechniki PIB Chorzelów Sp. z o, przedstawiciel Urzędu Wojewódzkiego , przedstawiciel Urzędu Marszałkowskiego, przedstawiciel CDR Kraków, przedstawiciel ARiMR, przedstawiciel PODR Boguchwała    - 1 
5.spotkanie informacyjne z potencjalnymi członkami grupy operacyjnej zainteresowanych  aplikacją dzialania ,,Współpraca'' związane z  tworzeniem  grupy operacyjnej dot. zastosowania preparatow doglebowych  w celu powyzszenia plonowania kukurydzy  - 2 
</t>
  </si>
  <si>
    <t xml:space="preserve">
2016
 1. Liczba spotkań aktywizujących potencjalnych partnerów     - 8 osób
 2. konsultacje z pracownikiem naukowym Uniwersytetu Rzeszowskigo  dot. wdrażania działania  ,,Współpracy'' . Przedmiotem rozmów było uruchomienie produkcji  nowej generacji ulepszaczy glebowych na bazie grupy operacyjnej  składajacej sie z producentow rolnych, przedsiebiorców i strony naukowej  i doradczej - 3
 3. konsultacje z przedstawicielem  Małopolskiego Centrum  Biotechniki sp. zo.o w Krasnem  dotyczące aplikacji w ramach działania ,, Współprca ''.  Tematem spotkania było wdrożenie  krzyżówki  bydła mięsnego na terenie Podkarpacia  o wysokich parametrach mięsnych i mlecznych . -  2
01-06. 2017  
-  spotkania informacyjne  w celu tworzenia grupy operacyjnej , której potencjalnymi członkami mają zostać :
1.  Małopolskie Centrum  Biotechniki sp. zo.o w Krasnem -  zainteresowane  aplikacąi w ramach działania ,, Współprca ''.  Tematem spotkania było wdrożenie  krzyżówki  bydła mięsnego na terenie Podkarpacia  o wysokich parametrach mięsnych i mlecznych ora aspekty ekonomiczne tego rozwiązania   -   11 osób 
2. Zaklad Doświadczalny Instytutu Zootechniki PIB z Odrzechowej - zainteresowane  aplikacąi w ramach działania ,, Współprca ''. - temat -  Wpływ nawożenia pofermentem z biogazowni  na wzrost kukurydzy  i uzytków zielonych  stosując go bezpośrednio  poprzez rozlewania za pomoca nawożenia kropelkowego  - 9 osób 
3.rolnik indywidualny - pszczelarz zainteresowany  aplikacą w ramach działania ,, Współprca ''.-Temat - Wprowadzenie nowego produktu na rynek w postaci miodu skrzypowego - 3 osoby 
4. Sotkanie z przedstawicielami potencjalnych członków grupy operacyjnej (w zakresie hodowli królików) przy współudziale Urzędu Wojewódzkiego  zainteresowanych aplikacą w ramach działania ,, Współprca ''.  Uczestnikami spotkania byli:  przedstawiciele Zakładu Doświadczalnego Instytutu Zootechniki PIB Chorzelów Sp. z o, przedstawiciel Urzędu Wojewódzkiego , przedstawiciel Urzędu Marszałkowskiego, przedstawiciel CDR Kraków, przedstawiciel ARiMR, przedstawiciel PODR Boguchwała  - 8 osób 
5.spotkanie informacyjne z potencjalnymi członkami grupy operacyjnej zainteresowanych  aplikacją dzialania ,,Współpraca'' związane z  tworzeniem  grupy operacyjnej dot. zastosowania preparatow doglebowych  w celu powyzszenia plonowania kukurydzy - 6 osób</t>
  </si>
  <si>
    <t xml:space="preserve">2016 
 - spotkanie informacyjno-aktywizujące dla potencjalnych uczestników SIR. Informowanie o źródłach finansowania innowacji w rolnictwie na obszarach wiejskich w perspektywie finansowej 2014-2020 -  8 -  9 dni
 - spotkanie dotyczące działania współpraca organizowane przez pracowników ds. SIR  - 5 -  5 dni 
- spotkania z przedstawicielami instytucji rolniczych i okołorolniczych  -12 -  12 dni
- wyjazd studyjny krajowy dla 100 osób -2  - 4 dni
- wyjazd studyjny dla 35 osób - 1  - 6 dni 
- spotkania informacyjne dot. tematyki ,, Odnawialne Źródła Energii jako alternatywne rozwiązania stosowane w rolnictwie, leśnictwie i przetwórstwie '' - 21 - 21 dni 
2017 
- spotkanie informacyjne w sprawie utworzenia potencjalnej  Grupy opeacyjnej na potrzeby działania ,,Współpraca''- 6- 6 dni 
- robocze spotkanie z potencjalnymi czlonkami grupy operacyjnej dot aplikowania o środki finansowe z działania ,, Współpraca '' w ramach PROW 2014-2020 - 1 - 1 dzień 
- Szkolenie dot. naboru projektów partnerów KSOW w 2017 i zmian planu operacyjnego 2016-2017 - 1   -  2 uczestników
- uczestnictwo w spotkaniu  informacyjno-szkoleniowe dla pracowników wojewódzkich Ośrodków Doradztwa Rolniczego pełniących  rolę brokerów innowacji  -  2 - 3 dni   -4 uczestników 
- spotkanie informacyjno-szkoleniowe  pt. ,, Gospodarstwa opiekuńcze - budowanie sieci współpracy ''  - 3  - 65 uczestników 
</t>
  </si>
  <si>
    <t xml:space="preserve">
2016
 - spotkanie informacyjno-aktywizujące dla potencjalnych uczestników SIR. Informowanie o źródłach finansowania innowacji w rolnictwie na obszarach wiejskich w perspektywie finansowej 2014-2020. Uczestnikami spotkań informacyjnych są mieszkancy terenów wiejskich, rolnicy, leśnicy, przedsiebiorcy, przedstaiciele instytucji rolniczych i okołorolniczych 157 osób
- spotkania dotyczące działania ,,Współpraca''  -  197 osób
- . spotkania z przedstawicielami instytucji rolniczych i okołorolniczych  - 72
- uczestnictwo w konferencjach na których została poruszana tematyka SIR - 180
2017 
- spotkanie informacyjne w sprawie utworzenia potencjalnej  Grupy opeacyjnej na potrzeby działania ,,Współpraca''-76
- robocze spotkanie z potencjalnymi czlonkami grupy operacyjnej dot aplikowania o środki finansowe z działania ,, Współpraca '' w ramach PROW 2014-2020 - 6 uczestników 
- Szkolenie dot. naboru projektów partnerów KSOW w 2017 i zmian planu operacyjnego 2016-2017 -  2 uczestników
- uczestnictwo w spotkaniu  informacyjno-szkoleniowe dla pracowników wojewódzkich Ośrodków Doradztwa Rolniczego pełniących  rolę brokerów innowacji  -   -6 uczestników 
- spotkanie informacyjno-szkoleniowe  pt. ,, Gospodarstwa opiekuńcze - budowanie sieci współpracy ''    - 65 uczestników 
</t>
  </si>
  <si>
    <t>Rok 2016: koszty funkcjonowania obejmują:
- wynagrodzenia + pochodne,
- delegacje,
- noclegi,
- materiały biurowe
01-06  2017: koszty funkcjonowania obejmują:
- wynagrodzenia + pochodne,
- delegacje,
- noclegi,</t>
  </si>
  <si>
    <t>[Jednostka] Podlaski Ośrodek Doradztwa Rolniczego w Szepietowie</t>
  </si>
  <si>
    <r>
      <rPr>
        <b/>
        <sz val="10"/>
        <color indexed="8"/>
        <rFont val="Calibri"/>
        <family val="2"/>
        <charset val="238"/>
      </rPr>
      <t>Zorganizowano: w terminie 05-08.2016:</t>
    </r>
    <r>
      <rPr>
        <sz val="10"/>
        <color indexed="8"/>
        <rFont val="Calibri"/>
        <family val="2"/>
        <charset val="238"/>
      </rPr>
      <t xml:space="preserve">
"Pokaz innowacyjnych metod zwalczania omacnicy prosowianki w kukurydzy i zapoznanie się z zaleceniami ochrony roślin w wersji internetowej - 60 osób,
</t>
    </r>
    <r>
      <rPr>
        <b/>
        <sz val="10"/>
        <color indexed="8"/>
        <rFont val="Calibri"/>
        <family val="2"/>
        <charset val="238"/>
      </rPr>
      <t>w terminie 09-12.2016</t>
    </r>
    <r>
      <rPr>
        <sz val="10"/>
        <color indexed="8"/>
        <rFont val="Calibri"/>
        <family val="2"/>
        <charset val="238"/>
      </rPr>
      <t xml:space="preserve">
"Seminarium wyjazdowe - Innowacyjne formy współdziałania producentów rolnych" - 43 uczestników,
Konferencja " Innowacyjne rozwiązania w przygotowaniu, przetwarzaniu i przechowywaniu zdrowej żywności -25 osób,
Konferencja "Nowe techniologie w uprawie roli i zastosowanie rolnictwa precyzyjnego w kontekście zmian klimatycznych" - 90 osób,
"Seminarium wyjazdowe dla pszczelarzy woj. podlaskiego" - 30 osób
</t>
    </r>
  </si>
  <si>
    <t xml:space="preserve">1 pokaz </t>
  </si>
  <si>
    <t>60 osób</t>
  </si>
  <si>
    <t>90+43</t>
  </si>
  <si>
    <t>PODR w Szepietowie prowadzi zakładkę SIR gdzie od 01.01.2016-31.12.2016 zakładkę odwiedziło 4251 osób. W 2017 roku zakładkę odwiedziło 89 osób</t>
  </si>
  <si>
    <t xml:space="preserve">Facebook
PODR w Szepietowie  zamieśćił od 05-08.2016 roku zamieścił 6 postów  gdzie liczba odbiorców wyniosła 11181 osób, polubiło to 36 osób, udostępniło 2 osoby.
W okresie 09-12.2016 ukazało się 8 postów, liczba odbiorców 17857 osób, polubiło to 87 osób, udostępniło to 8 osób
W okresia 01-06.2017  ukazały się 2 posty, liczba odbiorców 3432 osób, polubiło to 18, udostępniło 0
</t>
  </si>
  <si>
    <t>Wydano następujące publikacje, ulotki, broszury w terminie 09-12.2016.
"Przedsiębiorczość na obszarach wiejskich woj. podlaskiego - przykłady innowacyjnych przedsięwzięć"
Materały szkoleniowe z wyjazdu studyjnego "Organizacja seminarium wyjazdowego dla pszczelarzy województwa podlaskiego"
"Konsolidacja osób i podmiotów zainteresowanych wdrazaniem innowacyjnych technologii w dzielninie przechowalnictwa rolno-spożywczeg
"Innowacyjne rozwiązania w przygotowywaniu, przetwarzaniu i przechowywaniu żywności"
"Innowacyjne podejście w urynkowieniu żywności wysokiej jakości"</t>
  </si>
  <si>
    <r>
      <t>Zorganizowano następujące formy szkoleniowe:</t>
    </r>
    <r>
      <rPr>
        <u/>
        <sz val="12"/>
        <color theme="1"/>
        <rFont val="Calibri"/>
        <family val="2"/>
        <charset val="238"/>
        <scheme val="minor"/>
      </rPr>
      <t xml:space="preserve"> </t>
    </r>
    <r>
      <rPr>
        <b/>
        <u/>
        <sz val="12"/>
        <color theme="1"/>
        <rFont val="Calibri"/>
        <family val="2"/>
        <charset val="238"/>
        <scheme val="minor"/>
      </rPr>
      <t>w terminie 05-08.2016</t>
    </r>
    <r>
      <rPr>
        <sz val="10"/>
        <color theme="1"/>
        <rFont val="Calibri"/>
        <family val="2"/>
        <scheme val="minor"/>
      </rPr>
      <t xml:space="preserve">
Warsztaty:
</t>
    </r>
    <r>
      <rPr>
        <b/>
        <i/>
        <sz val="10"/>
        <color theme="1"/>
        <rFont val="Calibri"/>
        <family val="2"/>
        <charset val="238"/>
        <scheme val="minor"/>
      </rPr>
      <t xml:space="preserve"> Warsztaty/Szkolenia</t>
    </r>
    <r>
      <rPr>
        <sz val="10"/>
        <color theme="1"/>
        <rFont val="Calibri"/>
        <family val="2"/>
        <scheme val="minor"/>
      </rPr>
      <t xml:space="preserve"> -Praktyczne wykorzystanie wyników badań naukowych we wdrażaniu innowacji w ekologicznej produkcji - 34 osoby- 2 grupy
</t>
    </r>
    <r>
      <rPr>
        <b/>
        <i/>
        <sz val="10"/>
        <color theme="1"/>
        <rFont val="Calibri"/>
        <family val="2"/>
        <charset val="238"/>
        <scheme val="minor"/>
      </rPr>
      <t xml:space="preserve"> Warsztaty/Szkolenia</t>
    </r>
    <r>
      <rPr>
        <sz val="10"/>
        <color theme="1"/>
        <rFont val="Calibri"/>
        <family val="2"/>
        <scheme val="minor"/>
      </rPr>
      <t xml:space="preserve">- Jak pisać o innowacjach w rolnictwie? Warsztaty dziennikarskie doskonalące umiejętności zdobywania i przekazywania wiedzy nt.  wdrażania innowacji rolniczych w woj. podlaskim - 20 osób- 1 grupa
</t>
    </r>
    <r>
      <rPr>
        <b/>
        <i/>
        <sz val="10"/>
        <color theme="1"/>
        <rFont val="Calibri"/>
        <family val="2"/>
        <charset val="238"/>
        <scheme val="minor"/>
      </rPr>
      <t>Wizyty/ Wyjazd studyjny</t>
    </r>
    <r>
      <rPr>
        <sz val="10"/>
        <color theme="1"/>
        <rFont val="Calibri"/>
        <family val="2"/>
        <scheme val="minor"/>
      </rPr>
      <t xml:space="preserve"> -Wyjazd studyjny - standaryzacja jakości produkcji wołowiny i innowacyjne  formy sprzedaży mięsa wołowego...." - 10 osób - 1 grupa
</t>
    </r>
    <r>
      <rPr>
        <b/>
        <u/>
        <sz val="12"/>
        <color theme="1"/>
        <rFont val="Calibri"/>
        <family val="2"/>
        <charset val="238"/>
        <scheme val="minor"/>
      </rPr>
      <t>W terminie 09-12.2016</t>
    </r>
    <r>
      <rPr>
        <sz val="10"/>
        <color theme="1"/>
        <rFont val="Calibri"/>
        <family val="2"/>
        <scheme val="minor"/>
      </rPr>
      <t xml:space="preserve"> 
</t>
    </r>
    <r>
      <rPr>
        <b/>
        <i/>
        <sz val="10"/>
        <color theme="1"/>
        <rFont val="Calibri"/>
        <family val="2"/>
        <charset val="238"/>
        <scheme val="minor"/>
      </rPr>
      <t xml:space="preserve"> Wizyty/ Wyjazd studyjny</t>
    </r>
    <r>
      <rPr>
        <sz val="10"/>
        <color theme="1"/>
        <rFont val="Calibri"/>
        <family val="2"/>
        <scheme val="minor"/>
      </rPr>
      <t xml:space="preserve"> Wyjazd studyjny - Uprawa lnu i konopi jako alternatywa produkcji na obszarach objętych ASF- wyjazd studyjny dla doradców, rolników i przedsiębiorców"- 25 osób - 1 grupa
 </t>
    </r>
    <r>
      <rPr>
        <b/>
        <i/>
        <sz val="10"/>
        <color theme="1"/>
        <rFont val="Calibri"/>
        <family val="2"/>
        <charset val="238"/>
        <scheme val="minor"/>
      </rPr>
      <t>Wizyty/ Wyjazd studyj</t>
    </r>
    <r>
      <rPr>
        <b/>
        <sz val="10"/>
        <color theme="1"/>
        <rFont val="Calibri"/>
        <family val="2"/>
        <charset val="238"/>
        <scheme val="minor"/>
      </rPr>
      <t xml:space="preserve">ny </t>
    </r>
    <r>
      <rPr>
        <sz val="10"/>
        <color theme="1"/>
        <rFont val="Calibri"/>
        <family val="2"/>
        <scheme val="minor"/>
      </rPr>
      <t xml:space="preserve">Wyjazd studyjny nt"Alternatywne źródła dochodu z gospodarstwa rolnego- innowacyjne hodowla ślimaka jadalnego"- 25 osób - 1 grupa
Szkolenie z wyjazdem do gospodarstwa/przedsiębiorstwa
</t>
    </r>
    <r>
      <rPr>
        <b/>
        <i/>
        <sz val="10"/>
        <color theme="1"/>
        <rFont val="Calibri"/>
        <family val="2"/>
        <charset val="238"/>
        <scheme val="minor"/>
      </rPr>
      <t xml:space="preserve"> Warsztaty/Szkolenia:</t>
    </r>
    <r>
      <rPr>
        <sz val="10"/>
        <color theme="1"/>
        <rFont val="Calibri"/>
        <family val="2"/>
        <scheme val="minor"/>
      </rPr>
      <t xml:space="preserve"> Konsolidacja osób i podmiotów zainteresowanych wdrażaniem innowacyjnych technologii w dziedzinie przechowalnictwa rolno-spożywczego. - 15 sob - 1 grupa
 </t>
    </r>
    <r>
      <rPr>
        <b/>
        <i/>
        <sz val="10"/>
        <color theme="1"/>
        <rFont val="Calibri"/>
        <family val="2"/>
        <charset val="238"/>
        <scheme val="minor"/>
      </rPr>
      <t xml:space="preserve"> Warsztaty/Szkolenia: </t>
    </r>
    <r>
      <rPr>
        <sz val="10"/>
        <color theme="1"/>
        <rFont val="Calibri"/>
        <family val="2"/>
        <scheme val="minor"/>
      </rPr>
      <t xml:space="preserve">Innowacyjne rozwiązania w energetyce odnawialnej w woj. podlaskich - 60 osób - 3 grupy
</t>
    </r>
    <r>
      <rPr>
        <b/>
        <i/>
        <sz val="10"/>
        <color theme="1"/>
        <rFont val="Calibri"/>
        <family val="2"/>
        <charset val="238"/>
        <scheme val="minor"/>
      </rPr>
      <t>Warsztaty/Szkolenia</t>
    </r>
    <r>
      <rPr>
        <sz val="10"/>
        <color theme="1"/>
        <rFont val="Calibri"/>
        <family val="2"/>
        <scheme val="minor"/>
      </rPr>
      <t xml:space="preserve">: szkolenie: Innowcyjne podejscie w urynkowieniu żywności wysokiej jakości- 30 osób-1 grupa
</t>
    </r>
    <r>
      <rPr>
        <b/>
        <i/>
        <sz val="10"/>
        <color theme="1"/>
        <rFont val="Calibri"/>
        <family val="2"/>
        <charset val="238"/>
        <scheme val="minor"/>
      </rPr>
      <t xml:space="preserve">Warsztaty/Szkolenia: </t>
    </r>
    <r>
      <rPr>
        <sz val="10"/>
        <color theme="1"/>
        <rFont val="Calibri"/>
        <family val="2"/>
        <charset val="238"/>
        <scheme val="minor"/>
      </rPr>
      <t xml:space="preserve"> w</t>
    </r>
    <r>
      <rPr>
        <sz val="10"/>
        <color theme="1"/>
        <rFont val="Calibri"/>
        <family val="2"/>
        <scheme val="minor"/>
      </rPr>
      <t xml:space="preserve">arsztaty: Przeprowadzenie cyklu warsztatów tematycznych dot. promowania innowacyjnych metod zapobiegania znoszeniu środków ochrony roślin - 120 osób - 6 grup
</t>
    </r>
    <r>
      <rPr>
        <b/>
        <u/>
        <sz val="12"/>
        <color theme="1"/>
        <rFont val="Calibri"/>
        <family val="2"/>
        <charset val="238"/>
        <scheme val="minor"/>
      </rPr>
      <t xml:space="preserve">W terminie 01-06.2017
</t>
    </r>
    <r>
      <rPr>
        <b/>
        <sz val="10"/>
        <color theme="1"/>
        <rFont val="Calibri"/>
        <family val="2"/>
        <charset val="238"/>
        <scheme val="minor"/>
      </rPr>
      <t xml:space="preserve"> Wizyty/ Wyjazd studyjny: </t>
    </r>
    <r>
      <rPr>
        <sz val="10"/>
        <color theme="1"/>
        <rFont val="Calibri"/>
        <family val="2"/>
        <charset val="238"/>
        <scheme val="minor"/>
      </rPr>
      <t>Ogrodoterapia - innowacyjne wykorzystanie roślin ozdobnych - 25 osób - 1 grupa</t>
    </r>
    <r>
      <rPr>
        <sz val="10"/>
        <color theme="1"/>
        <rFont val="Calibri"/>
        <family val="2"/>
        <scheme val="minor"/>
      </rPr>
      <t xml:space="preserve">
</t>
    </r>
  </si>
  <si>
    <t>rolnicy z woj. podlaskiego/mieszkańcy obszarów wiejskich, przedsiębiorcy, producenci żywności</t>
  </si>
  <si>
    <t>Koszty funkcjonowania zawierają: 2 etaty: spec. ds. innowacji i broker</t>
  </si>
  <si>
    <t>Uwaga: Podane dane są narastająco od poczatku roku.</t>
  </si>
  <si>
    <t>Sporzadziła: Aneta Drobek</t>
  </si>
  <si>
    <t>Szepietowo 07.07.2017</t>
  </si>
  <si>
    <t xml:space="preserve"> Pomorski Ośrodek Doradztwa Rolniczego w Lubaniu</t>
  </si>
  <si>
    <r>
      <rPr>
        <b/>
        <sz val="12"/>
        <color indexed="8"/>
        <rFont val="Calibri"/>
        <family val="2"/>
        <charset val="238"/>
      </rPr>
      <t xml:space="preserve">  2016:</t>
    </r>
    <r>
      <rPr>
        <sz val="10"/>
        <color indexed="8"/>
        <rFont val="Calibri"/>
        <family val="2"/>
        <charset val="238"/>
      </rPr>
      <t xml:space="preserve">   1. Stoisko promocyjne na III Pomorskiej Wystawie Bydła Mlecznego - Swięto Mleka w Bolesławowie - organizator: Pomorski Związek Hodowców Bydła Mlecznego w Gdańsku wraz z Gdańskim Oddziałem Polskiej Federacji Hodowców Bydła i Producentów Mleka. ; 2. Stoisko promocyjne na Pomorskich Agro Targach w Lubaniu - organizator: PODR w Lubaniu; 3. Stoisko promocyjnena na Żuławskich Targach Rolnych w Starym Polu - organizator: PODR w Lubaniu; 4. Stoisko promocyjne SIR podczas Jesiennych Targów Ogrodniczo-Nasiennych w Starym Polu - organizator:  PODR w Lubaniu; 5. Stoisko promocyjne SIR podczas Kaszubskiej Jesieni Rolniczej oraz Dożynek Diecezji Pelplińskiej w Lubaniu - organizator: PODR w Lubaniu                                                                                                           </t>
    </r>
    <r>
      <rPr>
        <b/>
        <sz val="12"/>
        <color indexed="8"/>
        <rFont val="Calibri"/>
        <family val="2"/>
        <charset val="238"/>
      </rPr>
      <t>2017:</t>
    </r>
    <r>
      <rPr>
        <sz val="10"/>
        <color indexed="8"/>
        <rFont val="Calibri"/>
        <family val="2"/>
        <charset val="238"/>
      </rPr>
      <t xml:space="preserve">  1. Promocja SIR na targach ogrodniczych w Słupsku.  2.  Promocja SIR na targach ogrodniczych w Lubaniu. 3.  Promocja SIR na turnieju KGW w Luzinie.   4. Promocja SIR na targach rolno-kwiatowych w Słupsku. 5. Promocja SIR na targach rw Lubaniu. 6. Promocja SIR na targach w Starym Polu. (wszystkie wydarzenia finansowane z funkcionowania)</t>
    </r>
  </si>
  <si>
    <r>
      <rPr>
        <b/>
        <sz val="14"/>
        <color indexed="8"/>
        <rFont val="Calibri"/>
        <family val="2"/>
        <charset val="238"/>
      </rPr>
      <t xml:space="preserve">2016 : </t>
    </r>
    <r>
      <rPr>
        <sz val="10"/>
        <color indexed="8"/>
        <rFont val="Calibri"/>
        <family val="2"/>
        <charset val="238"/>
      </rPr>
      <t xml:space="preserve">   Jak wynika ze statystyk prowadzonych przez PODR w Lubaniu targi i wystawę odwiedziło łącznie około 117 000 osób. Informacje o  SIR uzyskało około 1 000 osób na co wskazują rozdane materiały informacyjne. ;                                                                                                                                                                                              </t>
    </r>
    <r>
      <rPr>
        <b/>
        <sz val="14"/>
        <color indexed="8"/>
        <rFont val="Calibri"/>
        <family val="2"/>
        <charset val="238"/>
      </rPr>
      <t>2017</t>
    </r>
    <r>
      <rPr>
        <sz val="10"/>
        <color indexed="8"/>
        <rFont val="Calibri"/>
        <family val="2"/>
        <charset val="238"/>
      </rPr>
      <t xml:space="preserve">: Informacje o  SIR uzyskało około 5007 osób na co wskazują rozdane materiały informacyjne. ;                                                                                                                           </t>
    </r>
  </si>
  <si>
    <t>Zakładka SIR powstała w 2016 roku. Dane podawane są na podstawie wyliczeń z Google Analytics.</t>
  </si>
  <si>
    <t xml:space="preserve"> 2016 : 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4. Konferencja pt. ,,Innowacyjna Wieś Pomorska - Pomorskie spotkanie z nauką rolniczą" (dwudniowa konferencja z wyjazdem studyjnym) - organizator: PODR (finansowane z planu operacyjnego); 5. Warsztaty: ,,Integracja działań na rzecz pomorza" (4 warsztaty po 20 osób) - organizator PODR (nie ze środków SIR).                                                                                                                                                                                                        
• Liczba zorganizowanych szkoleń i warsztatów:
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4. Konferencja pt. ,,Innowacyjna Wieś Pomorska - Pomorskie spotkanie z nauką rolniczą" (dwudniowa konferencja z wyjazdem studyjnym) - organizator: PODR (finansowane z planu operacyjnego); 
5. Warsztaty: ,,Integracja działań na rzecz pomorza" (4 warsztaty po 20 osób) - organizator PODR (nie ze środków SIR).
4 szkolenia z warsztatami  + 4 warsztaty = 8
• Liczba dni szkoleniowych:
1. Przez Innowacyjność do Sukcesu - organizator: Farmer Sp zo.o. ; (1 dzień)
2. Innowacyjne wsparcie gospodarstw rolnych - organizator: Stowarzyszenie Absolwentów Wyższych Szkół Zarządzania 
„ Nasza Europa” i firma „EKOTEC”; (1 dzień)
3. Działanie współpraca jako narzędzie wdrażania innowacji - organizator: Urząd Marszałkowski;  (1 dziań)
4. Konferencja pt. ,,Innowacyjna Wieś Pomorska - Pomorskie spotkanie z nauką rolniczą" (dwudniowa konferencja z wyjazdem studyjnym) - organizator: PODR (finansowane z planu operacyjnego);  (2 dni)
5. Warsztaty: ,,Integracja działań na rzecz pomorza" (4 warsztaty po 20 osób) - organizator PODR (nie ze środków SIR). (4 x 1 dzień)
3 x 1 dzień + 2 dni + 4 x 1 dzień = 9 dni)                                                                                                                                                                                                                                                                            2017:                                                                                                                                                                                                                                                                                                   liczba zorganizowanych szkoleń i warsztatów z liczą dni szkoleniowych:                                                                                                                                                                                                                    1. Problemy we współczesnym rolnictwie oraz możliwości wprowadzenia innowacyjnych metod wspomagania rolnika.         (1 dzień)                                                                    2. Sieć na rzecz innowacji w rolnictwie i na obszarach wiejskich – możliwości jakie daje współpraca w sektorze  pszczelarstwa.           (1 dzień)                                                     3. Funkcjonowanie stowarzyszenia BIO Pomorze oraz możliwości współpracy w ramach PROW 2014-2020.                         (1 dzień)                                                                         4. Możliwości dofinansowania i zasady naboru na projekty do planu operacyjnego KSOW na lata 2018-2019 w zakresie SIR.              (1 dzień)                                                      5. Zasady naboru na projekty do planu operacyjnego ksow na lata 2018-2019 w zakresie SIR.                                                       (1 dzień)                                                                      6.  Warsztaty dot. działania Współpraca.                   (1 dzień)                                                                                                                                                                                                         7. Tworzenie systemu wspomagania decyzji w ochronie roślin na obszarze województwa pomorskiego, z wykorzystaniem innowacyjnych rozwiązań technicznych i organizacyjnych w ramach Planu operacyjnego KSOW na lata 2016-2017 w zakresie SIR.    (2 dzi - finansowane z Planu Operacyjnego KSOW w zakresie SIR)
liczba wyjazdów studyjnych:             1. BIOFACH  (3 dni)  2. AGROTECH   (2 dni)                                                                                                                                                         8. Spotkania dotyczące działania współpraca (32 dni)
</t>
  </si>
  <si>
    <r>
      <t xml:space="preserve">2016                                                                                                                                                                                                                                                                                         1. Udział w konferencji z wyjazdem studyjnym organizowanej PODR (w więkrzości uczestniczyli rolnicy z terenu województwa pomorskiego);                   2. W czterech warsztatach uczestniczyło 80 osób                                                                                                                                                                                                                </t>
    </r>
    <r>
      <rPr>
        <b/>
        <sz val="10"/>
        <rFont val="Calibri"/>
        <family val="2"/>
        <charset val="238"/>
      </rPr>
      <t xml:space="preserve">(Liczba osób:
I : 80 + 155 = 235 osób
II : 4 +60 +32+ 139 = 235 osób)   </t>
    </r>
    <r>
      <rPr>
        <b/>
        <sz val="10"/>
        <color rgb="FFFF0000"/>
        <rFont val="Calibri"/>
        <family val="2"/>
        <charset val="238"/>
      </rPr>
      <t xml:space="preserve">                                                                                                                                                                                                                                               </t>
    </r>
    <r>
      <rPr>
        <b/>
        <sz val="14"/>
        <rFont val="Calibri"/>
        <family val="2"/>
        <charset val="238"/>
      </rPr>
      <t>2017:</t>
    </r>
    <r>
      <rPr>
        <b/>
        <sz val="11"/>
        <rFont val="Calibri"/>
        <family val="2"/>
        <charset val="238"/>
      </rPr>
      <t xml:space="preserve">                                                                                                                                                                                                                                                                                                                 </t>
    </r>
    <r>
      <rPr>
        <sz val="11"/>
        <rFont val="Calibri"/>
        <family val="2"/>
        <charset val="238"/>
      </rPr>
      <t xml:space="preserve">liczba uczestników:                                                                                                                                                                                                                                                               </t>
    </r>
    <r>
      <rPr>
        <b/>
        <sz val="14"/>
        <rFont val="Calibri"/>
        <family val="2"/>
        <charset val="238"/>
      </rPr>
      <t xml:space="preserve">finansowane  ze środków na funkcjonowanie:               </t>
    </r>
    <r>
      <rPr>
        <sz val="11"/>
        <rFont val="Calibri"/>
        <family val="2"/>
        <charset val="238"/>
      </rPr>
      <t xml:space="preserve">                                                                                                                                                                                      1. Problemy we współczesnym rolnictwie oraz możliwości wprowadzenia innowacyjnych metod wspomagania rolnika.         ( 6)                                                                    2. Sieć na rzecz innowacji w rolnictwie i na obszarach wiejskich – możliwości jakie daje współpraca w sektorze  pszczelarstwa.           (25)                                                     3. Funkcjonowanie stowarzyszenia BIO Pomorze oraz możliwości współpracy w ramach PROW 2014-2020.                         (20)                                                                         4. Możliwości dofinansowania i zasady naboru na projekty do planu operacyjnego KSOW na lata 2018-2019 w zakresie SIR.              (15)                                                      5. Zasady naboru na projekty do planu operacyjnego ksow na lata 2018-2019 w zakresie SIR.                                                       (25)                                                                      6.  Warsztaty dot. działania Współpraca.                   (13)                                                                                                                                                                                                         7. Spotkania dotyczące działania współpraca (148)                                                                                                                                                      </t>
    </r>
    <r>
      <rPr>
        <b/>
        <sz val="14"/>
        <rFont val="Calibri"/>
        <family val="2"/>
        <charset val="238"/>
      </rPr>
      <t xml:space="preserve">finansowane z planu operacyjnego KSOW w zakresie SIR </t>
    </r>
    <r>
      <rPr>
        <sz val="11"/>
        <rFont val="Calibri"/>
        <family val="2"/>
        <charset val="238"/>
      </rPr>
      <t xml:space="preserve">                                                                                                                                                             8. Tworzenie systemu wspomagania decyzji w ochronie roślin na obszarze województwa pomorskiego, z wykorzystaniem innowacyjnych rozwiązań technicznych i organizacyjnych w ramach Planu operacyjnego KSOW na lata 2016-2017 w zakresie SIR.    (86)
 9. wyjazdy studyjne:             1. BIOFACH  (25)  2. AGROTECH   (50)</t>
    </r>
  </si>
  <si>
    <r>
      <rPr>
        <b/>
        <sz val="14"/>
        <rFont val="Calibri"/>
        <family val="2"/>
        <charset val="238"/>
        <scheme val="minor"/>
      </rPr>
      <t>2016:</t>
    </r>
    <r>
      <rPr>
        <sz val="11"/>
        <rFont val="Calibri"/>
        <family val="2"/>
        <scheme val="minor"/>
      </rPr>
      <t xml:space="preserve"> koszty funkcjonowania związane są z wynagrodzeniami oraz delegacjami na szkolenia i spotkania z zakresu SIR organizowane przez CDR oraz delegacjami na spotkania odnośnie działania ,,Współpraca" (Różnice wynikają z faktu, iż w załączniku nr. 1 mamy koszty związane tylko z Planem operacyjnym a w załączniku nr. 2 są koszty Planu operacyjnego jak i funkcjonowania. Nie będzie, więc nigdy równych kwot pomiędzy obydwoma załącznikami. 
W załączniku nr. 2 kwoty się łączą i nie ma jasnego rozgraniczenia pomiędzy Plan operacyjny i funkcjonowanie, ponieważ organizowane szkolenia oraz udział w szkoleniach (gdzie kosztem są delegacje) nie są kosztami jedynie Planu operacyjnego a również funkcjonowania.)</t>
    </r>
  </si>
  <si>
    <t>Śląski Ośrodek Doradztwa Rolniczego w Częstochowie</t>
  </si>
  <si>
    <r>
      <rPr>
        <b/>
        <sz val="10"/>
        <color indexed="8"/>
        <rFont val="Calibri"/>
        <family val="2"/>
        <charset val="238"/>
      </rPr>
      <t>2016</t>
    </r>
    <r>
      <rPr>
        <sz val="10"/>
        <color indexed="8"/>
        <rFont val="Calibri"/>
        <family val="2"/>
        <charset val="238"/>
      </rPr>
      <t>- Liczba zrealizowanych operacji w ramach Panu Operacyjnego KSOW 2016-207 w roku 2016( 15 operacji własnych + 1 operacja partnerska</t>
    </r>
    <r>
      <rPr>
        <b/>
        <sz val="10"/>
        <color indexed="8"/>
        <rFont val="Calibri"/>
        <family val="2"/>
        <charset val="238"/>
      </rPr>
      <t>)            2016r. - "Śląska platforma innowacji – stoisko informacyjne SIR na XXV KWR" operacja  została zorganizowana podczas XXV Krajowej Wystawy  Rolniczej w Częstochowie- zasięg krajowy.                                                                                                                                                                                                                                     2017 -  2 operacje z Planu Operacyjnego na lata 2016-2017( w tym 4 wydarzenia: 2 konferencje, 2 wyjazdy studyjne), 2 stoiska promocyjno - informacyjne. Razem 6.</t>
    </r>
  </si>
  <si>
    <r>
      <t xml:space="preserve">Liczba uczestnków w ramach realizacji operacji z Planu Operacyjnego KSOW 2016-2017 w 2016 roku. Liczba 80,000 tysięcy dotyczy osób odwiedzających XXV Krajową Wystawę Rolniczą podczas ktróej była realizowana 1 operacja.                                                                                                                                            </t>
    </r>
    <r>
      <rPr>
        <b/>
        <sz val="10"/>
        <color indexed="8"/>
        <rFont val="Calibri"/>
        <family val="2"/>
        <charset val="238"/>
      </rPr>
      <t xml:space="preserve">                                                                                                                                                                                                                                                                         2016r. - "Śląska platforma innowacji – stoisko informacyjne SIR na XXV KWR" operacja  została zrealizowana podczas XXV Krajowej Wystawy  Rolniczej w Częstochowie - zasięg krajowy .                                                                                                                                                                                                                                                                              2017  DOD w Mikołowie i Lublińcu (liczbę uczestników oszacowano na podstawie relacji doradców z ŚODR i obłożenia miejsc parkingowych):DOD w Mikołowie - 10.000tys.; DOD w Lublińcu: 300 osób; 2 operacje z Planu Operacyjnego na lata 2016-2017( w tym 4 wydarzenia: 2 konferencje -60 osób, 2 wyjazdy studyjne - 92 osoby)</t>
    </r>
  </si>
  <si>
    <t>2016 - Artykuły zamieszczane w prasie branżowej w tym w Śląskich Aktualnościach Rolniczych - 12                                                                                                       2017 - Artykuły zamieszczane w prasie branżowej w tym w Śląskich Aktualnościach Rolniczych - 10,  artykuły, przekazy umieszczane na stronie www - 17,  posty na facebooku - 4</t>
  </si>
  <si>
    <t xml:space="preserve">2016 - Spotkanie z przedstawicielami szkół rolniczych, spotkanie z przedstawicielami rolniczych związków branżowych, spotkanie z dyrekcją szkoły rolniczej w Nakle Śląskim. Sptkania na Uniwersytecie Przyrodniczym we Wrocławiu i Uniwersytecie Rolniczym w Krakowie. Spotkanie z Grupą Producencką Klimowicz (koszty poniesione w ramach funkcjonowania)                                                                                                                                                      2017 - udzielone konsultacje głównie o działaniu Współpraca </t>
  </si>
  <si>
    <r>
      <rPr>
        <b/>
        <sz val="10"/>
        <color theme="1"/>
        <rFont val="Calibri"/>
        <family val="2"/>
        <charset val="238"/>
        <scheme val="minor"/>
      </rPr>
      <t>2016</t>
    </r>
    <r>
      <rPr>
        <sz val="10"/>
        <color theme="1"/>
        <rFont val="Calibri"/>
        <family val="2"/>
        <scheme val="minor"/>
      </rPr>
      <t>- Szkolenia dla doradców w PZDR: Częstochowa, Cieszyn, Lubliniec, Bieruń. Szkolenie nt operacji realizowanych w ramach PO 2016-2017 (2- Częstochowa ŚODR I Złoty Potok) (koszty poniesione w ramach funkcjonowania)                                                                                                                                                        2017 - szkolenia dla doradców podczas narad - 3, szkolenia dla uczniów Zespołu Szkól w Żarnowcu - 1 i dla naukowców z Uniwersytetu Rolniczego w Krakowie - 1</t>
    </r>
  </si>
  <si>
    <t>Świętokrzyski ODR</t>
  </si>
  <si>
    <t xml:space="preserve">W 2016 roku Łącznie odbyło się 10 takich spotkań (9 spotkań szkoleniowych, 1 konferencja), na których informacje odnośnie SIR przekazano ponad 228 osobom.       Przygotowano stoiska promocyjne na 13 wystawach, dożynkach, targach gdzie próbowano nawiązać kontakty z wystawcami, których działalność powiązana była z rolnictwem i którzy mogli być zainteresowani partnerstwem w SIR. Zrealizowano 5 operacji z planu operacyjnego w których wzieło udział 521 osób.       
W 2017 r sporządzono stoisko informacyjne ŚODR i SIR – na 26 Spotkaniach Sadowniczych w Sandomierzu .    wzięto udział w targach Agrotech w ramach funkcjonowania SIR w Kielcach – obsługa stoiska – 17-19.03.2017r.       Dnia 25.04.2017 przygotowano stoisko informacyjne  ŚODR oraz udział w Targach Pracy i Edukacji organizowanych przez Urząd Pracy w Sandomierzu          Przygotowanie stoiska promocyjnego SIR oraz ŚODR w ramach DOD w Modliszewicach-25.06.2017
</t>
  </si>
  <si>
    <t>Liczba odsłon wszystkich zakładek i zamieszczonych informacji - 6864</t>
  </si>
  <si>
    <t xml:space="preserve">Artykuły w Aktualnościach rolniczych - 8 artykułów. 
Sporządzono 34 artykułów/informacji zamieszczane na stronach internetowych ŚODR Modliszewice 
styczeń 2017  Napisano Informacja na stronę internetową www.sodr.pl „26 Spotkania Sadownicze-Innowacyjne rozwiązania w sadownictwie”,         e) Miesięcznik „Aktualności Rolnicze” artykuł „Inkubator przetwórczy w Dwikozach”                    
 W 2017 sporządzono 11 artykułów/wpisów na stronę internetową zakładka SIR. </t>
  </si>
  <si>
    <t xml:space="preserve">W 2016 roku Udzielono wywiadu do Radia Kielce na temat:  
• ”Wdrażanie programu Współpraca” 
• „Informacje nt. SIR i innowacji w rolnictwie, możliwości finansowania”.                                                    
W 2017 roku ( do 30.06) Udzielono wywiadu do Radia Kielce na  temat Porgramu "Współpraca", udzielono wywiadu do telewizji na temat działania programu " Współpraca" 
</t>
  </si>
  <si>
    <r>
      <rPr>
        <sz val="10"/>
        <rFont val="Calibri"/>
        <family val="2"/>
        <charset val="238"/>
      </rPr>
      <t xml:space="preserve">Przesłanie informacji do Bazy danych innowacyjnych rozwiązań w rolnictwie, leśnictwie i na obszarach wiejskich do CDR. 
</t>
    </r>
    <r>
      <rPr>
        <sz val="10"/>
        <color indexed="11"/>
        <rFont val="Calibri"/>
        <family val="2"/>
        <charset val="238"/>
      </rPr>
      <t xml:space="preserve">
</t>
    </r>
  </si>
  <si>
    <t>W 2017 roku ( do 30 czerwca   ) odbył się:  Wykład przeprowadzony na Spotkaniach Sadowniczych 25.01. 2017. dotyczący programu "Współpraca" Ogólnie w "Spotkaniach Sadowniczych" udział wzieło 1000 osób - wykład o charaktere otwartym (bez możlwiości wpisania na listę rolników biorących udział) Zorganizowano spotkania informacyjno-szkolenie dla mieszkańców obszarów wiejskich . Przybliżenie celów, zadań i działań SIR w tym wydarzeniu brało udział  4/85 i 3/59  razem 7 szkoleń dla 144 osób   
Zrealizowano ( nie zakończono jeszcze) jedną operację w ramach któej przeskolono 48 osób na 4 szkoleniach</t>
  </si>
  <si>
    <t xml:space="preserve">Wykład przeprowadzony na Spotkaniach Sadowniczych 25.01. 2017. dotyczący programu "Współpraca" bez wpisanej liczby uczestników  - wykłady o charaktere otwartym (bez możlwiości wpisania na listę rolników biorących udział) - dlatego podano liczbe uczestników którzy wpisali sie na listy obeccnoci </t>
  </si>
  <si>
    <r>
      <rPr>
        <b/>
        <sz val="11"/>
        <color theme="1"/>
        <rFont val="Calibri"/>
        <family val="2"/>
        <charset val="238"/>
        <scheme val="minor"/>
      </rPr>
      <t>Komentarz:</t>
    </r>
    <r>
      <rPr>
        <sz val="11"/>
        <color theme="1"/>
        <rFont val="Calibri"/>
        <family val="2"/>
        <charset val="238"/>
        <scheme val="minor"/>
      </rPr>
      <t xml:space="preserve">
Koszty funkcjonowania obejmują:                                       
 1. Wynagrodzenia pracowników, którzy w ramach zadań SIR:                          
- promowali SIR na targach i wystawach oraz organizowali spotkania informacyjne
- stworzyli i rozdysponowali materiały promocyjne SIR (baner i ulotka)
- uczestniczyli w szkoleniach, konferencjach organizowanych przez CDR dotyczących SIR
- udzielali informacji dotyczących SIR i innowacji dla potencjalnych pratnerów grup operacyjnych
- brali udział w planowaniu operacji własnych w ramach planu operacyjnego na lata 2016-2017
2. Wyjazdy służbowe - uczestnictwo w szkolenich CDR i wyjazdach na wystawy i targi
3. Dostosowanie biura na potrzeby funcjonowania SIR w siedzibie Ośrodka (remont biura, zakup mebli, sprzętu komputerowego i multimedialnego, zakup materiałów biurowych)                  
Rok 2016 koszty związane z planm działania obejmują organizację 5 operacji, koszty funkcjonowania obejmują 1. Wynagrodzenia pracowników, którzy w ramach zadań SIR:                          
- promowali SIR na targach i wystawach oraz organizowali spotkania informacyjne
- stworzyli i rozdysponowali materiały promocyjne SIR (baner i ulotka)
- uczestniczyli w szkoleniach, konferencjach organizowanych przez CDR dotyczących SIR
- udzielali informacji dotyczących SIR i innowacji dla potencjalnych pratnerów grup operacyjnych
- brali udział w planowaniu operacji własnych w ramach planu operacyjnego na lata 2016-2017
2. Wyjazdy służbowe - uczestnictwo w szkolenich CDR i wyjazdach na wystawy i targi </t>
    </r>
  </si>
  <si>
    <t>Warmińsko-Mazurski Ośrodek Doradztwa Rolniczego z siedzibą w Olsztynie</t>
  </si>
  <si>
    <t>Duża liczba uczestników w 2016 r. jest związana z faktem organizacji stoisk informacyjnych SIR podczas imprez lokalnych i regionalnych. Na stoiskach i innych wydarzeniach były prowadzone listy obecności.
W 2017 r. organizowane było m.in. stoisko informacyjne na Targach AGROShow w Ostródzie - do liczby uczestników doliczono odwiedzających stoisko.</t>
  </si>
  <si>
    <t>Na stronie W-MODR jest zakładka poświęcona SIR, jednak nie ma możliwości oddzielnego sprawdzenia wejść na zakładkę.</t>
  </si>
  <si>
    <t>W-MODR nie prowadzi profili w mediach społecznościowych dotyczących SIR</t>
  </si>
  <si>
    <t>Publikacje stanowiły artykuły w miesięczniku wydawanym przez WMODR</t>
  </si>
  <si>
    <t>1 grupa, 5 spotkań</t>
  </si>
  <si>
    <t>Powstała jedna grupa tematyczna, której celem jest powołanie grupy operacyjnej i ubieganie się o wsparcie z działania "Współpraca"</t>
  </si>
  <si>
    <t>Osoby zaangażowane w organizację i prowadzenie spotkań wskazanych w punkcie 4.1</t>
  </si>
  <si>
    <t>W kategorii "inne" w 2016 r. jest wskazane jedno działanie, które obejmowało zarówno szkolenie, jak i wyjazd studyjny.</t>
  </si>
  <si>
    <t>Wśród przedstawicieli innych grup byli rolnicy, którzy byli zainteresowani podejmowaniem działań innowacyjnych w tematach lub dziedzinach, których dotyczyło konkretne działanie szkoleniowe.</t>
  </si>
  <si>
    <t xml:space="preserve">wydarzenia z tabeli 1 obejmują również szkolenia z tabeli 6.1 i 6.2. W związku z tym koszty wydarzeń z tabeli 1 zosały pomniejszone o koszty wydarzeń z 6.1 i 6.2, aby nie podwajać kosztów.
Do kosztów funkcjonowania zaliczamy płace z pochodnymi i koszty przejazdów służbowych.
</t>
  </si>
  <si>
    <t>Wielkopolski Ośrodek Doradztwa Rolniczego w Poznaniu</t>
  </si>
  <si>
    <t>2 stoiska informacyjno-promocyjne w 2016r.:  stoisko na Wielkopolskich Targach Rolniczych 2016r., liczba uczestników Targów szacunkowo 15 tys., stoisko na Letnich Targach Rolno-Ogrodniczych AGROMARSZ 2016r., liczba uczestników Targów szacunkowo 10 tys.   2 stoiska informacyjno-promocyjne w 2017r.: stoisko na Regionalnych Targach Rolniczych Gołaszyn 2017, liczba uczestników Targów szacunkowo 8 tys., stoisko na Wielkopolskich Targach Rolniczych 2017, liczba uczestników Targów szacunkowo 16 tys.</t>
  </si>
  <si>
    <t>WODR w Poznaniu w 2016r. nie prowadził tak szczegółowej statystyki.</t>
  </si>
  <si>
    <t>1 wyjazd studyjny: Priorytet 1 i 2 z naciskiem na ułatwianie transferu wiedzy i innowacji oraz 1 wyjazd studyjny: Priorytet 1 i 5 z naciskiem na ułatwianie transferu wiedzy i innowacji</t>
  </si>
  <si>
    <t>Liczba uczesnikLiczba przedstawicieli innych grup interesariuszy: producenci rolni</t>
  </si>
  <si>
    <t>Koszty funkcjonowania w zł: materiały, usługi obce, wynagrodzenia,składki, delegacje.</t>
  </si>
  <si>
    <t>Uwagi: W zestawieniu nie uwzględniono kosztów (3571,92 zł) , które poniesiono w II kwartale 2017r. w ramach realizacji dwóch operacji - 2 konferencji, które odbędą się w III-IV kwartale 2017r.</t>
  </si>
  <si>
    <t>[Zachodniopomorski Ośrodek Doradztwa Rolniczego w Barzkowicach]</t>
  </si>
  <si>
    <t>01 styczeń 2016 - 30 czerwiec 2017 r.</t>
  </si>
  <si>
    <t xml:space="preserve">                                                                                                                                                                                                                                                                                                                                                                                                                                                                                                                    2016 -  1. Polowe pokazy pracy maszyn rolniczych, stoisko informacyjne SIR. Głównym celem realizacji operacji było zapoznanie oraz ugruntowanie wiedzy uczestników operacji na temat innowacyjnych rozwiązań w rolnictwie i wykorzystanie jej w praktyce oraz ułatwienie transferu wiedzy, nawiązanie kontaktów, współpracy pomiędzy rolnikami, doradcami a firmami oferującymi innowacyjne rozwiązania dla rolnictwa (P1 i P2). 
2. Wykorzystanie krajowych źródeł białka roślinnego w produkcji, obrocie i przeznaczeniu na cele paszowe – konferencja. Celem realizacji operacji było zapoznanie uczestników konferencji z zagadnieniami innowacyjności w rolnictwie oraz możliwościami praktycznego zastosowania przedstawionych rozwiązań, nawiązanie kontaktów i współpracy pomiędzy obecnymi i potencjalnymi uczestnikami rynków rolnych.
3. Innowacyjne metody uprawy roślin - rolnictwo precyzyjne – konferencja. Celem realizacji operacji było zapoznanie uczestników konferencji z zagadnieniami innowacyjności w rolnictwie oraz możliwościami praktycznego zastosowania przedstawionych rozwiązań, nawiązanie kontaktów i współpracy pomiędzy obecnymi i potencjalnymi uczestnikami rynków rolnych.
4. Trendy w agrobiznesie - innowacje w rynkach rolnych – konferencja. Celem realizacji operacji było zapoznanie uczestników konferencji z zagadnieniem innowacji w rolnictwie oraz możliwościami praktycznego zastosowania przedstawianych rozwiązań, nawiązanie kontaktów i współpracy pomiędzy potencjalnymi uczestnikami rynków rolnych (P1 i P3).
                 </t>
  </si>
  <si>
    <t>brak statystyki wejść na stronę internetową - brak zliczania wejść ze względów technicznych (www.zodr.pl)</t>
  </si>
  <si>
    <t>facebook, newsletter - nie posiadamy instalacji</t>
  </si>
  <si>
    <t xml:space="preserve">Publikacja broszura UPRAWA ROŚLIN NA CELE ENEGETYCZNE nakład 500 egz.  na stoisko informacyjne SIR podczas XXIX Targów Rolnych AGRO POMERANIA 2016 oraz adresowana do rolników i samorządów lokalnych oraz doradców ZODR,                                                                                                                          publikacja  broszura INNOWACYJNE ROLNICTWO nakład 100 egz. na stoisko informacyjne SIR podczas XXIX Targów Rolnych AGRO POMERANIA 2016 adresowane do doradców ZODR i rolników,                                                                                                                                                                                                                                      ZACHODNIOPOMORSKI MAGAZYN ROLNICZY nr 108 marzec 2016 nakład 3000 egz.BY sprostać wyzwaniom przyszłości str. 20.21.                                                                                           ZACHODNIOPOMORSKI MAGAZYN ROLNICZY nr 110 maj 2016 nakład 3000 egz.Odmiana dobrze dobrana str. 22-25.                                                                             ZACHODNIOPOMORSKI MAGAZYN ROLNICZY nr 112 lipiec 2016 nakład 3000 egz.Europejski tydzień zrównoważonego rozwoju 2016 str. 6.                                  ZACHODNIOPOMORSKI MAGAZYN ROLNICZY nr 112 lipiec 2016 nakład 3000 egz.Innowacje w produkcji roślinnej str. 8.                                  ZACHODNIOPOMORSKI MAGAZYN ROLNICZY nr 109 kwiecień 2016 nakład 3000 egz. Promocja SIR zaproszenie na konferencjęnt. Uproszczenia i innowacje w technologiach produkcji roślinnej  ZACHODNIOPOMORSKI MAGAZYN ROLNICZY  (czerwiec)  Innowacje w produkcji roślinej, System uprawy a zachwaszczenie (materiał z konferencji);   Korzyści z uproszczeń (materiał z konferencji);  lipiec - publikacja-broszura Uprawa roślin na cele energetyczne;  wrzesień broszura -    Innowacje w rolnictwie;  Zachodniopomorski  Magazyn Rolniczy     nr 113 -  Dron  - stały element krajobrazu ? ; październik Zachodniopomorski Magazyn Rolniczy nr 114 -   Polowe pokazy pracy maszyn - innowacje,  Stawiamy na innowacyjność; Zachodniopomorski Magazyn Rolniczy nr 115 (listopad) -     ZODR w Barzkowicach informuje o planowanych projektach organizowanych w ramach PO KSOW na lata 2016-2017 w zakresie SIR ; Zachodniopomorski Magazyn Rolniczy (grudzień) - Nauka doradztwu rolniczemu,    Forum Wiedzy i Innowacji , Innowacje w Zagrodzie Edukacyjnej, SIR - Sieć kontaktów i powiązań, Jak podjąć inicjatywę?, Strączkowe wracają do łask, Ogrzewanie bez smogu; ZACHODNIOPOMORSKI MAGAZYN ROLNICZY (luty 2017) nr 117 - Innowacje w rolnictwie; Nauka, doradztwo, innowacje; Panele fotowoltaiczne w gospodarstwach rolnych;  Rolnictwo precyzyjne; ZACHODNIOPOMORSKI MAGAZYN ROLNICZY (marzec 2017) nr 118 - Gospodarstwa opiekuńcze; ZACHODNIOPOMORSKI MAGAZYN ROLNICZY (maj 2017) nr 120 -  Innowacje w polskich gospodarstwach                         </t>
  </si>
  <si>
    <t>strona internetowa www.zodr.pl</t>
  </si>
  <si>
    <t>brak</t>
  </si>
  <si>
    <t>1. Panele fotowoltaiczne w gospodarstwach rolnych województwa zachodniopomorskiego – szkolenie oraz wyjazd studyjny. Głównym celem operacji było przeszkolenie uczestników operacji  na temat regulacji prawnych w zakresie OZE, programów wspierających instalacje OZE, a także szczegółów technicznych instalacji.                                                                                                                                                                                                                                                                      2. Wdrażanie inicjatyw na rzecz rozwoju obszarów wiejskich oraz aktywizacja mieszkańców wsi na rzecz podejmowania inicjatyw w zakresie rozwoju obszarów wiejskich, w tym kreowanie procesu tworzenia miejsc pracy na terenach wiejskich – seminarium połączone z wyjazdem studyjnym. Głównym celem realizacji operacji była aktywizacja mieszkańców wsi na rzecz podejmowania inicjatyw w zakresie rozwoju obszarów wiejskich, w tym kreowania miejsc pracy na terenach wiejskich.                                                                                                                                                                                                                       3. Konferencja Z WYJAZDEM STUDYJNYM 19-20 maja 2016 UPROSZCZENIA I INNOWACJE W TECHNOLOGIACH PRODUKCJI ROŚLINNEJ;              grupa mieszana, uczestnicy: doradcy,  rolnicy, przedsiębiorcy rolni, pracownicy nauki, pracownicy instytucji okolorolniczych</t>
  </si>
  <si>
    <t>stan na 30.06.2017 roku, kwoty w złotych, koszty funkcjonowania obejmują wynagrodzenia, delegacje, noclegi</t>
  </si>
  <si>
    <t>KSOW Województwa Zachodniopomorskiego</t>
  </si>
  <si>
    <t>Operacje własne o zasięgu krajowym w roku 2016:
1. Dożynki prezydenckie w Spale - 1 wydarzenie, 2. Smaki Regionów - Poznań - 1 wydarzenie, 3. Natura Food - 1 wydarzenie. Operacje własne o zasięgu międzynarodowym: 1. Grune Woche 2016 - 1 wydarzenie.
Operacje własne o zasięgu krajowym w orku 2017: 1. Grune Woche 2017- 1 wydarzenie</t>
  </si>
  <si>
    <t xml:space="preserve">W przypadku imprez masowych, otwartych: Piknik nad Odrą, Jarmark Jakubowy, Święto Mleka i Zwierząt Hodowlanych organizowane przez Gminę Stare Czarnowo oraz Konkurs "Smaki Ryb Odrzańskich" w ramach Żabnickiego Lata z Rybką dane dot. liczby osób odwiedzających uzyskano do organizatorów. Liczby te to odpowiednio: 50000, 50000, 5000 i 1500 osób. </t>
  </si>
  <si>
    <t>"Inne". Rok 2015 - ulotki informacyjne dotyczące działań wdrażanych w ramach PROW 2014-2020 w województwie zachodniopomorskim, listowniki oraz publikacja artykułu w czasopiśmie branżowym. Rok 2016: publikacja artykułu poświęconego działaniom PROW 2014-2020, druk ulotek poświęconych PROW 2014-2020 oraz listowników</t>
  </si>
  <si>
    <t>Wojewódzka Grupa Robocza ds. KSOW zajmuje się opiniowaniem projektów uchwał dotyczących całego zakresu działań KSOW.</t>
  </si>
  <si>
    <t>Koszty funkcjonowania w roku 2015: 157 339,37 zł. Koszty funkcjonowania w roku 2016: 209 766,89 zł</t>
  </si>
  <si>
    <t>PK w roku 2017: 18572,38</t>
  </si>
  <si>
    <t>KSOW Województwa Wielkopolskiego</t>
  </si>
  <si>
    <r>
      <rPr>
        <b/>
        <sz val="10"/>
        <color indexed="8"/>
        <rFont val="Calibri"/>
        <family val="2"/>
        <charset val="238"/>
      </rPr>
      <t>2016r.</t>
    </r>
    <r>
      <rPr>
        <sz val="10"/>
        <color indexed="8"/>
        <rFont val="Calibri"/>
        <family val="2"/>
        <charset val="238"/>
      </rPr>
      <t xml:space="preserve"> Zasięg krajowy to: Tour Salon, Dożynki Prezydenckie w Spale, Agrotravel oraz Targi Smaki Regionów. Zasięg międzynarodowy: Grune Woche, Dzień Św. Marcina w Brukseli oraz dwa inne wyjazdy zagraniczne - Korea i Hesja. Zasięg lokalny/regionalny to  Dożynki w Liskowie oraz 49 wydarzeń w ramach wszystkich wniosków partnerów. 5 projektów partnerów KSOW realizowanych było w ramach kilku priorytetów.</t>
    </r>
    <r>
      <rPr>
        <b/>
        <sz val="10"/>
        <color indexed="8"/>
        <rFont val="Calibri"/>
        <family val="2"/>
        <charset val="238"/>
      </rPr>
      <t xml:space="preserve"> 2017 r</t>
    </r>
    <r>
      <rPr>
        <sz val="10"/>
        <color indexed="8"/>
        <rFont val="Calibri"/>
        <family val="2"/>
        <charset val="238"/>
      </rPr>
      <t>. zasięg międzynarodowy: Grune Woche, Miedzynarodowe Targi Turystyczner we Wrocławiu, Festyn Kraju Związkowego Hesja Dzień Hesji - Rüsselsheim.</t>
    </r>
  </si>
  <si>
    <r>
      <rPr>
        <b/>
        <sz val="10"/>
        <color indexed="8"/>
        <rFont val="Calibri"/>
        <family val="2"/>
        <charset val="238"/>
      </rPr>
      <t xml:space="preserve"> 2016r</t>
    </r>
    <r>
      <rPr>
        <sz val="10"/>
        <color indexed="8"/>
        <rFont val="Calibri"/>
        <family val="2"/>
        <charset val="238"/>
      </rPr>
      <t xml:space="preserve">. Zasięg krajowy to: Tour Salon - około 35 000 odwiedzających, Dożynki Prezydenckie w Spale - około 8 000 uczestników oraz Agrotravel - ok 20 000 uczestników, Targi Smaki Regionów to ok. 40 000 osób. Zasięg międzynarodowy: Grune Woche - około 411731 odwiedzających, Dzień Św. Marcina w Brukseli to ok. 400 osób, dwa pozostałe wyjazdy zagraniczne - do Hesji 11 osób do Korei 6 osób. Zasięg lokalny/regionalny to Dożynki w Liskowie ok. 500 osób oraz ok. 40 063 uczestników wydarzeń, organizowanych przez Partnerów KSOW </t>
    </r>
    <r>
      <rPr>
        <b/>
        <sz val="10"/>
        <color indexed="8"/>
        <rFont val="Calibri"/>
        <family val="2"/>
        <charset val="238"/>
      </rPr>
      <t>2017 r</t>
    </r>
    <r>
      <rPr>
        <sz val="10"/>
        <color indexed="8"/>
        <rFont val="Calibri"/>
        <family val="2"/>
        <charset val="238"/>
      </rPr>
      <t xml:space="preserve">. zasięg międzynarodowy: Grune Woche ok 401650 osób, Miedzynarodowe Targi Turystyczner we Wrocławiu ok. 10599, Festyn Kraju Związkowego Hesja Dzień Hesji - Rüsselsheim ok 1 400 000 osób.         </t>
    </r>
  </si>
  <si>
    <r>
      <rPr>
        <b/>
        <sz val="10"/>
        <color theme="1"/>
        <rFont val="Calibri"/>
        <family val="2"/>
        <charset val="238"/>
        <scheme val="minor"/>
      </rPr>
      <t>2016r.</t>
    </r>
    <r>
      <rPr>
        <sz val="10"/>
        <color theme="1"/>
        <rFont val="Calibri"/>
        <family val="2"/>
        <charset val="238"/>
        <scheme val="minor"/>
      </rPr>
      <t xml:space="preserve"> - publikacje w prasie - Monitor Wielkopolski, Nasza EuroProwincja, 16 publikacji w ramach PK, 1 projekt Partnera pn. "Wielkopolska wieś w zgodzie z zasadami gospodarki niskoemisyjnej - praktyczny Poradnik z nową perspektywą finansową" </t>
    </r>
    <r>
      <rPr>
        <b/>
        <sz val="10"/>
        <color theme="1"/>
        <rFont val="Calibri"/>
        <family val="2"/>
        <charset val="238"/>
        <scheme val="minor"/>
      </rPr>
      <t>2017 r.</t>
    </r>
    <r>
      <rPr>
        <sz val="10"/>
        <color theme="1"/>
        <rFont val="Calibri"/>
        <family val="2"/>
        <charset val="238"/>
        <scheme val="minor"/>
      </rPr>
      <t>- Monitor Wielkopolski, Nasza EuroProwincja.</t>
    </r>
  </si>
  <si>
    <r>
      <rPr>
        <b/>
        <sz val="10"/>
        <color indexed="8"/>
        <rFont val="Calibri"/>
        <family val="2"/>
        <charset val="238"/>
      </rPr>
      <t>2016r.</t>
    </r>
    <r>
      <rPr>
        <sz val="10"/>
        <color indexed="8"/>
        <rFont val="Calibri"/>
        <family val="2"/>
        <charset val="238"/>
      </rPr>
      <t xml:space="preserve"> -  5 spotów reklamowych w radio - Radio Centrum, Radio Merkury, Radio Sud Kępno, Radio Elka, Radio RMF MAXX Piła ;         Konkursy:  Wielkopolski Rolnik Roku; 3 projekty Partnerów pn. "IV edycja konkursu "Fundusz sołecki - najlepsza  inicjatywa" skierowanego do sołectw z terenu województwa wielkopolskiego"  oraz Konkursy: Plebiscyt "Super Rolnik Wielkopolski 2016" oraz Plebiscyt Koła Gospodyń Wiejskich.</t>
    </r>
    <r>
      <rPr>
        <b/>
        <sz val="10"/>
        <color indexed="8"/>
        <rFont val="Calibri"/>
        <family val="2"/>
        <charset val="238"/>
      </rPr>
      <t xml:space="preserve"> 2017 r</t>
    </r>
    <r>
      <rPr>
        <sz val="10"/>
        <color indexed="8"/>
        <rFont val="Calibri"/>
        <family val="2"/>
        <charset val="238"/>
      </rPr>
      <t>. Wielkopolski Rolnik Roku</t>
    </r>
  </si>
  <si>
    <r>
      <rPr>
        <b/>
        <sz val="10"/>
        <color theme="1"/>
        <rFont val="Calibri"/>
        <family val="2"/>
        <charset val="238"/>
        <scheme val="minor"/>
      </rPr>
      <t>2016r</t>
    </r>
    <r>
      <rPr>
        <sz val="10"/>
        <color theme="1"/>
        <rFont val="Calibri"/>
        <family val="2"/>
        <charset val="238"/>
        <scheme val="minor"/>
      </rPr>
      <t>. 6 obiegowych spotkań  - 5 - związane z monitorowaniem i sprawozdawczością, 1 -  akceptacja zmian PO 2016-2017 w 2016r.</t>
    </r>
    <r>
      <rPr>
        <b/>
        <sz val="10"/>
        <color theme="1"/>
        <rFont val="Calibri"/>
        <family val="2"/>
        <charset val="238"/>
        <scheme val="minor"/>
      </rPr>
      <t xml:space="preserve"> 2017 r.</t>
    </r>
    <r>
      <rPr>
        <sz val="10"/>
        <color theme="1"/>
        <rFont val="Calibri"/>
        <family val="2"/>
        <charset val="238"/>
        <scheme val="minor"/>
      </rPr>
      <t xml:space="preserve"> 2 posiedzenia i 3 posiedzenia obiegowe.</t>
    </r>
  </si>
  <si>
    <r>
      <rPr>
        <b/>
        <sz val="10"/>
        <color indexed="8"/>
        <rFont val="Calibri"/>
        <family val="2"/>
        <charset val="238"/>
      </rPr>
      <t>2016r</t>
    </r>
    <r>
      <rPr>
        <sz val="10"/>
        <color indexed="8"/>
        <rFont val="Calibri"/>
        <family val="2"/>
        <charset val="238"/>
      </rPr>
      <t xml:space="preserve">. 6 obiegowych spotkań  </t>
    </r>
    <r>
      <rPr>
        <b/>
        <sz val="10"/>
        <color indexed="8"/>
        <rFont val="Calibri"/>
        <family val="2"/>
        <charset val="238"/>
      </rPr>
      <t>2017 r</t>
    </r>
    <r>
      <rPr>
        <sz val="10"/>
        <color indexed="8"/>
        <rFont val="Calibri"/>
        <family val="2"/>
        <charset val="238"/>
      </rPr>
      <t>. 2 posiedzenia (styczeń, maj) i 3 posiedzenia obiegowe (kwiecień, 2x czerwiec)</t>
    </r>
  </si>
  <si>
    <r>
      <t xml:space="preserve">  </t>
    </r>
    <r>
      <rPr>
        <b/>
        <sz val="10"/>
        <color theme="1"/>
        <rFont val="Calibri"/>
        <family val="2"/>
        <charset val="238"/>
        <scheme val="minor"/>
      </rPr>
      <t>2016r</t>
    </r>
    <r>
      <rPr>
        <sz val="10"/>
        <color theme="1"/>
        <rFont val="Calibri"/>
        <family val="2"/>
        <scheme val="minor"/>
      </rPr>
      <t xml:space="preserve">. - 10 szkoleń w ramach PK i PO - operacje własne, 42 szkolenia w ramach wniosków Partnerów, 2 wyjazdy studyjne w ramach PO. </t>
    </r>
    <r>
      <rPr>
        <b/>
        <sz val="10"/>
        <color theme="1"/>
        <rFont val="Calibri"/>
        <family val="2"/>
        <charset val="238"/>
        <scheme val="minor"/>
      </rPr>
      <t>2017 r.</t>
    </r>
    <r>
      <rPr>
        <sz val="10"/>
        <color theme="1"/>
        <rFont val="Calibri"/>
        <family val="2"/>
        <scheme val="minor"/>
      </rPr>
      <t xml:space="preserve"> Spotkanie dotyczące realizacji operacji w roku 2017 przez partnerów KSOW w ramach PO KSOW 2016-2017, Spotkanie Konsultacyjno-szkoleniowe dotyczące wdrażania poddziałania 19.2 i 19.3, Szkolenie dotyczące wypełniania wniosków o płatność na operacje typu "Budowa lub modernizacja dróg lokalnych", Szkolenie dotyczące naboru wniosków na operacje "inwestycja w targowiska lub obiekty budowlane przeznaczone na cele promocji lokalnych produktów", Szkolenie dla partnerów KSOW dotyczące możliwości pozyskania funduszy z PROW 2014-2020</t>
    </r>
  </si>
  <si>
    <r>
      <t xml:space="preserve"> </t>
    </r>
    <r>
      <rPr>
        <b/>
        <sz val="10"/>
        <color indexed="8"/>
        <rFont val="Calibri"/>
        <family val="2"/>
        <charset val="238"/>
      </rPr>
      <t>2016 r</t>
    </r>
    <r>
      <rPr>
        <sz val="10"/>
        <color indexed="8"/>
        <rFont val="Calibri"/>
        <family val="2"/>
        <charset val="238"/>
      </rPr>
      <t xml:space="preserve">. - liczba uczestników szkoleń, organizowanych w ramach Planu Komunikacyjnego oraz operacji własnych to 756 osób, natomiast liczba uczestników szkoleń, organizowanych w ramach projektów Partnerów KSOW to około 4543 osoby, liczba uczestników wizyt studyjnych to 56 osób. </t>
    </r>
    <r>
      <rPr>
        <b/>
        <sz val="10"/>
        <color indexed="8"/>
        <rFont val="Calibri"/>
        <family val="2"/>
        <charset val="238"/>
      </rPr>
      <t>2017 r.</t>
    </r>
    <r>
      <rPr>
        <sz val="10"/>
        <color indexed="8"/>
        <rFont val="Calibri"/>
        <family val="2"/>
        <charset val="238"/>
      </rPr>
      <t xml:space="preserve"> 64- członkowie LGD, 170- gminy, powiaty, partnerzy KSOW, 119- osoby fizyczne i pracownicy UMWW.</t>
    </r>
  </si>
  <si>
    <t>Koszty funkcjonowania to: wynagrodzenia pracownicze, delegacje i przechowanie wikliny.</t>
  </si>
  <si>
    <r>
      <rPr>
        <b/>
        <sz val="16"/>
        <color theme="1"/>
        <rFont val="Calibri"/>
        <family val="2"/>
        <charset val="238"/>
        <scheme val="minor"/>
      </rPr>
      <t>KOMENTARZE:</t>
    </r>
    <r>
      <rPr>
        <sz val="16"/>
        <color theme="1"/>
        <rFont val="Calibri"/>
        <family val="2"/>
        <charset val="238"/>
        <scheme val="minor"/>
      </rPr>
      <t xml:space="preserve">  W 2017 r. zrealizowano następujące operacje w ramach Planu Komunikacyjnego (działanie 8): Monitor Wielkopolski na kwotę 12 329,45 zł (wartość netto), Szkolenie dla partnerów KSOW na kwotę 600 zł, Szkolenie "Inwestycje w targowiska" na kwotę 3 500 zł, Szkolenie "Pozyskiwanie funduszy UE" na kwotę 4 100 zł,  Zakup materiałów informacyjno-promocyjnych: drukowanych (kartki świąteczne Wielkanoc 2017) na kwotę 1 495 zł, Szkolenie dla potencjalnych beneficjentów oraz beneficjentów (drogi lokalne) na kwotę 3 150 zł,  Szkolenie dla LGD (poddziałania 19.2 i 19.3) na kwotę 2 450 zł, Zakup materiałów informacyjno-promocyjnych (gadżety) na kwotę 13 979,55 zł na łączną kwotę 41 604,00 zł.                                                                                          </t>
    </r>
    <r>
      <rPr>
        <b/>
        <sz val="16"/>
        <color theme="1"/>
        <rFont val="Calibri"/>
        <family val="2"/>
        <charset val="238"/>
        <scheme val="minor"/>
      </rPr>
      <t xml:space="preserve">Objaśnienie do obliczeń: </t>
    </r>
    <r>
      <rPr>
        <sz val="16"/>
        <color theme="1"/>
        <rFont val="Calibri"/>
        <family val="2"/>
        <charset val="238"/>
        <scheme val="minor"/>
      </rPr>
      <t xml:space="preserve">                                                                                                                                                                                                                                                                                           (budżet 2016) 1 191 641,14 zł+ (budżet 2017) 177 023,62 zł= 1 368 664,76 zł minus (Plan komunikacyjny 2017) 41 604,00 zł minus (koszt funcjonowania GR ds. KSOW) 1342 zł = 1 325 718,76 zł (kwota środków wypłaconych w ramach operacji częściowo rozliczonych i zakończonych złożonych przez partnerów i własnych w ramach PO 2016-2017 spójna z monitoringiem miesięcznych wg stanu na dzień 30 czerwca 2017.)</t>
    </r>
  </si>
  <si>
    <t>JR KSOW Woj. Warmińsko-Mazurskiego</t>
  </si>
  <si>
    <r>
      <rPr>
        <b/>
        <sz val="10"/>
        <color theme="1"/>
        <rFont val="Calibri"/>
        <family val="2"/>
        <charset val="238"/>
        <scheme val="minor"/>
      </rPr>
      <t xml:space="preserve">2015 </t>
    </r>
    <r>
      <rPr>
        <sz val="10"/>
        <color theme="1"/>
        <rFont val="Calibri"/>
        <family val="2"/>
        <charset val="238"/>
        <scheme val="minor"/>
      </rPr>
      <t xml:space="preserve">                                                                                                                                                                                                                                                                                                                                       2 publikacje w gazecie branżowej na temat działań wdrażanych w ramach PROW 2014-2020 przez Samorząd Województwa                                                 </t>
    </r>
    <r>
      <rPr>
        <b/>
        <sz val="10"/>
        <color theme="1"/>
        <rFont val="Calibri"/>
        <family val="2"/>
        <charset val="238"/>
        <scheme val="minor"/>
      </rPr>
      <t>2016</t>
    </r>
    <r>
      <rPr>
        <sz val="10"/>
        <color theme="1"/>
        <rFont val="Calibri"/>
        <family val="2"/>
        <charset val="238"/>
        <scheme val="minor"/>
      </rPr>
      <t xml:space="preserve">                                                                                                                                                                                                                                                                                                                                   2 publikacje w gazecie branżowej na temat działań wdrażanych w ramach PROW 2014-2020 przez Samorząd Województwa                                                   1 publikacja na temat jagnięciny i koźlęciny                                                                                                                                                                                                                                          1 publikacja na temat aktywizacji starszych osób                            </t>
    </r>
  </si>
  <si>
    <r>
      <rPr>
        <b/>
        <sz val="10"/>
        <color indexed="8"/>
        <rFont val="Calibri"/>
        <family val="2"/>
        <charset val="238"/>
      </rPr>
      <t>2015</t>
    </r>
    <r>
      <rPr>
        <sz val="10"/>
        <color indexed="8"/>
        <rFont val="Calibri"/>
        <family val="2"/>
        <charset val="238"/>
      </rPr>
      <t xml:space="preserve">                                                                                                                                                                                                                                                                                                                    tablice informacyjne dla beneficjentów PROW 2007-2013 - 79 sztuk                                                                                                                                                                               </t>
    </r>
    <r>
      <rPr>
        <b/>
        <sz val="10"/>
        <color indexed="8"/>
        <rFont val="Calibri"/>
        <family val="2"/>
        <charset val="238"/>
      </rPr>
      <t>2016</t>
    </r>
    <r>
      <rPr>
        <sz val="10"/>
        <color indexed="8"/>
        <rFont val="Calibri"/>
        <family val="2"/>
        <charset val="238"/>
      </rPr>
      <t xml:space="preserve">                                                                                                                                                                                                                                                                                                                 Konkursy związane z promocją i rozwojem obszarów wiejskich - 2, roll-upy i standy wykorzystywane do promocji - 8 sztuk, tabliczki informacyjne-4 sztuki, </t>
    </r>
  </si>
  <si>
    <t>Spotkanie wojewódzkiej grupy roboczej ds. KSOW</t>
  </si>
  <si>
    <t>Liczba osób biorących udział w spotkaniach wojewódzkiej grupy roboczej ds. KSOW w 2015 r.-12 osób                                                                                              Liczba osób biorących udział w spotkaniach wojewódzkiej grupy roboczej ds. KSOW w 2016 r., w szczegółowości: 1 spotkanie w trybie zwyczajnym - 9 osób, 5 akceptacji w trybie obiegowym - łącznie 43 osoby (te same osoby liczone przy każdej akceptacji w trybie obiegowym).  Liczba osób biorących udział w spotkaniach wojewódzkiej grupy roboczej ds. KSOW w 2017 r., w szczegółowości 5 spotkań w trybie obiegowym - łącznie 40 osób (te same osoby liczone przy każdej akceptacji w trybie obiegowym)</t>
  </si>
  <si>
    <r>
      <rPr>
        <b/>
        <sz val="10"/>
        <color theme="1"/>
        <rFont val="Calibri"/>
        <family val="2"/>
        <charset val="238"/>
        <scheme val="minor"/>
      </rPr>
      <t>2015</t>
    </r>
    <r>
      <rPr>
        <sz val="10"/>
        <color theme="1"/>
        <rFont val="Calibri"/>
        <family val="2"/>
        <scheme val="minor"/>
      </rPr>
      <t xml:space="preserve">                                                                                                                                                                                                                                                                                                                                  Szkolenie dla LGD.                                                                                                                                                                                                                                                                                                 Szkolenie dla beneficjentów działania "Budowa lub modernizacja dróg lokalnych w ramach PRWO 2014-2020".                                                                          </t>
    </r>
    <r>
      <rPr>
        <b/>
        <sz val="10"/>
        <color theme="1"/>
        <rFont val="Calibri"/>
        <family val="2"/>
        <charset val="238"/>
        <scheme val="minor"/>
      </rPr>
      <t>2016</t>
    </r>
    <r>
      <rPr>
        <sz val="10"/>
        <color theme="1"/>
        <rFont val="Calibri"/>
        <family val="2"/>
        <scheme val="minor"/>
      </rPr>
      <t xml:space="preserve">                                                                                                                                                                                                                                                                                                                                                                                                                        3 Szkolenia/spotkania z beneficjentami PROW 2014-2020 w ramach Planu komunikacyjnego.                                                                                                                      6 szkoleń związanych z promocją i rozwojem obszarów wiejskich.                                                                                                                                                                                            1 szkolenie dla LGD.                                                                                                                                                                                                                                                                                               3 cykle szkoleniowe w ramach trzech operacji realizowanych przez Partnera w ramach Planu operacyjnego na lata 2016-2017.                                         1 seminarium zrealizowane przez Partnera w ramach Planu operacyjnego na lata 2016-2017.                                                                                                                         1 wizyta studyjna do Białowieży                                                                                                                                                                                                                                                                  </t>
    </r>
    <r>
      <rPr>
        <b/>
        <sz val="10"/>
        <color theme="1"/>
        <rFont val="Calibri"/>
        <family val="2"/>
        <charset val="238"/>
        <scheme val="minor"/>
      </rPr>
      <t>2017</t>
    </r>
    <r>
      <rPr>
        <sz val="10"/>
        <color theme="1"/>
        <rFont val="Calibri"/>
        <family val="2"/>
        <scheme val="minor"/>
      </rPr>
      <t xml:space="preserve">                                                                                                                                                                                                                                                                                                                                    1 spotkanie informacyjne z beneficjentami PROW 2014-2020 w ramach Planu komunikacyjnego</t>
    </r>
  </si>
  <si>
    <r>
      <t xml:space="preserve">2015                                                                                                                                                                                                                                                                                                                                </t>
    </r>
    <r>
      <rPr>
        <sz val="10"/>
        <color indexed="8"/>
        <rFont val="Calibri"/>
        <family val="2"/>
        <charset val="238"/>
      </rPr>
      <t xml:space="preserve"> Szkolenie z zakresu działania  "Budowa lub modernizacja dróg lokalnych w ramach PRWO 2014-2020"-155 osób                                                                               Szkolenie dla LGD - 63 osoby                                                                                                                                                                                                                           </t>
    </r>
    <r>
      <rPr>
        <b/>
        <sz val="10"/>
        <color indexed="8"/>
        <rFont val="Calibri"/>
        <family val="2"/>
      </rPr>
      <t xml:space="preserve">                                            2016                                                                                                                                                                                                                                                                                                                               </t>
    </r>
    <r>
      <rPr>
        <sz val="10"/>
        <color indexed="8"/>
        <rFont val="Calibri"/>
        <family val="2"/>
        <charset val="238"/>
      </rPr>
      <t xml:space="preserve">Pracownicy Urzędu Marszałkowskiego, którzy brali udział w szkoleniach/spotkania z beneficjentami PROW 2014-2020-51 osób                                      Rolnicy, którzy barali udział w warsztatach serowarskich -32 osoby                                                                                                                                                                     Przedstawiciele LGD (udział w 3 spotkaniach/szkoleniach) - 117 osób                                                                                                                                                                                   Beneficjenci działań w ramach PROW 2014-2020 uczestniczący w 2 spotkaniach informacyjnych - 327 osób                                                                                    Mieszkańcy województwa warmińsko-mazurskiego/grupy docelowe biorące udział w 6 przedsiewzięciach przeprowadzonych przez partnerów KSOW  oraz  w 1 przedsięwzięciu własnym - 466 osób                                                                                                                                                                                                             </t>
    </r>
    <r>
      <rPr>
        <b/>
        <sz val="10"/>
        <color indexed="8"/>
        <rFont val="Calibri"/>
        <family val="2"/>
        <charset val="238"/>
      </rPr>
      <t>2017</t>
    </r>
    <r>
      <rPr>
        <sz val="10"/>
        <color indexed="8"/>
        <rFont val="Calibri"/>
        <family val="2"/>
        <charset val="238"/>
      </rPr>
      <t xml:space="preserve">                                                                                                                                                                                                                                                                                                                                                                                                                Beneficjenci operacji dotyczących gospodarki wodno-ściekowej-37 osób                                                                                                                                                       Pracownicy Urzędu Marszałkowskiego, którzy brali udział w spotkaniu z beneficjentami operacji dotyczących gospodarki wodno-ściekowej-19 osób                                                                                  </t>
    </r>
  </si>
  <si>
    <t>wynagrodzenie, koszty: materiałów eksploatacyjnych i biurowych, paliwa, delegacji, usług telekomunikacyjnych, udział pracowników w szkoleniach</t>
  </si>
  <si>
    <t>Na Plan komunikacyjny w 2017 roku do 30 czerwca wydatkowano kwotę 2 600 zł.</t>
  </si>
  <si>
    <t>SR KSOW Województwa Świętokrzyskiego</t>
  </si>
  <si>
    <r>
      <rPr>
        <b/>
        <sz val="10"/>
        <color indexed="8"/>
        <rFont val="Calibri"/>
        <family val="2"/>
        <charset val="238"/>
      </rPr>
      <t>Rok 2016</t>
    </r>
    <r>
      <rPr>
        <sz val="10"/>
        <color indexed="8"/>
        <rFont val="Calibri"/>
        <family val="2"/>
        <charset val="238"/>
      </rPr>
      <t xml:space="preserve"> - 2i3; 4i5; 6 - operacja dotyczy wsparcia organizacji cyklicznych Spotkań Sadowniczych w Sandomierzu w roku 2016, działania o charakterze targowo-wystawienniczo-konferencyjnym, realizującego kilka priorytetów.                                                                                                                                                              W jednym wydarzeniu o zasięgu krajowym pn. LGD Świętokrzyskie ponad wszystkie! - AGROTRAVEL - wynajem powierzchni targowej, zabudowa, wyposażenie - poza SR KSOW wo. świętokrzyskiego uczestniczyło  siedem  jednostek sieci KSOW.                                                                                                     Nazwy wszystkich działań, zrealizowanych w  2016 roku, zostały opisane w komentarzu do tabeli 1.2</t>
    </r>
  </si>
  <si>
    <r>
      <rPr>
        <b/>
        <sz val="10"/>
        <color indexed="8"/>
        <rFont val="Calibri"/>
        <family val="2"/>
        <charset val="238"/>
      </rPr>
      <t>Rok 2016</t>
    </r>
    <r>
      <rPr>
        <sz val="10"/>
        <color indexed="8"/>
        <rFont val="Calibri"/>
        <family val="2"/>
        <charset val="238"/>
      </rPr>
      <t xml:space="preserve"> - Liczba uczestników w przypadku wydarzeń, podczas których nie była sporządzona lista obecności lub  formularze zgłoszeniowe podana została na podstawie sprawozdania złożonego przez wykonawcę, liczby zaproszeń, liczby mieszkańców gminy (imprezy plenerowe). W przypadku targów jest to liczba ustalona na podstawie liczby osób wystawców, odwiedzjących stoisko w ciagu każdego dnia targowego oraz liczba sprzedanych biletów.    </t>
    </r>
    <r>
      <rPr>
        <b/>
        <sz val="10"/>
        <color indexed="8"/>
        <rFont val="Calibri"/>
        <family val="2"/>
        <charset val="238"/>
      </rPr>
      <t xml:space="preserve">Wydarzenia lokalne: </t>
    </r>
    <r>
      <rPr>
        <sz val="10"/>
        <color indexed="8"/>
        <rFont val="Calibri"/>
        <family val="2"/>
        <charset val="238"/>
      </rPr>
      <t xml:space="preserve">Szkolenie lokalnych grup działania województwa świętokrzyskiego (40 osób); II Forum Aktywnych Kobiet Ziemi Koneckiej - Produkt Tradycyjny i lokalny czynnikiem rozwoju obszarów wiejskich (104 osoby);  Organizacja konferencji podczas imprezy pn.: „Wojewódzkie Święto Kwitnącej Wiśni – Nowe 2016” ( 360 osób); </t>
    </r>
    <r>
      <rPr>
        <b/>
        <sz val="10"/>
        <color indexed="8"/>
        <rFont val="Calibri"/>
        <family val="2"/>
        <charset val="238"/>
      </rPr>
      <t xml:space="preserve"> </t>
    </r>
    <r>
      <rPr>
        <sz val="10"/>
        <color indexed="8"/>
        <rFont val="Calibri"/>
        <family val="2"/>
        <charset val="238"/>
      </rPr>
      <t>Organizacja X Festiwalu Ludowego im. Stefana Ostrowskiego i Jana Jawora (2 tys. osób); Upowszechnianie dobrych praktyk w zakresie rozwoju obszarów wiejskich poprzez organizację XIX Dnia Świetokrzyskiej Truskawki (2 tys. osób);Prezentacja produktu regionalnego podczas wydarzenia pn.„Świętokrzyska Victoria” ( 400 osób);  Organizacja Finału Regionalnego Konkursu „Nasze Kulinarne Dziedzictwo – Smaki Regionów” ( tysiąc osób)</t>
    </r>
    <r>
      <rPr>
        <b/>
        <sz val="10"/>
        <color indexed="8"/>
        <rFont val="Calibri"/>
        <family val="2"/>
        <charset val="238"/>
      </rPr>
      <t xml:space="preserve">; </t>
    </r>
    <r>
      <rPr>
        <sz val="10"/>
        <color indexed="8"/>
        <rFont val="Calibri"/>
        <family val="2"/>
        <charset val="238"/>
      </rPr>
      <t>Promowanie wartości kulturowych obszarów wiejskich poprzez organizację XVI Świętokrzyskich Dożynek Wojewódzkich (1500 osó);</t>
    </r>
    <r>
      <rPr>
        <b/>
        <sz val="10"/>
        <color indexed="8"/>
        <rFont val="Calibri"/>
        <family val="2"/>
        <charset val="238"/>
      </rPr>
      <t xml:space="preserve"> </t>
    </r>
    <r>
      <rPr>
        <sz val="10"/>
        <color indexed="8"/>
        <rFont val="Calibri"/>
        <family val="2"/>
        <charset val="238"/>
      </rPr>
      <t xml:space="preserve"> Organizacja konkursu "Na najpiękniejszy wieniec dożynkowy"podczas XVI Świętokrzyskich Dożynek Wojewódzkich (520 osób); Promocja produktów lokalnych poprzez organizację konkursu kulinarnego "Przez Żołądek do Serca" (180 osób); Organizacja plenerowego wydarzenia promocyjno-edukacyjnego pn. "Dary Świętokrzyskich Lasów" (3000 osób);  organizacja wyjazdu studyjnego na XVIII Międzynarodową wystawę Rolniczą AGRO SHOW w Bednarach w celu gromadzenia i upowszechnienia dobrych praktyk mających wpływ na obszary wiejskie (35 osób); Organizacja szkoleniapn. "Innowacyjne metody chowu małych przeżuwaczy" (61 osób); Organizacjad  szkolenia na temat wymiany doświadczeń w zakresie rozwoju obszarów wiejskich poprzez działalność lokalnych stowarzyszeń, na przykładzie działań Świętokrzyskiej Izby Rolniczej i Świętokrzyskiej Federacji Agroturystyki i Turystki Wiejskiej „Ziemia Świętokrzyska" (156 osób); Organizacja szkolenia pn. „Podniesienie konkurencyjności gospodarstw rolnych poprzez zrzeszanie się rolników ze szczególnym uwzględnieniem formy spółdzielczej” (199 osób); W ramach Planu komunikacyjnego spotkania informacyjno – szkoleniowe przed naborami na Gospodarkę wodno-ściekową i Odnowę wsi (179 osób). (</t>
    </r>
    <r>
      <rPr>
        <b/>
        <sz val="10"/>
        <color indexed="8"/>
        <rFont val="Calibri"/>
        <family val="2"/>
        <charset val="238"/>
      </rPr>
      <t xml:space="preserve">Wydarzenia krajowe: </t>
    </r>
    <r>
      <rPr>
        <sz val="10"/>
        <color indexed="8"/>
        <rFont val="Calibri"/>
        <family val="2"/>
        <charset val="238"/>
      </rPr>
      <t xml:space="preserve"> Udział w Targach Ekologia dla Rodziny ECOFAMILY 2016  w Kielcach (3 tys. osób w tym 10 wystawców z woj. św.) ; Organizacja działania propagującego produkt regionalny województwa świętokrzyskiego podczas Spotkania Noworocznego Członków Warszawskiego Klubu Przyjaciół Ziemi Kieleckiej (450 osób); Prezentacja produktu regionalnego podczas Mistrzostw Polski Urzędów Marszałkowskich w Piłce Nożnej Halowej „Świętokrzyskie 2016” (300 osób); Wsparcie organizacji cyklicznych "XXV Spotkań Sadowniczych SANDOMIERZ 2016" o charakterze targowo - wystawienniczo konferencyjnym w celu ułatwienia transferu wiedzy i innowacji w rolnictwie oraz zwiekszenia rentowności i konkurencyjności gospodarstw sadowniczych (300 osób); Olimpiada Młodych Producentów Rolnych Finał Krajowy ( 90 osób); Organizacja i Przeprowadzenie Ogólnopolskiego Festiwalu Artystycznego Wsi Polskiej 2016 (400 osób); Udział w Targach Technologii Sadowniczych i Warzywniczych HORTI-TECH (200 osób); Promocja wartości kulturowych obszarów wiejskich woj. świętokrzyskiego podczas Dożynek Prezydenckich w Spale (3000 osób); </t>
    </r>
    <r>
      <rPr>
        <b/>
        <sz val="10"/>
        <color indexed="8"/>
        <rFont val="Calibri"/>
        <family val="2"/>
        <charset val="238"/>
      </rPr>
      <t xml:space="preserve">Wydarzenia międzynarodowe: </t>
    </r>
    <r>
      <rPr>
        <sz val="10"/>
        <color indexed="8"/>
        <rFont val="Calibri"/>
        <family val="2"/>
        <charset val="238"/>
      </rPr>
      <t xml:space="preserve">LGD Świętokrzyskie ponad wszystkie! - AGROTRAVEL - wynajem powierzchni targowej, zabudowa, wyposażenie (20 tys.osób w tym 16 wystawców LGD-ów) . </t>
    </r>
  </si>
  <si>
    <r>
      <t xml:space="preserve">swietokrzyskie.ksow.pl; </t>
    </r>
    <r>
      <rPr>
        <sz val="10"/>
        <color rgb="FF00B050"/>
        <rFont val="Calibri"/>
        <family val="2"/>
        <charset val="238"/>
      </rPr>
      <t xml:space="preserve">prow2014-2020.sbrr.pl </t>
    </r>
  </si>
  <si>
    <r>
      <rPr>
        <b/>
        <sz val="10"/>
        <color theme="1"/>
        <rFont val="Calibri"/>
        <family val="2"/>
        <charset val="238"/>
        <scheme val="minor"/>
      </rPr>
      <t>Rok 2016</t>
    </r>
    <r>
      <rPr>
        <sz val="10"/>
        <color theme="1"/>
        <rFont val="Calibri"/>
        <family val="2"/>
        <charset val="238"/>
        <scheme val="minor"/>
      </rPr>
      <t xml:space="preserve"> - 6 posiedzeń Wojewódzkiej Grupy Roboczej ds. KSOW w sprawie: zaopiniowanie informacji z realizacji Planu Działania 2014-2015 w ramach PROW 2007-2013; zaopiniowanie informacji półrocznej z realizacji Planu Operacyjnego na lata 2014-2015 w ramach PROW 2014-2020 oraz sprawozdania dwuletniego z realizacji Planu Operacyjnego na lata 2014-2015 w ramach PROW 2014-2020; zaopiniowanie sprawozdania rocznego z realizacji Planu działania Krajowej Sieci Obszarów Wiejskich na lata 2014-2020 za rok 2015; zaopiniowania propozycji zmiany nazwy działania w Planie operacyjnym Krajowej Sieci Obszarów Wiejskichna lata 2016-2017 w ramach Programu Rozwoju Obszarów Wiejskich na lata 2014-2020; zaopiniowania I Informacji półrocznej z realizacji Planu operacyjnego KSOW na lata 2016-2017 w ramach PROW na lata 2014-2020; zaopiniowania II Informacji półrocznej z realizacji Planu operacyjnego KSOW na lata 2016-2017 w ramach PROW na lata 2014-2020.
</t>
    </r>
    <r>
      <rPr>
        <b/>
        <sz val="10"/>
        <color theme="1"/>
        <rFont val="Calibri"/>
        <family val="2"/>
        <charset val="238"/>
        <scheme val="minor"/>
      </rPr>
      <t xml:space="preserve">Rok 2017 </t>
    </r>
    <r>
      <rPr>
        <sz val="10"/>
        <color theme="1"/>
        <rFont val="Calibri"/>
        <family val="2"/>
        <charset val="238"/>
        <scheme val="minor"/>
      </rPr>
      <t xml:space="preserve">- 2 posiedzenia Wojewódzkiej Grupy Roboczej ds. KSOW: 1 posiedzenie w sprawie rekomendacji działań skierowanych do realizacji w ramach Planu komunikacyjnego Planu operacyjnego na lata 2016 – 2017 na 2017 rok Planu Działania Krajowej Sieci Obszarów Wiejskich na lata 2014 – 2020 dla województwa świętokrzyskiego; zaopiniowania Listy ocenianych operacji i wybranych do realizacji Planu operacyjnego na lata 2016 – 2017 na 2017 rok Planu Działania Krajowej Sieci Obszarów Wiejskich na lata 2014 – 2020 dla województwa świętokrzyskiego oraz zaopiniowania zmian w Planie operacyjnym na lata 2016 – 2017 Planu Działania Krajowej Sieci Obszarów Wiejskich na lata 2014 – 2020 dla województwa świętokrzyskiego; 2 posiedzenie w sprawie zaopiniowania Sprawozdania rocznego z realizacji Planu działania Krajowej Sieci Obszarów Wiejskich za rok 2016 w ramach Programu Rozwoju Obszarów Wiejskich na lata 2014-2020.
</t>
    </r>
  </si>
  <si>
    <t>II Forum Aktywnych Kobiet Ziemi Koneckiej - Produkt Tradycyjny i lokalny czynnikiem rozwoju obszarów wiejskich - osoby działające w organizacjach pozarządowych tj. stowarzyszeniach, grupach kobiecych formalnych i nieformalnych, kobiety pracujące dla dobra społeczności; szkolenie lokalnych grup działania województwa świętokrzyskiego - pracownicy lokalnych grup działania województwa świętokrzyskiego.  szkolenie SIR - liderzy wiejskich organizacji i grup nieformalnych, predstawiciele Świętokrzyskiej Izby Rolniczej oraz Świętokrzyskiej Federacji Agroturystyki i Turystyki Wiejskiej "Ziemia Świętokrzyska"; wyjazd studyjny - rolnicy, producenci, doradcy, przedstwiciele administracji rządowej i samorządowej; szkolenie małe przezuwacze - rolnicy, Świętokrzyski Związek Hodowców Owiec i Kóz firmy ubojowe, przetwórcze i handlowe;  szkolenie ŚODR - rolnicy prowadzący działalnosc rolniczą</t>
  </si>
  <si>
    <t xml:space="preserve">Zebranie od LGD-ów informacji dotyczących realizacji projektów w zakresie współpracy międzynarodowej oraz poszukiwania partnerów zagranicznych. </t>
  </si>
  <si>
    <t>Koszty funkcjonowania - koszty administracyjne</t>
  </si>
  <si>
    <t>[Jednostaka Regionalna KSOW w województwie śląskim]</t>
  </si>
  <si>
    <t>Stan na dzień 30.06.2017 r.</t>
  </si>
  <si>
    <r>
      <rPr>
        <b/>
        <u/>
        <sz val="12"/>
        <color rgb="FF000000"/>
        <rFont val="Calibri"/>
        <family val="2"/>
        <charset val="238"/>
      </rPr>
      <t xml:space="preserve">Cel i kontekst Wspólnej </t>
    </r>
    <r>
      <rPr>
        <b/>
        <u/>
        <sz val="12"/>
        <color rgb="FF000000"/>
        <rFont val="Calibri"/>
        <family val="2"/>
        <charset val="238"/>
      </rPr>
      <t>Statystyki Sieci</t>
    </r>
    <r>
      <rPr>
        <b/>
        <u/>
        <sz val="12"/>
        <color rgb="FF000000"/>
        <rFont val="Calibri"/>
        <family val="2"/>
        <charset val="238"/>
      </rPr>
      <t xml:space="preserve">
</t>
    </r>
    <r>
      <rPr>
        <sz val="12"/>
        <color rgb="FF000000"/>
        <rFont val="Calibri"/>
        <family val="2"/>
        <charset val="238"/>
      </rPr>
      <t xml:space="preserve">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rgb="FF000000"/>
        <rFont val="Calibri"/>
        <family val="2"/>
        <charset val="238"/>
      </rPr>
      <t xml:space="preserve">Powiązania między Wspólną </t>
    </r>
    <r>
      <rPr>
        <b/>
        <u/>
        <sz val="12"/>
        <color rgb="FF000000"/>
        <rFont val="Calibri"/>
        <family val="2"/>
        <charset val="238"/>
      </rPr>
      <t xml:space="preserve">Statystyką Sieci i </t>
    </r>
    <r>
      <rPr>
        <b/>
        <u/>
        <sz val="12"/>
        <color rgb="FF000000"/>
        <rFont val="Calibri"/>
        <family val="2"/>
        <charset val="238"/>
      </rPr>
      <t xml:space="preserve">obligatoryjnymi wskaźnikami </t>
    </r>
    <r>
      <rPr>
        <b/>
        <u/>
        <sz val="12"/>
        <color rgb="FF000000"/>
        <rFont val="Calibri"/>
        <family val="2"/>
        <charset val="238"/>
      </rPr>
      <t xml:space="preserve">monitorowania określonymi w </t>
    </r>
    <r>
      <rPr>
        <b/>
        <u/>
        <sz val="12"/>
        <color rgb="FF000000"/>
        <rFont val="Calibri"/>
        <family val="2"/>
        <charset val="238"/>
      </rPr>
      <t xml:space="preserve">rozporządzeniu wykonawczym </t>
    </r>
    <r>
      <rPr>
        <b/>
        <u/>
        <sz val="12"/>
        <color rgb="FF000000"/>
        <rFont val="Calibri"/>
        <family val="2"/>
        <charset val="238"/>
      </rPr>
      <t>KE (UE) nr 808/2014</t>
    </r>
    <r>
      <rPr>
        <b/>
        <u/>
        <sz val="12"/>
        <color rgb="FF000000"/>
        <rFont val="Calibri"/>
        <family val="2"/>
        <charset val="238"/>
      </rPr>
      <t xml:space="preserve">
</t>
    </r>
    <r>
      <rPr>
        <sz val="12"/>
        <color rgb="FF000000"/>
        <rFont val="Calibri"/>
        <family val="2"/>
        <charset val="238"/>
      </rPr>
      <t xml:space="preserve">Celem Wspólnej Statystyki Sieci jest ułatwienie zbierania danych do obligatoryjnych wskaźników. Wszystkie podmioty zaangażowane w realizację zadań sieci wypełniają tylko arkusz </t>
    </r>
    <r>
      <rPr>
        <i/>
        <sz val="12"/>
        <color rgb="FF000000"/>
        <rFont val="Calibri"/>
        <family val="2"/>
        <charset val="238"/>
      </rPr>
      <t>"Wspólna Statystyka Sieci".</t>
    </r>
    <r>
      <rPr>
        <i/>
        <sz val="12"/>
        <color rgb="FF000000"/>
        <rFont val="Calibri"/>
        <family val="2"/>
        <charset val="238"/>
      </rPr>
      <t xml:space="preserve">
</t>
    </r>
    <r>
      <rPr>
        <sz val="12"/>
        <color rgb="FF000000"/>
        <rFont val="Calibri"/>
        <family val="2"/>
        <charset val="238"/>
      </rPr>
      <t xml:space="preserve">
</t>
    </r>
    <r>
      <rPr>
        <b/>
        <u/>
        <sz val="12"/>
        <color rgb="FF000000"/>
        <rFont val="Calibri"/>
        <family val="2"/>
        <charset val="238"/>
      </rPr>
      <t xml:space="preserve">Definicje i wytyczne do </t>
    </r>
    <r>
      <rPr>
        <b/>
        <u/>
        <sz val="12"/>
        <color rgb="FF000000"/>
        <rFont val="Calibri"/>
        <family val="2"/>
        <charset val="238"/>
      </rPr>
      <t>poszczególnych wskaźników</t>
    </r>
    <r>
      <rPr>
        <b/>
        <u/>
        <sz val="12"/>
        <color rgb="FF000000"/>
        <rFont val="Calibri"/>
        <family val="2"/>
        <charset val="238"/>
      </rPr>
      <t xml:space="preserve">
</t>
    </r>
    <r>
      <rPr>
        <sz val="12"/>
        <color rgb="FF000000"/>
        <rFont val="Calibri"/>
        <family val="2"/>
        <charset val="238"/>
      </rPr>
      <t>W opisie poszczególnych wskaźników/mierników znajdują się wytyczne dla każdego wskaźnika. W sytuacji, kiedy wytyczne nie są jasne albo mierniki/wskaźniki nie są możliwe do uzupełnienia - prosimy wypełnić rubrykę "K</t>
    </r>
    <r>
      <rPr>
        <i/>
        <sz val="12"/>
        <color rgb="FF000000"/>
        <rFont val="Calibri"/>
        <family val="2"/>
        <charset val="238"/>
      </rPr>
      <t>omentarze"</t>
    </r>
    <r>
      <rPr>
        <sz val="12"/>
        <color rgb="FF000000"/>
        <rFont val="Calibri"/>
        <family val="2"/>
        <charset val="238"/>
      </rPr>
      <t xml:space="preserve">.
 Zakres tematyczny został powiązany z priorytetami PROW 2014-2020.
</t>
    </r>
    <r>
      <rPr>
        <b/>
        <u/>
        <sz val="12"/>
        <color rgb="FF000000"/>
        <rFont val="Calibri"/>
        <family val="2"/>
        <charset val="238"/>
      </rPr>
      <t>Udział w budżecie</t>
    </r>
    <r>
      <rPr>
        <b/>
        <u/>
        <sz val="12"/>
        <color rgb="FF000000"/>
        <rFont val="Calibri"/>
        <family val="2"/>
        <charset val="238"/>
      </rPr>
      <t xml:space="preserve">
</t>
    </r>
    <r>
      <rPr>
        <sz val="12"/>
        <color rgb="FF000000"/>
        <rFont val="Calibri"/>
        <family val="2"/>
        <charset val="238"/>
      </rPr>
      <t>Szacowany podział budżetu (Tabela 8) ma na celu dostarczenie informacji jak proporcjonalnie środki</t>
    </r>
    <r>
      <rPr>
        <b/>
        <sz val="12"/>
        <color rgb="FF000000"/>
        <rFont val="Calibri"/>
        <family val="2"/>
        <charset val="238"/>
      </rPr>
      <t xml:space="preserve"> </t>
    </r>
    <r>
      <rPr>
        <sz val="12"/>
        <color rgb="FF000000"/>
        <rFont val="Calibri"/>
        <family val="2"/>
        <charset val="238"/>
      </rPr>
      <t xml:space="preserve">rocznego budżetu sieci zostały przeznaczone na odpowiednie działania objęte wskaźnikami. Proszę podaj budzet dla poszczególnych kategorii i wskaż trudności w komentarzu.
</t>
    </r>
  </si>
  <si>
    <r>
      <t>Komentarze</t>
    </r>
    <r>
      <rPr>
        <sz val="10"/>
        <color rgb="FF000000"/>
        <rFont val="Calibri"/>
        <family val="2"/>
        <charset val="238"/>
      </rPr>
      <t xml:space="preserve">
(proszę wskazać co jest rozumiane </t>
    </r>
    <r>
      <rPr>
        <sz val="10"/>
        <color rgb="FF000000"/>
        <rFont val="Calibri"/>
        <family val="2"/>
        <charset val="238"/>
      </rPr>
      <t>przez kategorię "inne")</t>
    </r>
  </si>
  <si>
    <t>z naciskiem na LEADER/RLKS i LGD (włączając współpracę) (P6)</t>
  </si>
  <si>
    <r>
      <rPr>
        <b/>
        <sz val="10"/>
        <rFont val="Calibri"/>
        <family val="2"/>
        <charset val="238"/>
      </rPr>
      <t>1. ROK 2016:</t>
    </r>
    <r>
      <rPr>
        <sz val="10"/>
        <rFont val="Calibri"/>
        <family val="2"/>
        <charset val="238"/>
      </rPr>
      <t xml:space="preserve"> W kolumnie Inne lub mieszane uwzględniono operacja kładące nacisk na szeroko rozumiane zachowanie i ochronę dziedzictwa kulturowego (P6) a także takie operacje  jak konkurs fotograficzny, konkurs "Zadbajmy o wodę na wsi", targi AGROTRAVEL, targi Atrakcje Regionów oraz Forum Sołtysów Województwa Śląskiego.                                                                                                                                                                                                                                                                                                                                      </t>
    </r>
    <r>
      <rPr>
        <u/>
        <sz val="10"/>
        <rFont val="Calibri"/>
        <family val="2"/>
        <charset val="238"/>
      </rPr>
      <t xml:space="preserve">Wydarzenia krajowe: </t>
    </r>
    <r>
      <rPr>
        <sz val="10"/>
        <rFont val="Calibri"/>
        <family val="2"/>
        <charset val="238"/>
      </rPr>
      <t xml:space="preserve">
- Udział w Targach Turystyki Weekendowej "Atrakcje Regionów" – 40 000 osób,
- Dożynki Jasnogórskie połączone z Jubileuszem 150-lecia Kół Gospodyń Wiejskich – 50 000 osób.
</t>
    </r>
    <r>
      <rPr>
        <u/>
        <sz val="10"/>
        <rFont val="Calibri"/>
        <family val="2"/>
        <charset val="238"/>
      </rPr>
      <t xml:space="preserve">Wydarzenia międzynarodowe: </t>
    </r>
    <r>
      <rPr>
        <sz val="10"/>
        <rFont val="Calibri"/>
        <family val="2"/>
        <charset val="238"/>
      </rPr>
      <t xml:space="preserve">
- Udział w VIII Międzynarodowych Targach Turystyki Wiejskiej  i Agroturystyki AGROTRAVEL 2016 – 20 000 osób; 
- Festiwal Kultury Polskiej i Żydowskiej „XIV Święto Ciulimu-Czulentu” Lelowskie Spotkanie Kultur – 10 000 osób;
2</t>
    </r>
    <r>
      <rPr>
        <b/>
        <sz val="10"/>
        <rFont val="Calibri"/>
        <family val="2"/>
        <charset val="238"/>
      </rPr>
      <t>. ROK 2017</t>
    </r>
    <r>
      <rPr>
        <sz val="10"/>
        <rFont val="Calibri"/>
        <family val="2"/>
        <charset val="238"/>
      </rPr>
      <t xml:space="preserve">:
</t>
    </r>
    <r>
      <rPr>
        <u/>
        <sz val="10"/>
        <rFont val="Calibri"/>
        <family val="2"/>
        <charset val="238"/>
      </rPr>
      <t>Wydarzenia krajowe</t>
    </r>
    <r>
      <rPr>
        <sz val="10"/>
        <rFont val="Calibri"/>
        <family val="2"/>
        <charset val="238"/>
      </rPr>
      <t>:                                                                                                                                                                                                                                                                                                                                                                                                                                       - Udział w Targach Turystyki Weekendowej ATRAKCJE REGIONÓW - 15 000 osób</t>
    </r>
  </si>
  <si>
    <r>
      <rPr>
        <b/>
        <sz val="10"/>
        <color rgb="FF000000"/>
        <rFont val="Calibri"/>
        <family val="2"/>
        <charset val="238"/>
      </rPr>
      <t>1. ROK 2016:</t>
    </r>
    <r>
      <rPr>
        <u/>
        <sz val="10"/>
        <color rgb="FF000000"/>
        <rFont val="Calibri"/>
        <family val="2"/>
        <charset val="238"/>
      </rPr>
      <t xml:space="preserve"> </t>
    </r>
    <r>
      <rPr>
        <sz val="10"/>
        <color rgb="FF000000"/>
        <rFont val="Calibri"/>
        <family val="2"/>
        <charset val="238"/>
      </rPr>
      <t xml:space="preserve">Liczbę uczestników określono na podstawie posiadanych list obecności (dot. spotkania-60 osób, konferencji- 378 osób, spartakiady-200 osób) oraz na podstawie informacji uzyskanych od Partnerów KSOW organizujących dane wydarzenie (dot. m.in. imprez plenerowych-20 962 osób, przeglądów-450 osób, targów-60 000 osób, dożynek-50 000 osób, które są imprezami o charakterze otwartym  a liczba odwiedzających jest szacunkowa).                                                                                                                                                                                                                </t>
    </r>
    <r>
      <rPr>
        <u/>
        <sz val="10"/>
        <color rgb="FF000000"/>
        <rFont val="Calibri"/>
        <family val="2"/>
        <charset val="238"/>
      </rPr>
      <t xml:space="preserve">                                                                                                                                   Wydarzenia krajowe: </t>
    </r>
    <r>
      <rPr>
        <sz val="10"/>
        <color rgb="FF000000"/>
        <rFont val="Calibri"/>
        <family val="2"/>
        <charset val="238"/>
      </rPr>
      <t xml:space="preserve">
- Udział w Targach Turystyki Weekendowej "Atrakcje Regionów" – 40 000 osób,
- Dożynki Jasnogórskie połączone z Jubileuszem 150-lecia Kół Gospodyń Wiejskich – 50 000 osób.
</t>
    </r>
    <r>
      <rPr>
        <u/>
        <sz val="10"/>
        <color rgb="FF000000"/>
        <rFont val="Calibri"/>
        <family val="2"/>
        <charset val="238"/>
      </rPr>
      <t xml:space="preserve">Wydarzenia międzynarodowe: </t>
    </r>
    <r>
      <rPr>
        <sz val="10"/>
        <color rgb="FF000000"/>
        <rFont val="Calibri"/>
        <family val="2"/>
        <charset val="238"/>
      </rPr>
      <t xml:space="preserve">
- Udział w VIII Międzynarodowych Targach Turystyki Wiejskiej  i Agroturystyki AGROTRAVEL 2016 – 20 000 osób; 
- Festiwal Kultury Polskiej i Żydowskiej „XIV Święto Ciulimu-Czulentu” Lelowskie Spotkanie Kultur – 10 000 osób;
2</t>
    </r>
    <r>
      <rPr>
        <b/>
        <sz val="10"/>
        <color rgb="FF000000"/>
        <rFont val="Calibri"/>
        <family val="2"/>
        <charset val="238"/>
      </rPr>
      <t>. ROK 2017:</t>
    </r>
    <r>
      <rPr>
        <b/>
        <u/>
        <sz val="10"/>
        <color rgb="FF000000"/>
        <rFont val="Calibri"/>
        <family val="2"/>
        <charset val="238"/>
      </rPr>
      <t xml:space="preserve">
</t>
    </r>
    <r>
      <rPr>
        <sz val="10"/>
        <color rgb="FF000000"/>
        <rFont val="Calibri"/>
        <family val="2"/>
        <charset val="238"/>
      </rPr>
      <t xml:space="preserve">Wydarzenia krajowe:                                                                                                                                                                                                                                                                                                                                                                                                                                       - Udział w Targach Turystyki Weekendowej ATRAKCJE REGIONÓW - 15 000 osób (Dane dotyczące liczby osób wizytujących targi pochodzi ze strony organizatora www.atrakcje-regionow.pl).                                                                                                                                                                     
                              </t>
    </r>
  </si>
  <si>
    <r>
      <rPr>
        <b/>
        <sz val="10"/>
        <color rgb="FF000000"/>
        <rFont val="Calibri"/>
        <family val="2"/>
        <charset val="238"/>
      </rPr>
      <t xml:space="preserve">1. ROK 2016: </t>
    </r>
    <r>
      <rPr>
        <sz val="10"/>
        <color rgb="FF000000"/>
        <rFont val="Calibri"/>
        <family val="2"/>
        <charset val="238"/>
      </rPr>
      <t>Dane wskazane w niniejszej tabeli dotyczą statystyki strony KSOW województwa śląskiego administrowanej przez Jednostkę Centralną KSOW oraz statystyki strony PROW 2014-2020. Dane statystyczne strony PROW 2014-2020 dotyczą okresu 23.05 - 31.12.2016 r. z uwagi na to, że do tego czasu strona była w budowie i nie było możliwości zebrania tych danych.
2</t>
    </r>
    <r>
      <rPr>
        <b/>
        <sz val="10"/>
        <color rgb="FF000000"/>
        <rFont val="Calibri"/>
        <family val="2"/>
        <charset val="238"/>
      </rPr>
      <t>. ROK 2017</t>
    </r>
    <r>
      <rPr>
        <sz val="10"/>
        <color rgb="FF000000"/>
        <rFont val="Calibri"/>
        <family val="2"/>
        <charset val="238"/>
      </rPr>
      <t xml:space="preserve">: Dane wskazane w niniejszej tabeli dotyczą statystyki strony KSOW województwa śląskiego administrowanej przez Jednostkę Centralną KSOW oraz statystyki strony PROW 2014-2020.
                                                                                                                                                                                         </t>
    </r>
  </si>
  <si>
    <t>nie dotyczy</t>
  </si>
  <si>
    <r>
      <rPr>
        <b/>
        <sz val="10"/>
        <color rgb="FF000000"/>
        <rFont val="Calibri"/>
        <family val="2"/>
        <charset val="238"/>
      </rPr>
      <t xml:space="preserve">1. ROK 2016: </t>
    </r>
    <r>
      <rPr>
        <sz val="10"/>
        <color rgb="FF000000"/>
        <rFont val="Calibri"/>
        <family val="2"/>
        <charset val="238"/>
      </rPr>
      <t>W kolumnie</t>
    </r>
    <r>
      <rPr>
        <i/>
        <sz val="10"/>
        <color rgb="FF000000"/>
        <rFont val="Calibri"/>
        <family val="2"/>
        <charset val="238"/>
      </rPr>
      <t xml:space="preserve"> Inne lub mieszane</t>
    </r>
    <r>
      <rPr>
        <sz val="10"/>
        <color rgb="FF000000"/>
        <rFont val="Calibri"/>
        <family val="2"/>
        <charset val="238"/>
      </rPr>
      <t xml:space="preserve"> uwzględniono następujące publikacje: biuletyn "Wyniki 2015. Porejestrowe Doświadczalnictwo Odmianowe w Województwie Śląskim w roku 2015";  broszurę informacyjną "Lista Zalecanych Odmian do upraw w województwie śląskim na rok 2016"; publikację książkową pt. ”Gmina Gorzyce - MIEJSCA LUDZIE WYDARZENIA”, publikację poplenerową pt. "Gmina Świerklany w malarstwie" oraz publikację pt.  "Kulinarne tradycje w Gminie świerklany".</t>
    </r>
  </si>
  <si>
    <t>Liczba konkursów/ kategorii konkursowych</t>
  </si>
  <si>
    <r>
      <t>Liczba innych narzędzi komunikacyjnych - proszę określić jakich w "</t>
    </r>
    <r>
      <rPr>
        <i/>
        <sz val="10"/>
        <color rgb="FF000000"/>
        <rFont val="Calibri"/>
        <family val="2"/>
        <charset val="238"/>
      </rPr>
      <t>Komentarzu"</t>
    </r>
  </si>
  <si>
    <r>
      <rPr>
        <b/>
        <sz val="10"/>
        <color rgb="FF000000"/>
        <rFont val="Calibri"/>
        <family val="2"/>
        <charset val="238"/>
      </rPr>
      <t>1. ROK 2016:</t>
    </r>
    <r>
      <rPr>
        <sz val="10"/>
        <color rgb="FF000000"/>
        <rFont val="Calibri"/>
        <family val="2"/>
        <charset val="238"/>
      </rPr>
      <t xml:space="preserve"> W kolumnie</t>
    </r>
    <r>
      <rPr>
        <i/>
        <sz val="10"/>
        <color rgb="FF000000"/>
        <rFont val="Calibri"/>
        <family val="2"/>
        <charset val="238"/>
      </rPr>
      <t xml:space="preserve"> Liczba innych narzędzi komunikacyjnych</t>
    </r>
    <r>
      <rPr>
        <sz val="10"/>
        <color rgb="FF000000"/>
        <rFont val="Calibri"/>
        <family val="2"/>
        <charset val="238"/>
      </rPr>
      <t xml:space="preserve"> wykazano informację radiową dotycząca operacji realizowanej w ramach Planu operacyjnego 2016-2017 KSOW pn. Barwy kultury i mozaika tradycji - promocja zrwnoważonego rozowju w Gminie Świerklany.                                                                                                                                                                                                         W kolumnie </t>
    </r>
    <r>
      <rPr>
        <i/>
        <sz val="10"/>
        <color rgb="FF000000"/>
        <rFont val="Calibri"/>
        <family val="2"/>
        <charset val="238"/>
      </rPr>
      <t>Inne lub mieszane</t>
    </r>
    <r>
      <rPr>
        <sz val="10"/>
        <color rgb="FF000000"/>
        <rFont val="Calibri"/>
        <family val="2"/>
        <charset val="238"/>
      </rPr>
      <t xml:space="preserve"> wykazano informację radiową dotycząca operacji pn. Barwy kultury i mozaika tradycji - promocja zrwnoważonego rozowju w Gminie Świerklany oraz dwa konkursy zorganizowane/współorganizowane przez JR KSOW. Oba konkursy zakończyły się uroczystym podsumowaniem w postaci konferencji dlatego w tabeli 1. Wydarzenia wykazano 2 konferencje).</t>
    </r>
  </si>
  <si>
    <t>3.1 Liczba zebranych i upowszechnionych przykładów dobrej praktyki</t>
  </si>
  <si>
    <r>
      <t>Komentarze</t>
    </r>
    <r>
      <rPr>
        <b/>
        <sz val="10"/>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</si>
  <si>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t>Liczba dobrych praktyk</t>
  </si>
  <si>
    <t>Z naciskiem na transfer wiedzy i innowacyjność (P1)</t>
  </si>
  <si>
    <r>
      <rPr>
        <b/>
        <sz val="10"/>
        <rFont val="Calibri"/>
        <family val="2"/>
        <charset val="238"/>
      </rPr>
      <t xml:space="preserve">1. ROK 2016: </t>
    </r>
    <r>
      <rPr>
        <sz val="10"/>
        <rFont val="Calibri"/>
        <family val="2"/>
        <charset val="238"/>
      </rPr>
      <t>W kolumnie</t>
    </r>
    <r>
      <rPr>
        <i/>
        <sz val="10"/>
        <rFont val="Calibri"/>
        <family val="2"/>
        <charset val="238"/>
      </rPr>
      <t xml:space="preserve"> Inne tematy lub tematy mieszane uwzględniono następujące</t>
    </r>
    <r>
      <rPr>
        <sz val="10"/>
        <rFont val="Calibri"/>
        <family val="2"/>
        <charset val="238"/>
      </rPr>
      <t xml:space="preserve"> projekty: spotkania pt. "Fundusze unijne szansą rozwoju obszarów wiejskich", "Rolnictwo ekologiczne szansą dla młodych rolników" – organizacja seminarium i prezentacja przykładów dobrych praktyk w gospodarstwach oraz wyjazd studyjny do Szkocji.                                                                                                                                                                                                                                                                                                                                                                                                                               </t>
    </r>
    <r>
      <rPr>
        <u/>
        <sz val="10"/>
        <rFont val="Calibri"/>
        <family val="2"/>
        <charset val="238"/>
      </rPr>
      <t xml:space="preserve">W/w operacje zostały zgłoszone do </t>
    </r>
    <r>
      <rPr>
        <i/>
        <u/>
        <sz val="10"/>
        <rFont val="Calibri"/>
        <family val="2"/>
        <charset val="238"/>
      </rPr>
      <t>Bazy dobrych praktyk.</t>
    </r>
  </si>
  <si>
    <r>
      <t>Komentarze</t>
    </r>
    <r>
      <rPr>
        <sz val="12"/>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</si>
  <si>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r>
      <rPr>
        <b/>
        <sz val="10"/>
        <rFont val="Calibri"/>
        <family val="2"/>
        <charset val="238"/>
      </rPr>
      <t>1. ROK 2016:</t>
    </r>
    <r>
      <rPr>
        <sz val="10"/>
        <rFont val="Calibri"/>
        <family val="2"/>
        <charset val="238"/>
      </rPr>
      <t xml:space="preserve"> W kolumnie liczba grup tematycznych wskazano Wojewódzką Grupę Roboczą ds. KSOW. Natomiast w kolumnie liczba spotkań grup tematycznych uwzględniono 1 spotkanie WGR oraz 9 uchwał podjętych przez WGR w 2016 r.
2</t>
    </r>
    <r>
      <rPr>
        <b/>
        <sz val="10"/>
        <rFont val="Calibri"/>
        <family val="2"/>
        <charset val="238"/>
      </rPr>
      <t>. ROK 2017:</t>
    </r>
    <r>
      <rPr>
        <sz val="10"/>
        <rFont val="Calibri"/>
        <family val="2"/>
        <charset val="238"/>
      </rPr>
      <t xml:space="preserve"> W kolumnie liczba grup tematycznych wskazano Wojewódzką Grupę Roboczą ds. KSOW. Natomiast w kolumnie liczba spotkań grup tematycznych uwzględniono 7 uchwał podjętych przez WGR w okresie od 01.01. do 30.06.2017 r.
</t>
    </r>
  </si>
  <si>
    <t>4.2 Liczba konsultacji tematycznych</t>
  </si>
  <si>
    <r>
      <rPr>
        <b/>
        <sz val="11"/>
        <rFont val="Calibri"/>
        <family val="2"/>
        <charset val="238"/>
        <scheme val="minor"/>
      </rPr>
      <t xml:space="preserve">1. ROK 2016: </t>
    </r>
    <r>
      <rPr>
        <sz val="11"/>
        <rFont val="Calibri"/>
        <family val="2"/>
        <charset val="238"/>
        <scheme val="minor"/>
      </rPr>
      <t>W kolumnie Liczba osób według typu inicjatyw wskazano liczbę osób, która brała czynny udział w spotkaniu i podejmowaniu uchwał.</t>
    </r>
    <r>
      <rPr>
        <b/>
        <sz val="11"/>
        <rFont val="Calibri"/>
        <family val="2"/>
        <charset val="238"/>
        <scheme val="minor"/>
      </rPr>
      <t xml:space="preserve">
2. ROK 2017:</t>
    </r>
    <r>
      <rPr>
        <sz val="11"/>
        <rFont val="Calibri"/>
        <family val="2"/>
        <charset val="238"/>
        <scheme val="minor"/>
      </rPr>
      <t xml:space="preserve"> W kolumnie Liczba osób według typu inicjatyw wskazano liczbę osób, która brała czynny udział w podejmowaniu uchwał w okresie od 01.01. do 30.06.2017 r.</t>
    </r>
    <r>
      <rPr>
        <b/>
        <sz val="11"/>
        <rFont val="Calibri"/>
        <family val="2"/>
        <charset val="238"/>
        <scheme val="minor"/>
      </rPr>
      <t xml:space="preserve">
</t>
    </r>
  </si>
  <si>
    <t>Liczba przekazanych przykładów dobrych praktyk/ case study</t>
  </si>
  <si>
    <r>
      <rPr>
        <b/>
        <sz val="12"/>
        <color rgb="FF000000"/>
        <rFont val="Calibri"/>
        <family val="2"/>
        <charset val="238"/>
      </rPr>
      <t>Komentarze</t>
    </r>
    <r>
      <rPr>
        <sz val="10"/>
        <color rgb="FF000000"/>
        <rFont val="Calibri"/>
        <family val="2"/>
        <charset val="238"/>
      </rPr>
      <t xml:space="preserve">
(proszę wskazać co jest rozumiane przez kategorię "inne")</t>
    </r>
  </si>
  <si>
    <r>
      <t xml:space="preserve">Komentarze
</t>
    </r>
    <r>
      <rPr>
        <sz val="10"/>
        <color rgb="FF000000"/>
        <rFont val="Calibri"/>
        <family val="2"/>
        <charset val="238"/>
      </rPr>
      <t xml:space="preserve">(proszę wskazać co jest rozumiane </t>
    </r>
    <r>
      <rPr>
        <sz val="10"/>
        <color rgb="FF000000"/>
        <rFont val="Calibri"/>
        <family val="2"/>
        <charset val="238"/>
      </rPr>
      <t>przez kategorię "inne")</t>
    </r>
  </si>
  <si>
    <r>
      <rPr>
        <b/>
        <sz val="10"/>
        <color rgb="FF000000"/>
        <rFont val="Calibri"/>
        <family val="2"/>
        <charset val="238"/>
      </rPr>
      <t xml:space="preserve">1. </t>
    </r>
    <r>
      <rPr>
        <b/>
        <u/>
        <sz val="10"/>
        <color rgb="FF000000"/>
        <rFont val="Calibri"/>
        <family val="2"/>
        <charset val="238"/>
      </rPr>
      <t>ROK 2016:</t>
    </r>
    <r>
      <rPr>
        <b/>
        <sz val="10"/>
        <color rgb="FF000000"/>
        <rFont val="Calibri"/>
        <family val="2"/>
        <charset val="238"/>
      </rPr>
      <t xml:space="preserve"> </t>
    </r>
    <r>
      <rPr>
        <sz val="10"/>
        <color rgb="FF000000"/>
        <rFont val="Calibri"/>
        <family val="2"/>
        <charset val="238"/>
      </rPr>
      <t>W kolumnie Inne uwzględniono: 1 spotkanie nt. funduszy unijnych zorganizowane przez Gminę Pilica, 1 seminarium połączone z  prezentacją przykładów dobrych praktyk w gospodarstwach, 1 prelekcję nt. prowadzenia działalności gospodarczej na obszarach wiejskich oraz 5 spotkań dla beneficjentów i potencjalnych beneficjentów PROW 2014-2020 i 2 spotkania dla LGD).                                                                                                                                                                                                                                                                                                                  W kolumnie Inne tematy lub tematy mieszane uwzględniono następujący zakres tematyczny: fundusze unijne jako szansa rozwoju obszarów wiejskich, warunki i tryb przyznawania pomocy finansowej oraz rozliczania uzyskanej pomocy finansowej w ramach wybranych działań PROW 2014-2020, produkty regionalne i tradycyjne, rolnictwo ekologiczne, gospodarstwa edukacyjne, zachowanie i ochrona dziedzictwa kulturowego.</t>
    </r>
  </si>
  <si>
    <t>liczba przedstawicieli lokalnych partnerów i organizacji</t>
  </si>
  <si>
    <r>
      <rPr>
        <b/>
        <sz val="10"/>
        <color theme="1"/>
        <rFont val="Calibri"/>
        <family val="2"/>
        <charset val="238"/>
      </rPr>
      <t>1. ROK 2016:</t>
    </r>
    <r>
      <rPr>
        <sz val="10"/>
        <color theme="1"/>
        <rFont val="Calibri"/>
        <family val="2"/>
        <charset val="238"/>
      </rPr>
      <t xml:space="preserve"> W kolumnie </t>
    </r>
    <r>
      <rPr>
        <i/>
        <sz val="10"/>
        <color theme="1"/>
        <rFont val="Calibri"/>
        <family val="2"/>
        <charset val="238"/>
      </rPr>
      <t xml:space="preserve">liczba uczestników szkolenia/warsztatów </t>
    </r>
    <r>
      <rPr>
        <sz val="10"/>
        <color theme="1"/>
        <rFont val="Calibri"/>
        <family val="2"/>
        <charset val="238"/>
      </rPr>
      <t xml:space="preserve">wskazano maksymalną liczbę uczestników warsztatów w całym cyklu szkoleniowym (na podstawie list obecności)                                                                                                                                                                                                                                                                                                                                                                            W kolumnie </t>
    </r>
    <r>
      <rPr>
        <i/>
        <sz val="10"/>
        <color theme="1"/>
        <rFont val="Calibri"/>
        <family val="2"/>
        <charset val="238"/>
      </rPr>
      <t xml:space="preserve">liczba uczestników innych lub mieszanych działań szkoleniowych </t>
    </r>
    <r>
      <rPr>
        <sz val="10"/>
        <color theme="1"/>
        <rFont val="Calibri"/>
        <family val="2"/>
        <charset val="238"/>
      </rPr>
      <t>uwzględniono uczestników: 1 spotkania nt. funduszy unijnych zorganizowane, 1 seminarium połączonego z  prezentacją przykładów dobrych praktyk w gospodarstwach, 1 prelekcji nt. prowadzenia działalności gospodarczej na obszarach wiejskich oraz 5 spotkań dla beneficjentów i potencjalnych beneficjentów PROW 2014-2020 i 2 spotkania dla LGD.           
W kolumnie</t>
    </r>
    <r>
      <rPr>
        <i/>
        <sz val="10"/>
        <color theme="1"/>
        <rFont val="Calibri"/>
        <family val="2"/>
        <charset val="238"/>
      </rPr>
      <t xml:space="preserve"> liczba przedstawicieli innych grup interesariuszy</t>
    </r>
    <r>
      <rPr>
        <sz val="10"/>
        <color theme="1"/>
        <rFont val="Calibri"/>
        <family val="2"/>
        <charset val="238"/>
      </rPr>
      <t xml:space="preserve"> uwzględniono m.in. przedstawicieli: gmin i powiatu zawierciańskiego, Kół Gospodyń Wiejskich, stowarzyszeń działających na obszarach wiejskich, mieszkańcy Gminy Pilica - rolnicy, przedstawiciele stowarzyszeń i organizacji pozarządowych działających na terenie Gminy Pilica, beneficjentów potencjalnych beneficjenci PROW 2014-2020, przedstawicieli UMWŚ, przedstawicieli LGD, młodych rolników z województwa śląskiego etc. W kolumnie liczba przedstawicieli innych grup interesariuszy uwzględniono w/w przedstawicieli z wyjątkiem przedstawicieli LGD.                                                                                                                                                                                                                                                                                                   </t>
    </r>
  </si>
  <si>
    <t>7.1 Liczba inicjatyw współpracy, ofert poszukiwania partnerów do współpracy, badań/analiz, wizyt studyjnych i innych działań na rzecz współpracy</t>
  </si>
  <si>
    <t>8. Budżet sieci w EUR - Proszę nie licz podwójnie</t>
  </si>
  <si>
    <r>
      <rPr>
        <b/>
        <sz val="12"/>
        <color rgb="FF000000"/>
        <rFont val="Calibri"/>
        <family val="2"/>
        <charset val="238"/>
      </rPr>
      <t xml:space="preserve">Komentarze </t>
    </r>
    <r>
      <rPr>
        <sz val="10"/>
        <color rgb="FF000000"/>
        <rFont val="Calibri"/>
        <family val="2"/>
        <charset val="238"/>
      </rPr>
      <t xml:space="preserve">(proszę wskazać także </t>
    </r>
    <r>
      <rPr>
        <sz val="10"/>
        <color rgb="FF000000"/>
        <rFont val="Calibri"/>
        <family val="2"/>
        <charset val="238"/>
      </rPr>
      <t>inne kategorie)</t>
    </r>
  </si>
  <si>
    <r>
      <rPr>
        <b/>
        <sz val="9"/>
        <rFont val="Calibri1"/>
        <charset val="238"/>
      </rPr>
      <t>1.</t>
    </r>
    <r>
      <rPr>
        <sz val="9"/>
        <rFont val="Calibri1"/>
        <charset val="238"/>
      </rPr>
      <t xml:space="preserve"> </t>
    </r>
    <r>
      <rPr>
        <b/>
        <sz val="9"/>
        <rFont val="Calibri1"/>
        <charset val="238"/>
      </rPr>
      <t>ROK 2016:</t>
    </r>
    <r>
      <rPr>
        <sz val="9"/>
        <rFont val="Calibri1"/>
        <charset val="238"/>
      </rPr>
      <t xml:space="preserve"> Całkowity koszt poniesiony na realizację operacji w ramach Planu działania KSOW w 2016 roku to 807 897,95.  Koszt ten uwzględnia również materiały promocyjne (gadżety) w kwocie 11 553,39 zł brutto, których nie wykazano w tabelach 1-7.
Na kwotę funkcjonowania 361 553,52 zł składają się następujące koszty : wynagrodzenie pracowników JR KSOW wraz z nagrodami i "trzynastką" oraz premie Zastępcy Dyrektora Wydziału TW w kwocie 346 156,35 zł, delegacje 13 687,32 zł, podnoszenie kwalifikacji pracowników - delegacje 1 642,20 zł oraz koszty Internetu 67,65 zł.
2</t>
    </r>
    <r>
      <rPr>
        <b/>
        <sz val="9"/>
        <rFont val="Calibri1"/>
        <charset val="238"/>
      </rPr>
      <t>. ROK 2017:</t>
    </r>
    <r>
      <rPr>
        <sz val="9"/>
        <rFont val="Calibri1"/>
        <charset val="238"/>
      </rPr>
      <t xml:space="preserve"> Koszty poniesione na realizację operacji w ramach Planu działania KSOW 2014-2020 w okresie od 01.01. do 30.06.2017 roku to</t>
    </r>
    <r>
      <rPr>
        <b/>
        <sz val="9"/>
        <rFont val="Calibri1"/>
        <charset val="238"/>
      </rPr>
      <t xml:space="preserve"> 54 999,99 zł</t>
    </r>
    <r>
      <rPr>
        <sz val="9"/>
        <rFont val="Calibri1"/>
        <charset val="238"/>
      </rPr>
      <t xml:space="preserve"> brutto.
Na koszty funkcjonowania poniesione w okresie od 01.01. do 30.06.2017 r. składają się następujące elementy: wynagrodzenie pracowników JR KSOW wraz z nagrodami i "trzynastką" w kwocie 172 273,01 zł, delegacje 4 328,31 zł, podnoszenie kwalifikacji pracowników (delegacje) 660,00 zł, koszty internetu do tabletu 20,49 zł, koszty telefonów stacjonarnych (połączeń) 5,81 zł, koszty wydruku centralnego (wydruk i dzierżawa) 383,22 zł. RAZEM koszty funkcjonowania to </t>
    </r>
    <r>
      <rPr>
        <b/>
        <sz val="9"/>
        <rFont val="Calibri1"/>
        <charset val="238"/>
      </rPr>
      <t>177 670,84 zł</t>
    </r>
    <r>
      <rPr>
        <sz val="9"/>
        <rFont val="Calibri1"/>
        <charset val="238"/>
      </rPr>
      <t xml:space="preserve">.
</t>
    </r>
  </si>
  <si>
    <t>JR KSOW Województwa Pomorskiego</t>
  </si>
  <si>
    <r>
      <rPr>
        <b/>
        <sz val="10"/>
        <color indexed="8"/>
        <rFont val="Calibri"/>
        <family val="2"/>
        <charset val="238"/>
      </rPr>
      <t>dot. poz</t>
    </r>
    <r>
      <rPr>
        <sz val="10"/>
        <color indexed="8"/>
        <rFont val="Calibri"/>
        <family val="2"/>
        <charset val="238"/>
      </rPr>
      <t xml:space="preserve">. </t>
    </r>
    <r>
      <rPr>
        <b/>
        <sz val="10"/>
        <color indexed="8"/>
        <rFont val="Calibri"/>
        <family val="2"/>
        <charset val="238"/>
      </rPr>
      <t>O16 z naciskiem na inne tematy, w tym;</t>
    </r>
  </si>
  <si>
    <t xml:space="preserve">1) promocję turystyki regionalnej </t>
  </si>
  <si>
    <t xml:space="preserve">2) promocję kultury polskiej wsi, zachowanie dziedzictwa kulturowego </t>
  </si>
  <si>
    <t>3) promocja Programu PROW 2014-2020</t>
  </si>
  <si>
    <t xml:space="preserve">dot. poz. O20 - Dni Otwarte Funduszy Europejskich </t>
  </si>
  <si>
    <t>dot. poz. E20 - Dni Otwarte Funduszy Europejskich</t>
  </si>
  <si>
    <t>dot. poz. F18-19:</t>
  </si>
  <si>
    <t>1) wydarzenie zwiazane z udziałem w targach Natura Food (wizyta studyjna, 2015), Agrotravel - stoisko promujace region Kaszub (2016) w ramacj realizacji operacji "Rekreacja i edukacja przyrodnicza na kaszubskiej wsi"</t>
  </si>
  <si>
    <r>
      <t xml:space="preserve">  dot. poz. D31 - </t>
    </r>
    <r>
      <rPr>
        <sz val="10"/>
        <color indexed="8"/>
        <rFont val="Calibri"/>
        <family val="2"/>
        <charset val="238"/>
      </rPr>
      <t>DOFE i 3 spotkania Leader</t>
    </r>
  </si>
  <si>
    <t xml:space="preserve">dot. poz. D42 i E42 </t>
  </si>
  <si>
    <t xml:space="preserve">1) zostały wskazane wskaźniki strony internetowej DPROW UMWP (wskaźniki w nawiasach), </t>
  </si>
  <si>
    <t>2) wskazane dane z powodu problemów z synchronizacją identyfikatora śledzenia i URL są zaniżone w stosunku do rzeczywistego poziomu liczby odwiedzin strony. Od 2017 r. dane naliczane sa prawidłowo.</t>
  </si>
  <si>
    <r>
      <rPr>
        <b/>
        <sz val="10"/>
        <color indexed="8"/>
        <rFont val="Calibri"/>
        <family val="2"/>
        <charset val="238"/>
      </rPr>
      <t>dot. poz. D43 i E43</t>
    </r>
    <r>
      <rPr>
        <sz val="10"/>
        <color indexed="8"/>
        <rFont val="Calibri"/>
        <family val="2"/>
      </rPr>
      <t xml:space="preserve"> wskazane zostały wskaźniki strony internetowej DPROW UMWP </t>
    </r>
  </si>
  <si>
    <t>dot.poz. E53:</t>
  </si>
  <si>
    <t>1) platforma elektroniczna powstała w ramach realizacji  projektu przez Partnera KSOW "Integracja działań na rzecz rozwoju obszarów wiejskich Pomorza"</t>
  </si>
  <si>
    <t>dot. poz. L64</t>
  </si>
  <si>
    <t>1) 3 publikacje promujące regiona pod względem turystycznym wydane w rmach operacji  "Rekreacja i edukacja przyrodnicza na kaszubskiej wsi"</t>
  </si>
  <si>
    <t>2) 1 publikacja dot. promocji kultury Kociewia wydana w ramach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t>
  </si>
  <si>
    <t>3) 3 publikacja promujaca projekty realizowane w ramach PO 2016-2017 ("Integracja działań na rzecz rozwoju obszarów wiejskich Pomorza" x1; "Pomorska Wojewódzka Wystawa Zwierząt Hodowlanych - wystawa koni, owiec pokaz królików, gołębi, drobiu handlowego o ozdobnego" x2)</t>
  </si>
  <si>
    <r>
      <rPr>
        <b/>
        <sz val="10"/>
        <color indexed="8"/>
        <rFont val="Calibri"/>
        <family val="2"/>
        <charset val="238"/>
      </rPr>
      <t>dot. poz.</t>
    </r>
    <r>
      <rPr>
        <sz val="10"/>
        <color indexed="8"/>
        <rFont val="Calibri"/>
        <family val="2"/>
        <charset val="238"/>
      </rPr>
      <t xml:space="preserve"> </t>
    </r>
    <r>
      <rPr>
        <b/>
        <sz val="10"/>
        <color indexed="8"/>
        <rFont val="Calibri"/>
        <family val="2"/>
        <charset val="238"/>
      </rPr>
      <t xml:space="preserve">D74:                                                                                                                                                                                                                                                                                                                  </t>
    </r>
    <r>
      <rPr>
        <sz val="10"/>
        <color indexed="8"/>
        <rFont val="Calibri"/>
        <family val="2"/>
        <charset val="238"/>
      </rPr>
      <t xml:space="preserve">1) 624 spoty radiowe w 8 rozgłośniach regionalnych (8x78 spotów=624) w ramach wydarzenia - DOFE, 35 spotów w rozgłośni regionalnej w ramach projektu realizowanego przez Partnera KSOW pn. "Jarmark Rękodzieła Ziemi Człuchowskiej"                                                                                                                                                                                                                                         </t>
    </r>
    <r>
      <rPr>
        <b/>
        <sz val="10"/>
        <color indexed="8"/>
        <rFont val="Calibri"/>
        <family val="2"/>
        <charset val="238"/>
      </rPr>
      <t xml:space="preserve">dot. poz. D75 </t>
    </r>
    <r>
      <rPr>
        <sz val="10"/>
        <color indexed="8"/>
        <rFont val="Calibri"/>
        <family val="2"/>
        <charset val="238"/>
      </rPr>
      <t>520 spotów radiowych w 8 rozgłośniach regionalnych (8x65 spotów= 520) w ramach wydarzenia DOFE</t>
    </r>
  </si>
  <si>
    <r>
      <rPr>
        <b/>
        <sz val="10"/>
        <color indexed="8"/>
        <rFont val="Calibri"/>
        <family val="2"/>
        <charset val="238"/>
      </rPr>
      <t>dot. poz. E74:</t>
    </r>
    <r>
      <rPr>
        <sz val="10"/>
        <color indexed="8"/>
        <rFont val="Calibri"/>
        <family val="2"/>
      </rPr>
      <t xml:space="preserve">                                                                                                                                                                                                                                                                                                                   1) 3 x konkurs kulinarny  (w tym 1 w ramach projektów własnyh PO 2016-2017, 2 realizowane przez Partnerów KSOW w ramach operacji: "I Festiwal Truskawek Kaszubskich", "Słupskie Pokopki"), 1 x konkurs agroturystyczny (w ramach operacji  "Konferencja agroturystyczna połączona z konkursem na najlepsze gospodarstwo agroturystyczne"), 2x konkursy zwiazane z kulturą Pomorza  (w ramach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 "XIII Turniej Kół Gospodyń Wiejskich Województwa Pomorskiego"), 1x konkurs konkurs plastyczny dot. tematyki unijnej (projekt własny), 1 x konkurs zwiazany z promocja obszarów wiejskich "Piekna Wieś" (projekt własny)</t>
    </r>
  </si>
  <si>
    <r>
      <rPr>
        <b/>
        <sz val="10"/>
        <color indexed="8"/>
        <rFont val="Calibri"/>
        <family val="2"/>
        <charset val="238"/>
      </rPr>
      <t xml:space="preserve">dot. poz. F73: </t>
    </r>
    <r>
      <rPr>
        <sz val="10"/>
        <color indexed="8"/>
        <rFont val="Calibri"/>
        <family val="2"/>
      </rPr>
      <t xml:space="preserve">                                                                                                                                                                                                                                                                                                                       1) tablice reklamowe (118 szt. tablic informujacych o uzyskanym wsparciu finansowym ze srodków PROW 2007-2013)                                                                                                                                                                                                                                                            2)  prasa (ogłoszenie dot. naboru wniosków)</t>
    </r>
  </si>
  <si>
    <r>
      <rPr>
        <b/>
        <sz val="10"/>
        <color indexed="8"/>
        <rFont val="Calibri"/>
        <family val="2"/>
        <charset val="238"/>
      </rPr>
      <t xml:space="preserve">dot. poz. F74:   </t>
    </r>
    <r>
      <rPr>
        <sz val="10"/>
        <color indexed="8"/>
        <rFont val="Calibri"/>
        <family val="2"/>
      </rPr>
      <t xml:space="preserve">                                                                                                                                                                                                                                                                                                              1) kampania reklamowa w ramach wydarzenia - DOFE  w  prasie (kampania reklamowa  (emisja 2 artykułow) naklad łączy 737 000 egz.) w prasie regionalnej;  na Facebook (kampania reklamowa związna z emisją 26 postów                                                                                                                                                                                                                                 2) kampania reklamowa w ramach projektu relizowanego przez Partnera KSOW ( "Jarmark Rękodzieła Ziemi Człuchowskiej")  na portalu regionalnym (emisja ogłoszeń reklamowych na portalu regionalym weekendfm.pl 30 emisji), w telewizji regionalnej (emisja plansz reklamowych w telewizji kablowej-30emisji), w prasie (1 ogłoszenie, nakład gazety 2 900 egzempl.)                                                                                                                                                                                                                                                                3) zakup matrialów promocyjnych (300 szt.) w ramach PK 2016                                                                                                                                                                                                                    </t>
    </r>
  </si>
  <si>
    <r>
      <t xml:space="preserve">4) emisja artykułu prasowego dot. produktów tradycyjnych województwa pomorskiego zrealizowana w ramach projektu włanego ("Organizacja przedsięwzięć promujacych fundusze unijne, agroturystykę, turystykę wiejską, produkt tradycyjny, loklany, żywność wysokiej jakści") zwiazanego z organizacja konkursu kulinarnego                                                                                                                                                                                                                                                                                                                        </t>
    </r>
    <r>
      <rPr>
        <b/>
        <sz val="10"/>
        <color theme="1"/>
        <rFont val="Calibri"/>
        <family val="2"/>
        <charset val="238"/>
        <scheme val="minor"/>
      </rPr>
      <t>dot. poz. F75</t>
    </r>
    <r>
      <rPr>
        <sz val="10"/>
        <color theme="1"/>
        <rFont val="Calibri"/>
        <family val="2"/>
        <scheme val="minor"/>
      </rPr>
      <t xml:space="preserve"> kampania reklamowa w ramach wydarzenia DOFE 2017 w prasie (emisja 8 ogłoszeń) nakład łączny 832 000 egz. w prasie regionalnej; Facebook (kampania reklamowa związana z emisją 80 postów); zakup materiałów promocyjnych w ramach PK (worek sportowy 500, przenośny bank energii 300, teczka z gumką 1000, torba papierowa 250)</t>
    </r>
  </si>
  <si>
    <t>dot. poz. O74 z naciskiem na inne tematy, w tym:</t>
  </si>
  <si>
    <t xml:space="preserve">1) promocja Programu PROW  (DOFE)                                                                                                                                                                                                                                                                              2) promocja projektów relizowanych w ramach PO 2016-2017 ( "Jarmark Rękodzieła Ziemi Człuchowskiej") </t>
  </si>
  <si>
    <t>dot. poz. E99 i E100:</t>
  </si>
  <si>
    <t>1) spotkania Pomorskiej Grupy Roboczej ds. KSOW</t>
  </si>
  <si>
    <t>2) decyzje podejmowane  w obiegowym trybie (x1 w 2015, x6 w 2016)</t>
  </si>
  <si>
    <t xml:space="preserve">dot. poz. D99 </t>
  </si>
  <si>
    <t xml:space="preserve">1)  wojewódzka grupa robocza (Pomorska Grupa Robocza ds. KSOW) </t>
  </si>
  <si>
    <r>
      <rPr>
        <b/>
        <sz val="10"/>
        <color theme="1"/>
        <rFont val="Calibri"/>
        <family val="2"/>
        <charset val="238"/>
        <scheme val="minor"/>
      </rPr>
      <t xml:space="preserve">dot. poz. M99 i  M100 </t>
    </r>
    <r>
      <rPr>
        <sz val="10"/>
        <color theme="1"/>
        <rFont val="Calibri"/>
        <family val="2"/>
        <charset val="238"/>
        <scheme val="minor"/>
      </rPr>
      <t>z naciskiem na inne tematy, w tym:</t>
    </r>
  </si>
  <si>
    <t>1) dot. wdrażania  KSOW w ramach PROW 2014-2020</t>
  </si>
  <si>
    <r>
      <rPr>
        <b/>
        <sz val="10"/>
        <color theme="1"/>
        <rFont val="Calibri"/>
        <family val="2"/>
        <charset val="238"/>
        <scheme val="minor"/>
      </rPr>
      <t xml:space="preserve">dot. poz. M101 </t>
    </r>
    <r>
      <rPr>
        <sz val="10"/>
        <color theme="1"/>
        <rFont val="Calibri"/>
        <family val="2"/>
        <scheme val="minor"/>
      </rPr>
      <t>z naciskiem na inne tematy, w tym:</t>
    </r>
  </si>
  <si>
    <t xml:space="preserve">1) realizacja zadań KSOW </t>
  </si>
  <si>
    <t>dot. poz. D132 i D133  :</t>
  </si>
  <si>
    <t>1) ilość osób bioracych udział w spotkaniach PGR ds.KSOW lub wyrażajacych opinie w ramach przeprowadzonych trybach obiegowych</t>
  </si>
  <si>
    <t>dot. poz. O179:</t>
  </si>
  <si>
    <t xml:space="preserve">1) spotkania szkoleniowe dla beneficjentów PROW 2014-2020 </t>
  </si>
  <si>
    <r>
      <rPr>
        <b/>
        <sz val="10"/>
        <rFont val="Calibri"/>
        <family val="2"/>
        <charset val="238"/>
        <scheme val="minor"/>
      </rPr>
      <t>dot. poz. E180:</t>
    </r>
    <r>
      <rPr>
        <sz val="10"/>
        <rFont val="Calibri"/>
        <family val="2"/>
        <scheme val="minor"/>
      </rPr>
      <t xml:space="preserve">                                                                                                                                                                                                                                                                                                              1) wizyta studyjna do woj.kujawsko-pomorskiego w ramach operacji "Aktywne sołectwa na start"</t>
    </r>
  </si>
  <si>
    <r>
      <rPr>
        <b/>
        <sz val="10"/>
        <color theme="1"/>
        <rFont val="Calibri"/>
        <family val="2"/>
        <charset val="238"/>
        <scheme val="minor"/>
      </rPr>
      <t>dot. poz. F180:</t>
    </r>
    <r>
      <rPr>
        <sz val="10"/>
        <color theme="1"/>
        <rFont val="Calibri"/>
        <family val="2"/>
        <scheme val="minor"/>
      </rPr>
      <t xml:space="preserve">                                                                                                                                                                                                                                                                                                              1) wizyta studyjna do do województwa małopolskiego połaczona z warsztatami (opracja: "Wyjazd studyjno-szkoleniowy "Dobre praktyki współpracy na rzecz wiejskiego produktu turystycznego na przykładzie województwa małopolskiego")</t>
    </r>
  </si>
  <si>
    <t xml:space="preserve">dot. poz. O180: </t>
  </si>
  <si>
    <t>1) promocja kultury</t>
  </si>
  <si>
    <t>2)promocja Programu</t>
  </si>
  <si>
    <r>
      <rPr>
        <b/>
        <sz val="10"/>
        <rFont val="Calibri"/>
        <family val="2"/>
        <charset val="238"/>
        <scheme val="minor"/>
      </rPr>
      <t xml:space="preserve">dot. poz. H180:   </t>
    </r>
    <r>
      <rPr>
        <sz val="10"/>
        <rFont val="Calibri"/>
        <family val="2"/>
        <charset val="238"/>
        <scheme val="minor"/>
      </rPr>
      <t xml:space="preserve">                                                                                                                                                                                                                                                                                                              1) informujemy iż w przypadku 2 warsztatów wykazanych w poz. D180 nie było możliwości określenia "</t>
    </r>
    <r>
      <rPr>
        <i/>
        <sz val="10"/>
        <rFont val="Calibri"/>
        <family val="2"/>
        <charset val="238"/>
        <scheme val="minor"/>
      </rPr>
      <t>całkowitej liczby dni szkoleniowych"</t>
    </r>
    <r>
      <rPr>
        <sz val="10"/>
        <rFont val="Calibri"/>
        <family val="2"/>
        <charset val="238"/>
        <scheme val="minor"/>
      </rPr>
      <t xml:space="preserve"> - warsztaty obejmowyłay 20 spotkań około godzinnych w różnych cyklach organizacyjnych (np.. 1, 2, 3… spotkania dziennie), zatem liczbę spotkan potraktowano jako liczbe dni (kwestia ta dotyczyła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t>
    </r>
  </si>
  <si>
    <t>dot. poz. L191:</t>
  </si>
  <si>
    <t>1) beneficjenci i potencjalni beneficjenci PROW 2014-2020 (286)</t>
  </si>
  <si>
    <t>2) uczestnicy szkoleń/warsztatów /wyjazdów studyjnych realizowanych przez Partnerów KSOW  w ramach projektów PO 2016-2017 w tym m.in.. Rolnicy, przedisebiorcy z obszarów wiejskich, przedstwiciele podmiotów wspierajacych rozwój obszarów wiejskich, właściciele gospodarstw agroturystycnych, mieszkańcy obszarów wiejskich, soltysi i liderzy wiejscy, dzieci z obszarów wiejskich</t>
  </si>
  <si>
    <t>dot. poz. L 192:</t>
  </si>
  <si>
    <t xml:space="preserve">1) pracownicy DPROW Urzędu Marszałkowskiego Województwa Pomorskiego </t>
  </si>
  <si>
    <r>
      <rPr>
        <b/>
        <sz val="11"/>
        <color theme="1"/>
        <rFont val="Calibri"/>
        <family val="2"/>
        <charset val="238"/>
        <scheme val="minor"/>
      </rPr>
      <t>poz. D213 i E213:</t>
    </r>
    <r>
      <rPr>
        <sz val="11"/>
        <color theme="1"/>
        <rFont val="Calibri"/>
        <family val="2"/>
        <charset val="238"/>
        <scheme val="minor"/>
      </rPr>
      <t xml:space="preserve"> łączna suma wydatków poniesionych w ramach realizacji planów operacycjnych (w tym również planów komunikacycjnych) odpowiednio dla 2015 roku i 2016  roku                                                                                     </t>
    </r>
    <r>
      <rPr>
        <b/>
        <sz val="11"/>
        <color rgb="FFFF0000"/>
        <rFont val="Calibri"/>
        <family val="2"/>
        <charset val="238"/>
        <scheme val="minor"/>
      </rPr>
      <t xml:space="preserve">poz. F213 </t>
    </r>
    <r>
      <rPr>
        <sz val="11"/>
        <color rgb="FFFF0000"/>
        <rFont val="Calibri"/>
        <family val="2"/>
        <charset val="238"/>
        <scheme val="minor"/>
      </rPr>
      <t>dot. kwota wydatkowana z Planu Komunikacyjnego na rok 2017</t>
    </r>
  </si>
  <si>
    <r>
      <rPr>
        <b/>
        <sz val="11"/>
        <color theme="1"/>
        <rFont val="Calibri"/>
        <family val="2"/>
        <charset val="238"/>
        <scheme val="minor"/>
      </rPr>
      <t>poz. D217 -</t>
    </r>
    <r>
      <rPr>
        <sz val="11"/>
        <color theme="1"/>
        <rFont val="Calibri"/>
        <family val="2"/>
        <charset val="238"/>
        <scheme val="minor"/>
      </rPr>
      <t xml:space="preserve"> wydatek nie dotyczy kosztów zwiazanych z realizacją Planu operacyjnego 2014-2015</t>
    </r>
  </si>
  <si>
    <t>wynagrodzenia pracowników JR KSOW</t>
  </si>
  <si>
    <t>wynajem pomieszczeń</t>
  </si>
  <si>
    <t>sprzęt informatyczny</t>
  </si>
  <si>
    <t>organizacja spotkań z partnerami KSOW</t>
  </si>
  <si>
    <t xml:space="preserve">podnoszenie kwalifikacji parcowników JR KSOW </t>
  </si>
  <si>
    <t xml:space="preserve">materiały promocyjne (m.in. roll-up, ścianki wystawiennicze zakupione w ramach PK) </t>
  </si>
  <si>
    <t>tonery</t>
  </si>
  <si>
    <t>delegacje</t>
  </si>
  <si>
    <t>Sekretariat Regionalny KSOW Województwa Podlaskiego</t>
  </si>
  <si>
    <r>
      <t xml:space="preserve">W kategorii "inne" w 2016 roku uwzględniono:  
</t>
    </r>
    <r>
      <rPr>
        <sz val="10"/>
        <rFont val="Calibri"/>
        <family val="2"/>
        <charset val="238"/>
      </rPr>
      <t xml:space="preserve"> - Operacje zrealizowane z partnerem KSOW: Zespołem Szkół Centrum Kształcenia Rolniczego w Rudce oraz Powiatem Monieckim realizujące jednocześnie 2 priorytety (P3 oraz P6)                                                                                                                                                                                                                                                                                                                   - Udział stoiska informacyjno-promocyjnego podczas ważnych imprez plenerowych na terenie woj. podlaskiego podczas, którego świadczone było doradztwo w zakresie warunków i trybu przyznawania pomocy w ramach poddziałań wdrażanych przez  Samorząd Województwa (4 edycje).                                                                                                                                                                                                                   - Spotkanie koordynacyjne zespołu ds. zadań informacyjno-promocyjnych PROW 2014-2020 z udziałem instytucji wdrażających oraz mediów regionalnych. </t>
    </r>
    <r>
      <rPr>
        <b/>
        <sz val="10"/>
        <rFont val="Calibri"/>
        <family val="2"/>
        <charset val="238"/>
      </rPr>
      <t xml:space="preserve">
Organizowane Wydarzenia przez JR KSOW w 2017 roku:
</t>
    </r>
    <r>
      <rPr>
        <sz val="10"/>
        <rFont val="Calibri"/>
        <family val="2"/>
        <charset val="238"/>
      </rPr>
      <t xml:space="preserve">W kategorii „Z naciskiem na żywotność i konkurencyjność gospodarstw” w 2017 roku uwzględniono:
7-9.04.2017 - IX Międzynarodowe Targi Turystyki Wiejskiej i Agroturystyki  - AGROTRAVEL.
 26.04.2017 - Debata "Rolniczy handel detaliczny".
1-3.06.2017 - Międzynarodowe Targi  Warsaw Food EXPO 2017 w Nadarzynie.
27-28.05.2017 - Na Kulinarnym Szlaku Wschodniej Polski – Bychawa.
24-25.06.2017 - Szepietowo XXIV Wystawa Zwierząt Hodowlanych i Dni z Doradztwem Rolniczym.
W kategorii „Z naciskiem na włączenie społeczne, redukcja ubóstwa” w 2017 roku uwzględniono:
11.06.2017 - Forum Rolnicze  w Janowie z udziałem samorządu rolniczego.  </t>
    </r>
    <r>
      <rPr>
        <b/>
        <sz val="10"/>
        <rFont val="Calibri"/>
        <family val="2"/>
        <charset val="238"/>
      </rPr>
      <t xml:space="preserve">                                                                                                                                                                       
</t>
    </r>
    <r>
      <rPr>
        <sz val="10"/>
        <rFont val="Calibri"/>
        <family val="2"/>
        <charset val="238"/>
      </rPr>
      <t xml:space="preserve">
</t>
    </r>
  </si>
  <si>
    <r>
      <t xml:space="preserve">Organizowane przez JR KSOW wydarzenia w 2016 r. o zasięgu krajowym:
</t>
    </r>
    <r>
      <rPr>
        <sz val="10"/>
        <rFont val="Calibri"/>
        <family val="2"/>
        <charset val="238"/>
      </rPr>
      <t xml:space="preserve"> - Udział ze stoiskiem informacyjno – promocyjnym w Targach „Smaki Regionów” w Poznaniu  (zgodnie z informacją na stronie organizatora tragi odwiedziło 35 000 osób);</t>
    </r>
    <r>
      <rPr>
        <b/>
        <sz val="10"/>
        <rFont val="Calibri"/>
        <family val="2"/>
        <charset val="238"/>
      </rPr>
      <t xml:space="preserve">
Organizowane przez JR KSOW wydarzenia w 2017 r.
</t>
    </r>
    <r>
      <rPr>
        <sz val="10"/>
        <rFont val="Calibri"/>
        <family val="2"/>
        <charset val="238"/>
      </rPr>
      <t>7-9.04.2017 - IX Międzynarodowe Targi Turystyki Wiejskiej i Agroturystyki  - AGROTRAVEL - 23 000 odwiedzających (dane ze strony organizatora) - Zasięg krajowy.
 26.04.2017 - Debata "Rolniczy handel detaliczny" - 271 osób - Zasięg lokalny/regionalny. 
1-3.06.2017 - Międzynarodowe Targi  Warsaw Food EXPO 2017 w Nadarzynie - 300 wystawców (dane ze strony organizatora)- Zasięg krajowy.
27-28.05.2017 - Na Kulinarnym Szlaku Wschodniej Polski – Bychawa - liczba odwiedzających 15 000 osób (dane ze strony organizatora) - Zasięg krajowy.
24-25.06.2017 - Szepietowo XXIV Wystawa Zwierząt Hodowlanych i Dni z Doradztwem Rolniczym (brak danych) - Zasięg lokalny/regionalny.
11.06.2017 - Forum Rolnicze  w Janowie z udziałem samorządu rolniczego - 97 osób - Zasięg lokalny/regionalny.</t>
    </r>
    <r>
      <rPr>
        <b/>
        <sz val="10"/>
        <rFont val="Calibri"/>
        <family val="2"/>
        <charset val="238"/>
      </rPr>
      <t xml:space="preserve">
</t>
    </r>
  </si>
  <si>
    <t xml:space="preserve">Dane wskazane w niniejszej tabeli dotyczą statystyki strony KSOW województwa podlaskiego administrowanej przez Jednostkę Centralną KSOW oraz statystyki strony PROW 2014-2020 prowadzonej przez UMWP. </t>
  </si>
  <si>
    <t xml:space="preserve"> #poznajprow (instagram i facebook)</t>
  </si>
  <si>
    <t>W kategorii "inne" w 2016 roku uwzględniono publikację "Stare w Nowym" dotyczącą rękodzieła ludowego (koronkarstwo).</t>
  </si>
  <si>
    <r>
      <rPr>
        <b/>
        <sz val="10"/>
        <rFont val="Calibri"/>
        <family val="2"/>
        <charset val="238"/>
        <scheme val="minor"/>
      </rPr>
      <t>Liczba multimediów i innych narzędzi komunikacji 2016 r.</t>
    </r>
    <r>
      <rPr>
        <sz val="10"/>
        <rFont val="Calibri"/>
        <family val="2"/>
        <charset val="238"/>
        <scheme val="minor"/>
      </rPr>
      <t xml:space="preserve"> 
W kategorii "Liczba innych narzędzi komunikacyjnych" w 2016 roku uwzględniono:                                                                                                                                                                     - 15 artykułów internetowych oraz 1 artykuł w prasie                                                                                                                                                                                                                            - tablice informacyjne (komplet 1)                                                                                                                                                                                                                                                                                                                                                                                                                                                                                          Do kategorii "Inne lub mieszane" zaliczają się w szczególności informacje na temat działań i poddziałań PROW 2014-2020 wdrażanych przez poszczególne instytucje oraz kampania informacyjna bezpieczna praca w gospodarstwie rolnym.              
</t>
    </r>
    <r>
      <rPr>
        <b/>
        <sz val="10"/>
        <rFont val="Calibri"/>
        <family val="2"/>
        <charset val="238"/>
        <scheme val="minor"/>
      </rPr>
      <t xml:space="preserve">Liczba multimediów i innych narzędzi komunikacji 2017 r. </t>
    </r>
    <r>
      <rPr>
        <sz val="10"/>
        <rFont val="Calibri"/>
        <family val="2"/>
        <charset val="238"/>
        <scheme val="minor"/>
      </rPr>
      <t xml:space="preserve">
W kategorii „Inne lub mieszane” uwzględniono „Olimpiadę Młodych Producentów Rolnych”.
Zakres tematyczny konkursu obejmował m.in. zagadnienia związane z produkcją roślinną i  zwierzęcą, mechanizację rolnictwa, ochronę środowiska i odnawialne źródła energii, ekonomikę i zarządzanie, zasady bezpieczeństwa i higieny pracy a także zagadnienia dotyczące Wspólnej Polityki Rolnej oraz Programu Rozwoju Obszarów Wiejskich na lata 2014 - 2020.
 </t>
    </r>
  </si>
  <si>
    <t>Nie dotyczy</t>
  </si>
  <si>
    <t>Spotkania wojewódzkiej grupy roboczej ds. KSOW (w tym również w trybie obiegowym).</t>
  </si>
  <si>
    <r>
      <rPr>
        <b/>
        <sz val="10"/>
        <rFont val="Calibri"/>
        <family val="2"/>
        <charset val="238"/>
        <scheme val="minor"/>
      </rPr>
      <t xml:space="preserve">Liczba działań o charakterze szkoleniowym w 2016 roku:
W kategorii "Inne tematy lub tematy mieszane" uwzględniono:      
</t>
    </r>
    <r>
      <rPr>
        <sz val="10"/>
        <rFont val="Calibri"/>
        <family val="2"/>
        <charset val="238"/>
        <scheme val="minor"/>
      </rPr>
      <t xml:space="preserve"> - szkolenia dla beneficjentów lub potencjalnych beneficjentów, pracowników PIFE oraz mediów regionalnych dot. działań i poddziałań wdrażanych przez SW,                                                                                                                                                                                                                                                                                 - szkolenie dotyczące nowelizacji PZP przeznaczone dla beneficjentów PROW 2014-2020.</t>
    </r>
    <r>
      <rPr>
        <b/>
        <sz val="10"/>
        <rFont val="Calibri"/>
        <family val="2"/>
        <charset val="238"/>
        <scheme val="minor"/>
      </rPr>
      <t xml:space="preserve">
Liczba działań o charakterze szkoleniowym w 2017 roku:
W kategorii  „Z naciskiem na LEADER/RLKS i LGD…” uwzględniono:
</t>
    </r>
    <r>
      <rPr>
        <sz val="10"/>
        <rFont val="Calibri"/>
        <family val="2"/>
        <charset val="238"/>
        <scheme val="minor"/>
      </rPr>
      <t xml:space="preserve">01.02.2017 – Spotkanie informacyjne dla LGD dotyczące stanu wdrażania RLKS w województwie podlaskim.
11-12.05.2017 - Forum Podlaskiej Sieci LGD w Rajgrodzie.
14.06.2017 - Spotkanie informacyjne dla LGD związane z realizacją wielofunduszowych strategii.      </t>
    </r>
    <r>
      <rPr>
        <b/>
        <sz val="10"/>
        <rFont val="Calibri"/>
        <family val="2"/>
        <charset val="238"/>
        <scheme val="minor"/>
      </rPr>
      <t xml:space="preserve">
W kategorii "Inne tematy lub tematy mieszane" uwzględniono:                                                                                                                                                                                                        
</t>
    </r>
    <r>
      <rPr>
        <sz val="10"/>
        <rFont val="Calibri"/>
        <family val="2"/>
        <charset val="238"/>
        <scheme val="minor"/>
      </rPr>
      <t>30.01.2017 – Szkolenie "Funkcjonowanie KSOW w nowej perspektywie finansowej".   
20.06.2017 – Szkolenie dotyczące zasad wypełniania wniosku o przyznanie pomocy dla operacji typu „inwestycje w targowiska lub obiekty budowlane przeznaczone na cele lokalnych produktów”.</t>
    </r>
    <r>
      <rPr>
        <b/>
        <sz val="10"/>
        <rFont val="Calibri"/>
        <family val="2"/>
        <charset val="238"/>
        <scheme val="minor"/>
      </rPr>
      <t xml:space="preserve">
W kategorii „Z naciskiem na żywotność i konkurencyjność gospodarstw” uwzględniono:
</t>
    </r>
    <r>
      <rPr>
        <sz val="10"/>
        <rFont val="Calibri"/>
        <family val="2"/>
        <charset val="238"/>
        <scheme val="minor"/>
      </rPr>
      <t>22-23.04.2017 - Seminarium pszczelarskie połączone z degustacją produktów pszczelich - przedsięwzięcie edukacyjne.  
27-29.03.2017  - Przetwarzanie mleka udojowego – warsztaty serowarskie - Powiat siemiatycki.</t>
    </r>
    <r>
      <rPr>
        <b/>
        <sz val="10"/>
        <rFont val="Calibri"/>
        <family val="2"/>
        <charset val="238"/>
        <scheme val="minor"/>
      </rPr>
      <t xml:space="preserve">
</t>
    </r>
    <r>
      <rPr>
        <sz val="10"/>
        <color rgb="FFFF0000"/>
        <rFont val="Calibri"/>
        <family val="2"/>
        <charset val="238"/>
        <scheme val="minor"/>
      </rPr>
      <t xml:space="preserve">
</t>
    </r>
  </si>
  <si>
    <r>
      <t xml:space="preserve">Liczba osób biorących udział w działaniach szkoleniowych w 2016 roku:
W kategorii "Inne tematy lub tematy mieszane" uwzględniono:  
</t>
    </r>
    <r>
      <rPr>
        <sz val="10"/>
        <rFont val="Calibri"/>
        <family val="2"/>
        <charset val="238"/>
      </rPr>
      <t>Przedstawicieli instytucji wdrażającej, przedstawicieli mediów lokalnych, członków organizacji pozarządowych oraz osoby zamieszkujące obszary wiejskie.</t>
    </r>
    <r>
      <rPr>
        <b/>
        <sz val="10"/>
        <rFont val="Calibri"/>
        <family val="2"/>
        <charset val="238"/>
      </rPr>
      <t xml:space="preserve">
Liczba osób biorących udział w działaniach szkoleniowych w 2017 roku:
W kategorii  „Z naciskiem na LEADER/RLKS i LGD…” uwzględniono:
</t>
    </r>
    <r>
      <rPr>
        <sz val="10"/>
        <rFont val="Calibri"/>
        <family val="2"/>
        <charset val="238"/>
      </rPr>
      <t xml:space="preserve">Spotkanie informacyjne dla LGD dotyczące stanu wdrażania RLKS w województwie podlaskim (w szkoleniu uczestniczyło 39 osób w tym 19 to przedstawiciele IW, a 20 to przedstawiciele LGD ). Działanie zrealizowane w ramach PK 2017 na kwotę 1 100 zł.
Forum Podlaskiej Sieci LGD w Rajgrodzie (51 osób w tym 11 osób to przedstawiciele IW, a 40 to przedstawiciele LGD).
Spotkanie informacyjne dla LGD związane z realizacją wielofunduszowych strategii (40 osób w tym 21 osób to przedstawiciele IW, a 19 to przedstawiciele LGD). Działanie zrealizowane w ramach PK 2017 na kwotę 1 640,00 zł   </t>
    </r>
    <r>
      <rPr>
        <b/>
        <sz val="10"/>
        <rFont val="Calibri"/>
        <family val="2"/>
        <charset val="238"/>
      </rPr>
      <t xml:space="preserve">
W kategorii "Inne tematy lub tematy mieszane" uwzględniono:                                                                                                                                                                                                        
</t>
    </r>
    <r>
      <rPr>
        <sz val="10"/>
        <rFont val="Calibri"/>
        <family val="2"/>
        <charset val="238"/>
      </rPr>
      <t>Szkolenie "Funkcjonowanie KSOW w nowej perspektywie finansowej" (w szkoleniu uczestniczyło 57 osób). Działanie zrealizowane w ramach PK 2017 na kwotę 1 512,50 zł.</t>
    </r>
    <r>
      <rPr>
        <sz val="10"/>
        <color rgb="FFFF0000"/>
        <rFont val="Calibri"/>
        <family val="2"/>
        <charset val="238"/>
      </rPr>
      <t xml:space="preserve">
</t>
    </r>
    <r>
      <rPr>
        <sz val="10"/>
        <rFont val="Calibri"/>
        <family val="2"/>
        <charset val="238"/>
      </rPr>
      <t>Szkolenie dotyczące zasad wypełniania wniosku o przyznanie pomocy dla operacji typu „Inwestycje w targowiska lub obiekty budowlane przeznaczone na cele lokalnych produktów” (w szkoleniu uczestniczyło 35 osób). Działanie zrealizowane w ramach PK 2017 na kwotę 1 480,00 zł.</t>
    </r>
    <r>
      <rPr>
        <b/>
        <sz val="10"/>
        <rFont val="Calibri"/>
        <family val="2"/>
        <charset val="238"/>
      </rPr>
      <t xml:space="preserve">
W kategorii „Z naciskiem na żywotność i konkurencyjność gospodarstw” uwzględniono:
</t>
    </r>
    <r>
      <rPr>
        <sz val="10"/>
        <rFont val="Calibri"/>
        <family val="2"/>
        <charset val="238"/>
      </rPr>
      <t>Seminarium pszczelarskie połączone z degustacją produktów pszczelich - przedsięwzięcie edukacyjne (w seminarium uczestniczyło 121 osób).
Przetwarzanie mleka udojowego – warsztaty serowarskie - Powiat siemiatycki (w warsztatach uczestniczyło 72 osoby).</t>
    </r>
    <r>
      <rPr>
        <b/>
        <sz val="10"/>
        <rFont val="Calibri"/>
        <family val="2"/>
        <charset val="238"/>
      </rPr>
      <t xml:space="preserve">
W kategorii "Inne tematy lub tematy mieszane" uwzględniono: </t>
    </r>
    <r>
      <rPr>
        <sz val="10"/>
        <rFont val="Calibri"/>
        <family val="2"/>
        <charset val="238"/>
      </rPr>
      <t xml:space="preserve">                                                                                                                                                                                      Podmioty zainteresowane pszczelarstwem z województwa podlaskiego, mieszkańcy obszarów wiejskich woj. podlaskiego, przedstawiciele instytucji wdrażającej oraz potencjalni beneficjenci PROW.
</t>
    </r>
  </si>
  <si>
    <t>Do kosztów funkcjonowania zaliczono: wydatki związane z wynagrodzeniami pracowników, koszty delegacji, koszty administracyjne, zakup artykułów biurowych niezbędnych do funkcjonowania SR, itp.</t>
  </si>
  <si>
    <t>JR KSOW Województwa Podkarpackiego</t>
  </si>
  <si>
    <t>stan na dzień 30 czerwca 2017 r.</t>
  </si>
  <si>
    <t>województwo podkarpackie</t>
  </si>
  <si>
    <r>
      <rPr>
        <b/>
        <u/>
        <sz val="12"/>
        <color indexed="8"/>
        <rFont val="Arial"/>
        <family val="2"/>
        <charset val="238"/>
      </rPr>
      <t>Cel i kontekst Wspólnej Statystyki Sieci</t>
    </r>
    <r>
      <rPr>
        <sz val="12"/>
        <color indexed="8"/>
        <rFont val="Arial"/>
        <family val="2"/>
        <charset val="238"/>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Arial"/>
        <family val="2"/>
        <charset val="238"/>
      </rPr>
      <t>Powiązania między Wspólną Statystyką Sieci i obligatoryjnymi wskaźnikami monitorowania określonymi w rozporządzeniu wykonawczym KE (UE) nr 808/2014</t>
    </r>
    <r>
      <rPr>
        <sz val="12"/>
        <color indexed="8"/>
        <rFont val="Arial"/>
        <family val="2"/>
        <charset val="238"/>
      </rPr>
      <t xml:space="preserve">
Celem Wspólnej Statystyki Sieci jest ułatwienie zbierania danych do obligatoryjnych wskaźników. Wszystkie podmioty zaangażowane w realizację zadań sieci wypełniają tylko arkusz </t>
    </r>
    <r>
      <rPr>
        <i/>
        <sz val="12"/>
        <color indexed="8"/>
        <rFont val="Arial"/>
        <family val="2"/>
        <charset val="238"/>
      </rPr>
      <t xml:space="preserve">"Wspólna Statystyka Sieci". </t>
    </r>
    <r>
      <rPr>
        <sz val="12"/>
        <color indexed="8"/>
        <rFont val="Arial"/>
        <family val="2"/>
        <charset val="238"/>
      </rPr>
      <t xml:space="preserve">
</t>
    </r>
    <r>
      <rPr>
        <b/>
        <u/>
        <sz val="12"/>
        <color indexed="8"/>
        <rFont val="Arial"/>
        <family val="2"/>
        <charset val="238"/>
      </rPr>
      <t>Definicje i wytyczne do poszczególnych wskaźników</t>
    </r>
    <r>
      <rPr>
        <sz val="12"/>
        <color indexed="8"/>
        <rFont val="Arial"/>
        <family val="2"/>
        <charset val="238"/>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Arial"/>
        <family val="2"/>
        <charset val="238"/>
      </rPr>
      <t>omentarze"</t>
    </r>
    <r>
      <rPr>
        <sz val="12"/>
        <color indexed="8"/>
        <rFont val="Arial"/>
        <family val="2"/>
        <charset val="238"/>
      </rPr>
      <t xml:space="preserve">. 
 Zakres tematyczny został powiązany z priorytetami PROW 2014-2020.
</t>
    </r>
    <r>
      <rPr>
        <b/>
        <u/>
        <sz val="12"/>
        <color indexed="8"/>
        <rFont val="Arial"/>
        <family val="2"/>
        <charset val="238"/>
      </rPr>
      <t>Udział w budżecie</t>
    </r>
    <r>
      <rPr>
        <b/>
        <sz val="12"/>
        <color indexed="8"/>
        <rFont val="Arial"/>
        <family val="2"/>
        <charset val="238"/>
      </rPr>
      <t xml:space="preserve">
</t>
    </r>
    <r>
      <rPr>
        <sz val="12"/>
        <color indexed="8"/>
        <rFont val="Arial"/>
        <family val="2"/>
        <charset val="238"/>
      </rPr>
      <t>Szacowany podział budżetu (Tabela 8) ma na celu dostarczenie informacji jak proporcjonalnie środki</t>
    </r>
    <r>
      <rPr>
        <b/>
        <sz val="12"/>
        <color indexed="8"/>
        <rFont val="Arial"/>
        <family val="2"/>
        <charset val="238"/>
      </rPr>
      <t xml:space="preserve"> </t>
    </r>
    <r>
      <rPr>
        <sz val="12"/>
        <color indexed="8"/>
        <rFont val="Arial"/>
        <family val="2"/>
        <charset val="238"/>
      </rPr>
      <t xml:space="preserve">rocznego budżetu sieci zostały przeznaczone na odpowiednie działania objęte wskaźnikami. Proszę podaj budzet dla poszczególnych kategorii i wskaż trudności w komentarzu.
</t>
    </r>
    <r>
      <rPr>
        <b/>
        <u/>
        <sz val="12"/>
        <color indexed="8"/>
        <rFont val="Calibri"/>
        <family val="2"/>
        <charset val="238"/>
      </rPr>
      <t/>
    </r>
  </si>
  <si>
    <r>
      <t>Komentarze</t>
    </r>
    <r>
      <rPr>
        <sz val="12"/>
        <color indexed="8"/>
        <rFont val="Arial"/>
        <family val="2"/>
        <charset val="238"/>
      </rPr>
      <t xml:space="preserve"> 
(proszę wskazać co jest rozumiane przez kategorię "inne")</t>
    </r>
  </si>
  <si>
    <r>
      <t>Przedsięwzięcie zrealizowane z naciskiem na rozwój gospodarczy na obszarach wiejskich i włączenie społeczne</t>
    </r>
    <r>
      <rPr>
        <sz val="12"/>
        <color rgb="FFFF0000"/>
        <rFont val="Arial"/>
        <family val="2"/>
        <charset val="238"/>
      </rPr>
      <t xml:space="preserve"> </t>
    </r>
    <r>
      <rPr>
        <sz val="12"/>
        <rFont val="Arial"/>
        <family val="2"/>
        <charset val="238"/>
      </rPr>
      <t>(w wydarzeniu nie uczestniczyły innejednostki regionalne KSOW). Operacje o charakterze międzynarodowym to: Organizacja II Międzynarodowego Festiwalu Kuchni Dworskiej im. Hanny Szymanderskiej w Zamku Dubiecko (około 1000 uczestników) oraz EKOGALA międzynarodowe targi produktów i zywności wysokiej jakości (około 12 000 uczestników).</t>
    </r>
  </si>
  <si>
    <t>W wydarzeniu nie uczesticzyły inne jednistki regionalne KSOW.</t>
  </si>
  <si>
    <r>
      <t>Liczba innych narzędzi komunikacyjnych - proszę określić jakich w "</t>
    </r>
    <r>
      <rPr>
        <i/>
        <sz val="12"/>
        <color indexed="8"/>
        <rFont val="Arial"/>
        <family val="2"/>
        <charset val="238"/>
      </rPr>
      <t>Komentarzu"</t>
    </r>
  </si>
  <si>
    <r>
      <t xml:space="preserve">Komentarze 
</t>
    </r>
    <r>
      <rPr>
        <sz val="12"/>
        <color indexed="8"/>
        <rFont val="Arial"/>
        <family val="2"/>
        <charset val="238"/>
      </rPr>
      <t>(proszę wskazać co jest rozumiane przez kategorię "inne")</t>
    </r>
  </si>
  <si>
    <t>Funkcjonowanie Wojewódzkiej Grupy Roboczej ds.. Krajowej Sieci obszarów Wiejskich w wojeództwie podkarpackim (liczba spotakań grupy tematyczne obejmuje także głosowania w trybie obiegowym)</t>
  </si>
  <si>
    <r>
      <rPr>
        <b/>
        <sz val="12"/>
        <color theme="1"/>
        <rFont val="Arial"/>
        <family val="2"/>
        <charset val="238"/>
      </rPr>
      <t>Komentarze</t>
    </r>
    <r>
      <rPr>
        <sz val="12"/>
        <color theme="1"/>
        <rFont val="Arial"/>
        <family val="2"/>
        <charset val="238"/>
      </rPr>
      <t xml:space="preserve"> 
(proszę wskazać co jest rozumiane przez kategorię "inne")</t>
    </r>
  </si>
  <si>
    <t>Szkolenie dla beneficjentó i przyszłych beneficjentów PROW.</t>
  </si>
  <si>
    <r>
      <t xml:space="preserve">Komentarze </t>
    </r>
    <r>
      <rPr>
        <sz val="12"/>
        <color indexed="8"/>
        <rFont val="Arial"/>
        <family val="2"/>
        <charset val="238"/>
      </rPr>
      <t>(proszę wskazać także inne kategorie)</t>
    </r>
  </si>
  <si>
    <t>inne: materiały promocyjne/gadżety</t>
  </si>
  <si>
    <t>Płatnośc w wysokości 1 000,00 zł zrealizowana została w styczniu 2017 r. w ramach operacji partnera pt. „Wsparcie serowarstwa na Podkarpaciu: ocena mleka surowego oraz higieny produkcji i bezpieczeństwa produktu wprowadzanego do obrotu” w roku 2016.</t>
  </si>
  <si>
    <t>Jednostka Regionalna KSOW woj. opolskiego</t>
  </si>
  <si>
    <r>
      <rPr>
        <b/>
        <sz val="10"/>
        <color indexed="8"/>
        <rFont val="Calibri"/>
        <family val="2"/>
        <charset val="238"/>
      </rPr>
      <t>2016:                                                                                                                                                                                                                                                                                                                                                  Wydarzenia o zasięgu krajowym</t>
    </r>
    <r>
      <rPr>
        <sz val="10"/>
        <color indexed="8"/>
        <rFont val="Calibri"/>
        <family val="2"/>
        <charset val="238"/>
      </rPr>
      <t xml:space="preserve">:                                                                                                                                                                                                                                                                                                                                1. XV Spotkanie organizacji działających na obszarach wiejskich w Marózie                                                                                                                                                                                                                                                               2. Konferencja poświęcona podejściu LEADER                                                                                                                                                                                                                                                                                                  3. Dożynki Prezydenckie w Spale                                                                                                                                                                                                                                                                                                                </t>
    </r>
    <r>
      <rPr>
        <b/>
        <sz val="10"/>
        <color indexed="8"/>
        <rFont val="Calibri"/>
        <family val="2"/>
        <charset val="238"/>
      </rPr>
      <t>Wydarzenia o zasięgu międzynarodowym</t>
    </r>
    <r>
      <rPr>
        <sz val="10"/>
        <color indexed="8"/>
        <rFont val="Calibri"/>
        <family val="2"/>
        <charset val="238"/>
      </rPr>
      <t xml:space="preserve">:                                                                                                                                                                                                                                                                                                       1. Międzynarodowe Targi Turystyczne ITB Berlin 2016                                                                                                                                                                                                                                                                            2. Wystawa Twórców Ludowych i Rzemiosła Artystycznego Pogranicza Polsko-Czeskiego w Prudniku                                                                                                                                 3. Targi Turystyki Weekendowej "Atrakcje Regionów" w Chorzowie                                                                                                                                                                                                                                                         4. Międzynarodowe Targi Turystyki Wiejskiej i Agroturystyki AGROTRAVEL w Kielcach - stoisko wystawiennicze                                                                                                     5. Międzynarodowe Targi Turystyki Wiejskiej i Agroturystyki AGROTRAVEL w Kielcach - udział w konferencji                                                                                                                                                6. Międzynarodowe Targi "Rheinland-Pfalz Ausstellung" w Moguncji                                                                                                                                                                                                                                              7. Święto Konstytucji Nadrenii-Palatynatu w Moguncji                                                                                                                                                                                                                                                                        8. Festyn Przyjaźni Polsko-Niemieckiej w Moguncji                                                                                                                                                                                                                                                                   9. Doroczne Forum Europejskiej Sieci Regionalnego Dziedzictwa Kulinarnego w Oslo                                                                                                                                                                                                      10. Finał konkursu o Europejską Nagrodę Odnowy Wsi - Węgry                                                                                                                                                                                                                                                    11. XVI Międzynarodowe Targi Turystyczne "W stronę słońca" w Opolu                                                                                                                                                                                                                    12. Wystawa Rolnicza OPOLAGRA 2016                                                                                                                                                                                                                                                                                                                             </t>
    </r>
    <r>
      <rPr>
        <b/>
        <sz val="10"/>
        <color indexed="8"/>
        <rFont val="Calibri"/>
        <family val="2"/>
        <charset val="238"/>
      </rPr>
      <t>Zakres tematyczny - Inne:</t>
    </r>
    <r>
      <rPr>
        <sz val="10"/>
        <color indexed="8"/>
        <rFont val="Calibri"/>
        <family val="2"/>
        <charset val="238"/>
      </rPr>
      <t xml:space="preserve">                                                                                                                                                                                                                                                                                                                                           1. Spotkania informacyjno-konsultacyjne dot. scalania gruntów, gospodarki wodno-kanalizacyjnej oraz spotkanie w sprawie podpisania umów na drogi lokalne                                                                                                                                                                                                                                                                                                                                                       </t>
    </r>
    <r>
      <rPr>
        <b/>
        <sz val="10"/>
        <color indexed="8"/>
        <rFont val="Calibri"/>
        <family val="2"/>
        <charset val="238"/>
      </rPr>
      <t xml:space="preserve">2017:                                                                                                                                                                                                                                                                                                                                                  </t>
    </r>
    <r>
      <rPr>
        <sz val="10"/>
        <color indexed="8"/>
        <rFont val="Calibri"/>
        <family val="2"/>
        <charset val="238"/>
      </rPr>
      <t xml:space="preserve">                                                                                                                                                                                                                                                                                                               </t>
    </r>
    <r>
      <rPr>
        <b/>
        <sz val="10"/>
        <color indexed="8"/>
        <rFont val="Calibri"/>
        <family val="2"/>
        <charset val="238"/>
      </rPr>
      <t xml:space="preserve">Wydarzenia o zasięgu międzynarodowym:      </t>
    </r>
    <r>
      <rPr>
        <sz val="10"/>
        <color indexed="8"/>
        <rFont val="Calibri"/>
        <family val="2"/>
        <charset val="238"/>
      </rPr>
      <t xml:space="preserve">                                                                                                                                                                                                                                                                                                 1. Międzynarodowe Targi Turystyki Wiejskiej i Agroturystyki AGROTRAVEL w Kielcach - udział w bloku konferencjno-warsztatowym                                                                                                                                                2. Międzynarodowe Targi "Rheinland-Pfalz Ausstellung" w Moguncji                                                                                                                                                                                                                                              3. Dni Regionów Partnerskich w Dijon (Francja)                                                                                                                                                                                                                                                                       4. Wystawa Rolnicza OPOLAGRA 2017                                                                                                                                                                                                                                                                                                                             </t>
    </r>
    <r>
      <rPr>
        <b/>
        <sz val="10"/>
        <color indexed="8"/>
        <rFont val="Calibri"/>
        <family val="2"/>
        <charset val="238"/>
      </rPr>
      <t xml:space="preserve">Zakres tematyczny - Inne:   </t>
    </r>
    <r>
      <rPr>
        <sz val="10"/>
        <color indexed="8"/>
        <rFont val="Calibri"/>
        <family val="2"/>
        <charset val="238"/>
      </rPr>
      <t xml:space="preserve">                                                                                                                                                                                                                                                                                                                                        1. 2 spotkania informacyjno-konsultacyjne dot. scalania gruntów oraz omówienia dokumentów aplikacyjnych - targowiska</t>
    </r>
  </si>
  <si>
    <r>
      <t xml:space="preserve"> </t>
    </r>
    <r>
      <rPr>
        <b/>
        <sz val="10"/>
        <color indexed="8"/>
        <rFont val="Calibri"/>
        <family val="2"/>
        <charset val="238"/>
      </rPr>
      <t>2016:                                                                                                                                                                                                                                                                                                                                                       Wydarzenia o zasięgu krajowym</t>
    </r>
    <r>
      <rPr>
        <sz val="10"/>
        <color indexed="8"/>
        <rFont val="Calibri"/>
        <family val="2"/>
        <charset val="238"/>
      </rPr>
      <t xml:space="preserve">:                                                                                                                                                                                                                                                                                                                                1. XV Spotkanie organizacji działających na obszarach wiejskich w Marózie - 500 osób                                                                                                                                                                                                                                                               2. Konferencja poświęcona podejściu LEADER - 350 osób                                                                                                                                                                                                                                                                                                  3. Dożynki Prezydenckie w Spale - 4 000 osób                                                                                                                                                                                                                                                                                                                </t>
    </r>
    <r>
      <rPr>
        <b/>
        <sz val="10"/>
        <color indexed="8"/>
        <rFont val="Calibri"/>
        <family val="2"/>
        <charset val="238"/>
      </rPr>
      <t>Wydarzenia o zasięgu międzynarodowym</t>
    </r>
    <r>
      <rPr>
        <sz val="10"/>
        <color indexed="8"/>
        <rFont val="Calibri"/>
        <family val="2"/>
        <charset val="238"/>
      </rPr>
      <t xml:space="preserve">:                                                                                                                                                                                                                                                                                                                 1. Międzynarodowe Targi Turystyczne ITB Berlin 2016 - 120 000 osób                                                                                                                                                                                                                            2. Wystawa Twórców Ludowych i Rzemiosła Artystycznego Pogranicza Polsko-Czeskiego w Prudniku - 10 000 osób                                                                                                                                 3. Targi Turystyki Weekendowej "Atrakcje Regionów" w Chorzowie - 25 000 osób                                                                                                                                                                                                                                                         4. Międzynarodowe Targi Turystyki Wiejskiej i Agroturystyki AGROTRAVEL w Kielcach - stoisko wystawiennicze - 20 000 osób                                                                                                     5. Międzynarodowe Targi Turystyki Wiejskiej i Agroturystyki AGROTRAVEL w Kielcach - udział w konferencji - 600 osób                                                                                                                                               6. Międzynarodowe Targi "Rheinland-Pfalz Ausstellung" w Moguncji - 70 000 osób                                                                                                                                                                                                                                              7. Święto Konstytucji Nadrenii-Palatynatu w Moguncji - 40 000 osób                                                                                                                                                                                                                                                                       8. Festyn Przyjaźni Polsko-Niemieckiej w Moguncji - 10 000 osób                                                                                                                                                                                                                                                                   9. Doroczne Forum Europejskiej Sieci Regionalnego Dziedzictwa Kulinarnego w Oslo - 400 osób                                                                                                                                                                                                      10. Finał konkursu o Europejską Nagrodę Odnowy Wsi - Węgry - 1 500 osób                                                                                                                                                                                                                                                    11. XVI Międzynarodowe Targi Turystyczne "W stronę słońca" w Opolu - 20 000 osób                                                                                                                                                                                                                    12. Wystawa Rolnicza OPOLAGRA 2016 - 48 000 osób                                                                                                                                                                                                                                            </t>
    </r>
    <r>
      <rPr>
        <b/>
        <sz val="10"/>
        <color indexed="8"/>
        <rFont val="Calibri"/>
        <family val="2"/>
        <charset val="238"/>
      </rPr>
      <t xml:space="preserve">2017:                                                                                                                                                                                                                                                                                                                                                                                                                                                                                                                                                                                                                                                                 Wydarzenia o zasięgu międzynarodowym:  </t>
    </r>
    <r>
      <rPr>
        <sz val="10"/>
        <color indexed="8"/>
        <rFont val="Calibri"/>
        <family val="2"/>
        <charset val="238"/>
      </rPr>
      <t xml:space="preserve">                                                                                                                                                                                                                                                                                                     1. </t>
    </r>
    <r>
      <rPr>
        <sz val="10"/>
        <rFont val="Calibri"/>
        <family val="2"/>
        <charset val="238"/>
      </rPr>
      <t xml:space="preserve">Międzynarodowe Targi Turystyki Wiejskiej i Agroturystyki AGROTRAVEL w Kielcach - udział w bloku konferencjno-warsztatowym  - 800 osób                                                                                                                                              2. Międzynarodowe Targi "Rheinland-Pfalz Ausstellung" w Moguncji  - 70 000 osób                                                                                                                                                                                                                                             3. Dni Regionów Partnerskich w Dijon (Francja)  - 5 000 osób                                                                  </t>
    </r>
    <r>
      <rPr>
        <sz val="10"/>
        <color indexed="8"/>
        <rFont val="Calibri"/>
        <family val="2"/>
        <charset val="238"/>
      </rPr>
      <t xml:space="preserve">                                                                                                                                                                                                    4. Wystawa Rolnicza OPOLAGRA 2017 - 45 000 osób                                                                                                                                                                                                                                                                                                                                                                                                                                                                                                                                                                                                                                                                                             </t>
    </r>
  </si>
  <si>
    <t>dotyczy strony www.ksow.pl - zakładka woj. opolskiego, statystyki zgodne z Google Analitics</t>
  </si>
  <si>
    <t xml:space="preserve">2016-2017 - dotyczy 1 grupy tematycznej - WGR ds. KSOW woj. opolskiego. W 2016r. odbyły się 2 posiedzenia oraz Grupa pracowała w trybie obiegowym 7 razy. Natomiast w 2017r. nie odbyło się żadne posiedzenie WGR ds. KSOW. Grupa pracowała w trybie obiegowym 7 razy.  </t>
  </si>
  <si>
    <t xml:space="preserve">W 2016r. Zorgaznizowano 1 spotkanie informacyjno-konsultacyjne  dla Partnerów KSOW w sprawie realizacji projektów w ramach Planu operacyjnego KSOW na lata 2016-2017 w zakresie roku 2016. Natomiast w 2017r. Zorganizowano 2 spotkania dla Partnerów KSOW, w tym 1  w sprawie realizacji projektów w ramach Planu operacyjnego KSOW na lata 2016-2017 w zakresie roku 201r. i drugie w sprawie ogłoszonego Konkursu nr 1/2017 dla partnerów Krajowej Sieci Obszarów Wiejskich na wybór operacji, które będą realizowane w 2017 r. w ramach dwuletniego planu operacyjnego na lata 2016–2017 </t>
  </si>
  <si>
    <r>
      <rPr>
        <b/>
        <sz val="10"/>
        <rFont val="Calibri"/>
        <family val="2"/>
        <charset val="238"/>
      </rPr>
      <t>2016r</t>
    </r>
    <r>
      <rPr>
        <sz val="10"/>
        <rFont val="Calibri"/>
        <family val="2"/>
        <charset val="238"/>
      </rPr>
      <t xml:space="preserve">. -  liczba osób wchodzących w skład WGR ds. KSOW woj. opolskiego - 23 osoby, w posiedzeniach udział wzięły 23 osoby, a w trybie obiegowym głowowało łącznie 114 osób.                                                                                                                                                                                                                                                                                                          </t>
    </r>
    <r>
      <rPr>
        <b/>
        <sz val="10"/>
        <rFont val="Calibri"/>
        <family val="2"/>
        <charset val="238"/>
      </rPr>
      <t>2017r</t>
    </r>
    <r>
      <rPr>
        <sz val="10"/>
        <rFont val="Calibri"/>
        <family val="2"/>
        <charset val="238"/>
      </rPr>
      <t xml:space="preserve">. -  liczba osób wchodzących w skład WGR ds. KSOW woj. opolskiego - 23 osoby, w trybie obiegowym głowowało łącznie 105 osób                                                 W spotkaniach informacyjno-konsultacyjnych dla Partnerów KSOW uczestniczyło: w 2016r. - 21 osób, w 2017r. - 61 osób.   </t>
    </r>
  </si>
  <si>
    <r>
      <rPr>
        <b/>
        <sz val="10"/>
        <color theme="1"/>
        <rFont val="Calibri"/>
        <family val="2"/>
        <charset val="238"/>
        <scheme val="minor"/>
      </rPr>
      <t xml:space="preserve">2016 -2017: </t>
    </r>
    <r>
      <rPr>
        <sz val="10"/>
        <color theme="1"/>
        <rFont val="Calibri"/>
        <family val="2"/>
        <charset val="238"/>
        <scheme val="minor"/>
      </rPr>
      <t xml:space="preserve">                                                                                                                                                                                                                                                                                                                                                                                                        </t>
    </r>
    <r>
      <rPr>
        <u/>
        <sz val="10"/>
        <color theme="1"/>
        <rFont val="Calibri"/>
        <family val="2"/>
        <charset val="238"/>
        <scheme val="minor"/>
      </rPr>
      <t xml:space="preserve">     </t>
    </r>
    <r>
      <rPr>
        <sz val="10"/>
        <color theme="1"/>
        <rFont val="Calibri"/>
        <family val="2"/>
        <charset val="238"/>
        <scheme val="minor"/>
      </rPr>
      <t xml:space="preserve">                                      Wykazano szkolenia / warsztaty realizowane w ramach planów operacyjnych oraz ze struktury KSOW    </t>
    </r>
    <r>
      <rPr>
        <b/>
        <sz val="10"/>
        <color theme="1"/>
        <rFont val="Calibri"/>
        <family val="2"/>
        <charset val="238"/>
        <scheme val="minor"/>
      </rPr>
      <t xml:space="preserve">                                                                                                                                                                                                       Zakres tematyczny - Inne:                                                                                                                                                                                                                                                                                                                   </t>
    </r>
    <r>
      <rPr>
        <sz val="10"/>
        <color theme="1"/>
        <rFont val="Calibri"/>
        <family val="2"/>
        <charset val="238"/>
        <scheme val="minor"/>
      </rPr>
      <t xml:space="preserve">       </t>
    </r>
    <r>
      <rPr>
        <sz val="10"/>
        <color theme="1"/>
        <rFont val="Calibri"/>
        <family val="2"/>
        <scheme val="minor"/>
      </rPr>
      <t xml:space="preserve">                                                                                                                                                                                                                                                                </t>
    </r>
    <r>
      <rPr>
        <b/>
        <sz val="10"/>
        <color theme="1"/>
        <rFont val="Calibri"/>
        <family val="2"/>
        <charset val="238"/>
        <scheme val="minor"/>
      </rPr>
      <t>2016:</t>
    </r>
    <r>
      <rPr>
        <sz val="10"/>
        <color theme="1"/>
        <rFont val="Calibri"/>
        <family val="2"/>
        <scheme val="minor"/>
      </rPr>
      <t xml:space="preserve">                                                                                                                                                                                                                                                                                                                                                                                              1. Szkolenie z Excel                                                                                                                                                                                                                                                                                                                                                2. Szkolenie z zakresu zamówień publicznych (nowelizacja ustawy)                                                                                                                                                                                                            3. Szkolenie na temat informowania o PROW 2014-2020                                                                                                                                                                                                                               4. Szkolenie dla beneficjentów PT PROW 2014-2020                                                                                                                                                                                                                                                                                  5. Szkolenie z generatora wniosków w ramach PT PROW 2014-2020                                                                                                                                                                                                                                </t>
    </r>
    <r>
      <rPr>
        <b/>
        <sz val="10"/>
        <color theme="1"/>
        <rFont val="Calibri"/>
        <family val="2"/>
        <charset val="238"/>
        <scheme val="minor"/>
      </rPr>
      <t>2017:</t>
    </r>
    <r>
      <rPr>
        <sz val="10"/>
        <color theme="1"/>
        <rFont val="Calibri"/>
        <family val="2"/>
        <scheme val="minor"/>
      </rPr>
      <t xml:space="preserve">                                                                                                                                                                                                                                                                                                                                                         1. Szkolenie dla JR KSOW, CDR i ODR – nabór projektów w 2017r. i zmiana PO KSOW 2016-2017                                                                                                                                             2. Szkolenie „Copywriting &amp; Content Marketing w promocji Funduszy Unijnych”                                                                                                                                                                                              3. Szkolenie z zakresu obsługi Portalu Ogłoszeń ARiMR                                                                                                                                                                                                                                                            4. Szkolenie w zakresie ustawy Prawo Zamówień Publicznych </t>
    </r>
  </si>
  <si>
    <r>
      <rPr>
        <b/>
        <sz val="10"/>
        <color indexed="8"/>
        <rFont val="Calibri"/>
        <family val="2"/>
        <charset val="238"/>
      </rPr>
      <t xml:space="preserve">2016: </t>
    </r>
    <r>
      <rPr>
        <sz val="10"/>
        <color indexed="8"/>
        <rFont val="Calibri"/>
        <family val="2"/>
        <charset val="238"/>
      </rPr>
      <t xml:space="preserve">                                                                                                                                                                                                                                                                                                                                                   Uczestnikami szkoleń / warsztatów i wyjazdów studyjnych byli liderzy wiejscy, animatorzy życia na obszarach wiejskich, członkowie oraz potencjalni członkowie  sieci "Szlak Lulinarny Województwa Opolskiego </t>
    </r>
    <r>
      <rPr>
        <i/>
        <sz val="10"/>
        <color indexed="8"/>
        <rFont val="Calibri"/>
        <family val="2"/>
        <charset val="238"/>
      </rPr>
      <t>Opolski Bifyj</t>
    </r>
    <r>
      <rPr>
        <sz val="10"/>
        <color indexed="8"/>
        <rFont val="Calibri"/>
        <family val="2"/>
        <charset val="238"/>
      </rPr>
      <t xml:space="preserve">, mieszkańcy Gminy Bierawa, rolnicy z woj. opolskiego, doradcy rolni z Opolskiego Ośrodka Doradztwa Rolniczego w Łosiowie, przedstawiciele opolskich LGD oraz pracownicy Jednostki Regionalnej KSOW woj opolskiego                                                                                                                                      </t>
    </r>
    <r>
      <rPr>
        <b/>
        <sz val="10"/>
        <color indexed="8"/>
        <rFont val="Calibri"/>
        <family val="2"/>
        <charset val="238"/>
      </rPr>
      <t xml:space="preserve"> 2017:</t>
    </r>
    <r>
      <rPr>
        <sz val="10"/>
        <color indexed="8"/>
        <rFont val="Calibri"/>
        <family val="2"/>
        <charset val="238"/>
      </rPr>
      <t xml:space="preserve">                                                                                                                                                                                                                                                                                                                                                    Uczestnikami szkoleń / warsztatów i wyjazdów studyjnych byli liderzy wiejscy, animatorzy życia na obszarach wiejskich, przedstawiciele opolskich LGD mieszkańcy powiatu kędzierzyńsko-kozielskiego i oleskiego oraz pracownicy Jednostki Regionalnej KSOW woj opolskiego</t>
    </r>
  </si>
  <si>
    <r>
      <t xml:space="preserve">1. </t>
    </r>
    <r>
      <rPr>
        <b/>
        <sz val="10"/>
        <color theme="1"/>
        <rFont val="Calibri"/>
        <family val="2"/>
        <charset val="238"/>
        <scheme val="minor"/>
      </rPr>
      <t>W kosztach dot. wydarzeń</t>
    </r>
    <r>
      <rPr>
        <sz val="10"/>
        <color theme="1"/>
        <rFont val="Calibri"/>
        <family val="2"/>
        <scheme val="minor"/>
      </rPr>
      <t xml:space="preserve"> ujęto także koszty wykonania materiałów promocyjnych i wizualizacyjnych w ramach Planu komunikacyjnego.                                                                         2. </t>
    </r>
    <r>
      <rPr>
        <b/>
        <sz val="10"/>
        <color theme="1"/>
        <rFont val="Calibri"/>
        <family val="2"/>
        <charset val="238"/>
        <scheme val="minor"/>
      </rPr>
      <t>W kosztach związanych z innymi działaniami</t>
    </r>
    <r>
      <rPr>
        <sz val="10"/>
        <color theme="1"/>
        <rFont val="Calibri"/>
        <family val="2"/>
        <scheme val="minor"/>
      </rPr>
      <t xml:space="preserve"> ujęto koszty poniesione na organizację szkoleń (bez szkoleń ze struktury), warsztatów i wyjazdów studyjnych.                                                                                                                      3.</t>
    </r>
    <r>
      <rPr>
        <b/>
        <sz val="10"/>
        <color theme="1"/>
        <rFont val="Calibri"/>
        <family val="2"/>
        <charset val="238"/>
        <scheme val="minor"/>
      </rPr>
      <t>Koszty funkcjonowania</t>
    </r>
    <r>
      <rPr>
        <sz val="10"/>
        <color theme="1"/>
        <rFont val="Calibri"/>
        <family val="2"/>
        <scheme val="minor"/>
      </rPr>
      <t xml:space="preserve"> dotyczą: wynagrodzenia pracowników JR KSOW, koszty zakupu i dostawy energii elektrycznej i cieplnej, delegacji służbowych i szkoleń pracowników JR KSOW, zakupów wyposażenia i art. biurowych, koszty napraw i konserwacji sprzętu biurowego oraz organizacji posiedzeń WGR ds. KSOW i spotkań informacyjno - konsultacyjnych dla Partnerów KSOW.                                                                     4. W 2017r. na </t>
    </r>
    <r>
      <rPr>
        <b/>
        <sz val="10"/>
        <color theme="1"/>
        <rFont val="Calibri"/>
        <family val="2"/>
        <charset val="238"/>
        <scheme val="minor"/>
      </rPr>
      <t xml:space="preserve">Plan komunikacyjny </t>
    </r>
    <r>
      <rPr>
        <sz val="10"/>
        <color theme="1"/>
        <rFont val="Calibri"/>
        <family val="2"/>
        <scheme val="minor"/>
      </rPr>
      <t xml:space="preserve">wydano 4 448,66 zł                                            5. Koszty WGR ds. KSOW: 2016 - 211,99 zł, 2017 - 0 zł.                                       6. Koszty organizacji spotkań informacyjno-konsultacyjnych dla Partnerów KSOW: 2016 -  233,27 zł, 2017- 578,55 zł      </t>
    </r>
  </si>
  <si>
    <t>SR KSOW Województwa Mazowieckiego</t>
  </si>
  <si>
    <r>
      <rPr>
        <b/>
        <sz val="10"/>
        <color indexed="8"/>
        <rFont val="Calibri"/>
        <family val="2"/>
        <charset val="238"/>
      </rPr>
      <t>2016</t>
    </r>
    <r>
      <rPr>
        <sz val="10"/>
        <color indexed="8"/>
        <rFont val="Calibri"/>
        <family val="2"/>
        <charset val="238"/>
      </rPr>
      <t xml:space="preserve"> wydarzenia o zasięgu międzynarodowym: wykazano udział w targach Fruit Logistica - realizowany w ramach PO 2014-2015 - jednak targi odbyły się w 2016 (sfinansowanie powierzchni miało miejsce w 2015 roku);  VIII Międzynarodowe Targi Turystyki Wiejskiej i Agroturystyki Agrotravel - 2016;  KONGRES MŁODYCH ROLNIKÓW;  Międzynarodowe Targi Owoców i Warzyw Fruit Logistica 2016, Doroczne Forum Europejskiej Sieci Dziedzictwa,  wizyty studyjne do Hiszpanii, Norwegii i Francji. Wydarzenia o zasięgu krajowym: Toruński Festiwal Smaku i Targi Wypoczynek; Targi Produktów Regionalnych i Ekologicznych REGIONALIA; Dzień Ziemi - 2016, Dożynki Prezydenckie w Spale, Targi Smaki Regionów w Poznaniu, XIV Warszawskie Święto Chleba, Dożynki Województwa Mazowieckiego, XVII Mazowieckie Dni Rolnictwa, Szkolenie pn. „Inkubator kuchenny i lokalne formy sprzedaży produktów lokalnych szansą na rozwój przedsiębiorczości wiejskiej”;  „Konie, łosie, kajaki i czosnowskie przysmaki”, wizyta studyjna "Realizacja Programów Aktywności Lokalnej w praktyce" oraz Poznajemy zwyczaje Podhala – wyjazd studyjny dla Kół Gospodyń Wiejskich z Gminy Krasnosielc </t>
    </r>
    <r>
      <rPr>
        <b/>
        <sz val="10"/>
        <color indexed="8"/>
        <rFont val="Calibri"/>
        <family val="2"/>
        <charset val="238"/>
      </rPr>
      <t>2017</t>
    </r>
    <r>
      <rPr>
        <sz val="10"/>
        <color indexed="8"/>
        <rFont val="Calibri"/>
        <family val="2"/>
        <charset val="238"/>
      </rPr>
      <t xml:space="preserve"> wydarzenie o zasięgu miedzynarodowym: VIII Międzynarodowe Targi Turystyki Wiejskiej i Agroturystyki Agrotravel - 2017, wydarzenie o zasięgu krajowym - Dzień Ziemi - 2017 </t>
    </r>
  </si>
  <si>
    <r>
      <rPr>
        <b/>
        <sz val="10"/>
        <color indexed="8"/>
        <rFont val="Calibri"/>
        <family val="2"/>
        <charset val="238"/>
      </rPr>
      <t xml:space="preserve">2016: </t>
    </r>
    <r>
      <rPr>
        <sz val="10"/>
        <color indexed="8"/>
        <rFont val="Calibri"/>
        <family val="2"/>
        <charset val="238"/>
      </rPr>
      <t>Wydarzenia o zasięgu międzynarodowym: VIII Międzynarodowe Targi Turystyki Wiejskiej i Agroturystyki Agrotravel -2016 (20 tys. osób); KONGRES MŁODYCH ROLNIKÓW organizowany przez EUROPEA POLSKA (301 osób); Międzynarodowe Targi Owoców i Warzyw Fruit Logistica 20160 (70 tys. osób), Doroczne Forum Europejskiej Sieci Dziedzictwa (78 osób), wizyty studyjne do Hiszpanii i Norwegii (razem 25 osób) i Francji (20 osób). Wydarzenia o zasięgu krajowym: Toruński Festiwal Smaku i Targi Wypoczynek (5 tys. osób); Targi Produktów Regionalnych i Ekologicznych REGIONALIA  (6,5 tys. osób) ; Dzień Ziemi - 2016 (30 tys. osób), Dożynki Prezydenckie w Spale (40 tys. osób), Targi Smaki Regionów w Poznaniu (20 tys. osób), XIV Warszawskie Święto Chleba (2 tys. osób), Dożynki Województwa Mazowieckiego (20 tys. osób); szkolenie podczas XVII Mazowieckie Dni Rolnictwa (100 osób), Szkolenie pn. „Inkubator kuchenny i lokalne formy sprzedaży produktów lokalnych szansą na rozwój przedsiębiorczości wiejskiej” (32 osoby);  „Konie, łosie, kajaki i czosnowskie przysmaki” (50 osób), wizyta studyjna "Realizacja Programów Aktywności Lokalnej w praktyce" (16 osób) oraz Poznajemy zwyczaje Podhala – wyjazd studyjny dla Kół Gospodyń Wiejskich z Gminy Krasnosielc (50 osób).2017: Wydarzenie o zasięgu międzynarodowym: IX Międzynarodowe Targi Turystyki Wiejskiej i Agroturystyki Agrotravel -2017 (20 tys. osób), wydarzenie o zasięgu krajowym - Dzień Ziemi  2017 (30 tys. osób)</t>
    </r>
  </si>
  <si>
    <t xml:space="preserve">Facebook w 2016 r., prowadzony był w ramach projektu realizowanego w 2016 roku. </t>
  </si>
  <si>
    <r>
      <rPr>
        <b/>
        <sz val="10"/>
        <color theme="1"/>
        <rFont val="Calibri"/>
        <family val="2"/>
        <charset val="238"/>
        <scheme val="minor"/>
      </rPr>
      <t>2016 r</t>
    </r>
    <r>
      <rPr>
        <sz val="10"/>
        <color theme="1"/>
        <rFont val="Calibri"/>
        <family val="2"/>
        <charset val="238"/>
        <scheme val="minor"/>
      </rPr>
      <t xml:space="preserve">: Dwie publikacje realizowały mieszane zakresy tematyczne w zakresie priorytetu II -Zwiększenie rentowności gospodarstw i konkurencyjność i priorytetu V - Promowanie  efektywnego gospodarowania zasobami i wspieranie przechodzenia w sektorach rolnym, spożywczym i leśnym na gospodarkę niskoemisyjną i odporną na zmianę klimatu; newsletter, strony w Kronice Mazowieckiej, 2 dodatki tematyczne w tygodnikach regionalnych realizowały mieszane zakresy tematyczne (nie poruszano jedynie P1).                                                                                </t>
    </r>
    <r>
      <rPr>
        <b/>
        <sz val="10"/>
        <color theme="1"/>
        <rFont val="Calibri"/>
        <family val="2"/>
        <charset val="238"/>
        <scheme val="minor"/>
      </rPr>
      <t>2017 r</t>
    </r>
    <r>
      <rPr>
        <sz val="10"/>
        <color theme="1"/>
        <rFont val="Calibri"/>
        <family val="2"/>
        <charset val="238"/>
        <scheme val="minor"/>
      </rPr>
      <t xml:space="preserve">. strony tematyczne w piśmie samorządu "Z serca Polski" oraz newsletter  realizowały mieszane zakresy tematyczne (nie poruszano jedynie P1).   
</t>
    </r>
  </si>
  <si>
    <r>
      <rPr>
        <b/>
        <sz val="10"/>
        <color indexed="8"/>
        <rFont val="Calibri"/>
        <family val="2"/>
        <charset val="238"/>
      </rPr>
      <t>2016</t>
    </r>
    <r>
      <rPr>
        <sz val="10"/>
        <color indexed="8"/>
        <rFont val="Calibri"/>
        <family val="2"/>
        <charset val="238"/>
      </rPr>
      <t xml:space="preserve">: Liczba innych narzędzi komunikacyjnych dotyczy kampanii Wieści z Mazowsza </t>
    </r>
  </si>
  <si>
    <t>2016 i 2017 Dotyczy Wojewódzkiej Grupy Roboczej. W 2016 r. odbyło się jedno spotkanie stacjonarne i sześć obiegowych.W 2017 r odbyły się trzy spotkania stacjonarne WGR.</t>
  </si>
  <si>
    <t>2016 r.oraz 2017 r. dotyczy udziału członków Wojewódzkiej Grupy Roboczej w spotkaniach stacjonarnych i obiegowych. W 2016 r odbyło się jedno spotkanie stacjonarne (9 osób) oraz 6 obiegowych (56 osób). W 2017 r odbyły się trzy spotkania stacjonarne z czego w pierwszym uczestniczyło 9 osób, w drugim 7, a w trzecim 8 osób</t>
  </si>
  <si>
    <r>
      <rPr>
        <b/>
        <sz val="10"/>
        <color theme="1"/>
        <rFont val="Calibri"/>
        <family val="2"/>
        <charset val="238"/>
        <scheme val="minor"/>
      </rPr>
      <t xml:space="preserve">2016 r: </t>
    </r>
    <r>
      <rPr>
        <sz val="10"/>
        <color theme="1"/>
        <rFont val="Calibri"/>
        <family val="2"/>
        <scheme val="minor"/>
      </rPr>
      <t>Rodzaj działania szkoleniowego inne: X Mazowiecki Kongres Rozwoju Obszarów Wiejskich był połączeniem konferencji z wizytą studyjną. Zakres tematyczny - tematy mieszane doty. XVII Mazowieckich Dni Rolnictwa (P2,P5) 2017: Odbyły się dwa szkolenia z promocji produktu tradycyjnego i regionalnego oraz jedno szkolenie dot. wdrażania inicjatywy Leader</t>
    </r>
  </si>
  <si>
    <r>
      <rPr>
        <b/>
        <sz val="10"/>
        <color indexed="8"/>
        <rFont val="Calibri"/>
        <family val="2"/>
        <charset val="238"/>
      </rPr>
      <t xml:space="preserve">2016 r. </t>
    </r>
    <r>
      <rPr>
        <sz val="10"/>
        <color indexed="8"/>
        <rFont val="Calibri"/>
        <family val="2"/>
        <charset val="238"/>
      </rPr>
      <t xml:space="preserve">Liczba uczestników innych działań szkoleniowych - dotyczy uczestników X Mazowieckiego Kongresu Rozwoju Obszarów Wiejskich (kongres połączony z wizytą studyjną). Inne grupy interesariuszy: rolnicy, uczniowie szkół, pracownicy samorządowi, lokalni przetwórcy żywności, pracownicy spółdzielni socjalnych, przedsiębiorcy , przedstawiciele branży turystycznej, przedstawiciele organizacji pozarządowych, przedstawicielki kół gospodyń wiejskich, mieszkańcy obszarów wiejskich, koła pszczelarskie. </t>
    </r>
    <r>
      <rPr>
        <b/>
        <sz val="10"/>
        <color indexed="8"/>
        <rFont val="Calibri"/>
        <family val="2"/>
        <charset val="238"/>
      </rPr>
      <t>2017 r.</t>
    </r>
    <r>
      <rPr>
        <sz val="10"/>
        <color indexed="8"/>
        <rFont val="Calibri"/>
        <family val="2"/>
        <charset val="238"/>
      </rPr>
      <t xml:space="preserve"> Inne grupy interesariuszy: pracownicy samorządowi, rolnicy, lokalni przetwórcy żywności, przedsiębiorcy</t>
    </r>
  </si>
  <si>
    <t>Koszty funkcjonowania 2015 r. (II półrocze): wynagrodzenia dla pracowników KSOW, koszty szkoleń, sprzętu oraz najmu i eksploatacji pomieszczeń. Koszty funkcjonowania 2016 r.(od 1.01 do 31.12.2016): koszty wynagrodzeń dla pracowników KSOW, koszty szkoleń, sprzętu oraz  najmu i eksploatacji pomieszczeń KSOW. Koszty funkcjonowania 2017 r. (od 1.01 do 30.06.2017):koszty wynagrodzeń dla pracowników KSOW, koszty szkoleń oraz  najmu i eksploatacji pomieszczeń KSOW.</t>
  </si>
  <si>
    <t>Dla 2017 wykazano koszty również dla Planu komunikacyjnego (operacja Dzień Ziemi 2017 - 20.000,00 tys zł oraz organizacja szkolenia dot. wdrażania iniscjatywy Leader - 2.220,00 zł)</t>
  </si>
  <si>
    <t>[Województwo Małopolskie]</t>
  </si>
  <si>
    <r>
      <rPr>
        <b/>
        <u/>
        <sz val="11"/>
        <color theme="1"/>
        <rFont val="Calibri"/>
        <family val="2"/>
        <charset val="238"/>
        <scheme val="minor"/>
      </rPr>
      <t>Rok 2016</t>
    </r>
    <r>
      <rPr>
        <u/>
        <sz val="11"/>
        <color theme="1"/>
        <rFont val="Calibri"/>
        <family val="2"/>
        <charset val="238"/>
        <scheme val="minor"/>
      </rPr>
      <t>:</t>
    </r>
    <r>
      <rPr>
        <sz val="11"/>
        <color theme="1"/>
        <rFont val="Calibri"/>
        <family val="2"/>
        <charset val="238"/>
        <scheme val="minor"/>
      </rPr>
      <t xml:space="preserve"> W</t>
    </r>
    <r>
      <rPr>
        <b/>
        <sz val="11"/>
        <color theme="1"/>
        <rFont val="Calibri"/>
        <family val="2"/>
        <charset val="238"/>
        <scheme val="minor"/>
      </rPr>
      <t>ydarzenia lokalne/regionalne:</t>
    </r>
    <r>
      <rPr>
        <sz val="11"/>
        <color theme="1"/>
        <rFont val="Calibri"/>
        <family val="2"/>
        <charset val="238"/>
        <scheme val="minor"/>
      </rPr>
      <t xml:space="preserve"> Uroczyste wręczenie umów LGD na realizację LSR: Kraków,Tarnów, Nowy Sącz, Szkolenia, spotkania, warsztaty dla potencjalnych beneficjentów PROW 2014-2020, Spotkanie - Forum Wojtów, Burmistrzów i Prezydentów Malopolski, </t>
    </r>
    <r>
      <rPr>
        <b/>
        <sz val="11"/>
        <color theme="1"/>
        <rFont val="Calibri"/>
        <family val="2"/>
        <charset val="238"/>
        <scheme val="minor"/>
      </rPr>
      <t xml:space="preserve">Wydarzenia międzynarodowe: </t>
    </r>
    <r>
      <rPr>
        <sz val="11"/>
        <color theme="1"/>
        <rFont val="Calibri"/>
        <family val="2"/>
        <charset val="238"/>
        <scheme val="minor"/>
      </rPr>
      <t xml:space="preserve">Udział w Międzynarodowych Targach Rolno-Spożywczych Grune Woche, </t>
    </r>
    <r>
      <rPr>
        <b/>
        <sz val="11"/>
        <color theme="1"/>
        <rFont val="Calibri"/>
        <family val="2"/>
        <charset val="238"/>
        <scheme val="minor"/>
      </rPr>
      <t xml:space="preserve">Wydarzenia krajowe: </t>
    </r>
    <r>
      <rPr>
        <sz val="11"/>
        <color theme="1"/>
        <rFont val="Calibri"/>
        <family val="2"/>
        <charset val="238"/>
        <scheme val="minor"/>
      </rPr>
      <t xml:space="preserve">Udział w targach Agrotravel w Kielcach, udział w targach Produktów Regionalnych Regionalia w Warszawie, udział w targach Smaki Regionów w Poznaniu. </t>
    </r>
    <r>
      <rPr>
        <b/>
        <u/>
        <sz val="11"/>
        <color theme="1"/>
        <rFont val="Calibri"/>
        <family val="2"/>
        <charset val="238"/>
        <scheme val="minor"/>
      </rPr>
      <t xml:space="preserve">Rok 2017: </t>
    </r>
    <r>
      <rPr>
        <sz val="11"/>
        <color theme="1"/>
        <rFont val="Calibri"/>
        <family val="2"/>
        <charset val="238"/>
        <scheme val="minor"/>
      </rPr>
      <t>Udział w Międzynarodowych Targach Rolno-Spożywczych Grune Woche.</t>
    </r>
  </si>
  <si>
    <r>
      <rPr>
        <b/>
        <u/>
        <sz val="11"/>
        <color theme="1"/>
        <rFont val="Calibri"/>
        <family val="2"/>
        <charset val="238"/>
        <scheme val="minor"/>
      </rPr>
      <t>Rok 2016</t>
    </r>
    <r>
      <rPr>
        <b/>
        <sz val="11"/>
        <color theme="1"/>
        <rFont val="Calibri"/>
        <family val="2"/>
        <charset val="238"/>
        <scheme val="minor"/>
      </rPr>
      <t xml:space="preserve">: Wydarzenia międzynarodowe: </t>
    </r>
    <r>
      <rPr>
        <sz val="11"/>
        <color theme="1"/>
        <rFont val="Calibri"/>
        <family val="2"/>
        <charset val="238"/>
        <scheme val="minor"/>
      </rPr>
      <t xml:space="preserve">Udział w Targach Grune Woche w Berlinie: około 400 000,00 - odwiedzających, </t>
    </r>
    <r>
      <rPr>
        <b/>
        <sz val="11"/>
        <color theme="1"/>
        <rFont val="Calibri"/>
        <family val="2"/>
        <charset val="238"/>
        <scheme val="minor"/>
      </rPr>
      <t>Wydarzenia krajowe</t>
    </r>
    <r>
      <rPr>
        <sz val="11"/>
        <color theme="1"/>
        <rFont val="Calibri"/>
        <family val="2"/>
        <charset val="238"/>
        <scheme val="minor"/>
      </rPr>
      <t xml:space="preserve">: Agrotravel w Kielcach: około 20 000,00 - odwiedzających, Regionalia w Warszawie: około 12 000,00 - odwiedzających, , Promocja Województwa Małopolskiego na targach Smaki Regionów w Poznaniu około 500 000 odwiedzających, </t>
    </r>
    <r>
      <rPr>
        <b/>
        <sz val="11"/>
        <color theme="1"/>
        <rFont val="Calibri"/>
        <family val="2"/>
        <charset val="238"/>
        <scheme val="minor"/>
      </rPr>
      <t>Wydarzenia lokalne/regionalne</t>
    </r>
    <r>
      <rPr>
        <sz val="11"/>
        <color theme="1"/>
        <rFont val="Calibri"/>
        <family val="2"/>
        <charset val="238"/>
        <scheme val="minor"/>
      </rPr>
      <t xml:space="preserve">: Zorganizowanie konferencji dla LGD: 72 - uczestników, Uroczyste wręczenie umów LGD na realizację LSR: 71 - uczestników , Szkolenia dla LGD 6 szkoleń -z list obecności, Szkolenia dla potencjalnych beneficjentów PROW, Forum Wójtów,Burmistrzów i Prezydentów Małopolski, Uroczyste rozdanie umów podpisanych na działanie "Budowa lub modernizacja dróg lokalnych", Udział w targach Regionalia w Warszawie - liczba odwiedzających targi około 200 000 odwiedzających, Rozwój i promocja szlaku kulinarnego "Małopolska Trasa dla Smakoszy", Doskonalenie zawodowe kadr turystyki wiejskiej w Małopolsce- cykl 4 szkoleń -154 uczestników zgodnie z listami obecności, Wyjazdy studyjne dotyczące promocji produków regionalnych i tradycyjnych - 54 uczestników,  cykl szkoleń dotyczących sprzedaży bezpośredniej -367 osób. </t>
    </r>
    <r>
      <rPr>
        <b/>
        <u/>
        <sz val="11"/>
        <color theme="1"/>
        <rFont val="Calibri"/>
        <family val="2"/>
        <charset val="238"/>
        <scheme val="minor"/>
      </rPr>
      <t>Rok 2017:</t>
    </r>
    <r>
      <rPr>
        <sz val="11"/>
        <color theme="1"/>
        <rFont val="Calibri"/>
        <family val="2"/>
        <charset val="238"/>
        <scheme val="minor"/>
      </rPr>
      <t xml:space="preserve"> </t>
    </r>
    <r>
      <rPr>
        <b/>
        <sz val="11"/>
        <color theme="1"/>
        <rFont val="Calibri"/>
        <family val="2"/>
        <charset val="238"/>
        <scheme val="minor"/>
      </rPr>
      <t xml:space="preserve">Wydarzenia międzynarodowe: </t>
    </r>
    <r>
      <rPr>
        <sz val="11"/>
        <color theme="1"/>
        <rFont val="Calibri"/>
        <family val="2"/>
        <charset val="238"/>
        <scheme val="minor"/>
      </rPr>
      <t xml:space="preserve">Udział w Targach Grune Woche w Berlinie: około 400 000,00 - odwiedzających. </t>
    </r>
    <r>
      <rPr>
        <b/>
        <sz val="11"/>
        <color theme="1"/>
        <rFont val="Calibri"/>
        <family val="2"/>
        <charset val="238"/>
        <scheme val="minor"/>
      </rPr>
      <t/>
    </r>
  </si>
  <si>
    <r>
      <rPr>
        <sz val="11"/>
        <color theme="1"/>
        <rFont val="Calibri"/>
        <family val="2"/>
        <charset val="238"/>
        <scheme val="minor"/>
      </rPr>
      <t xml:space="preserve"> </t>
    </r>
    <r>
      <rPr>
        <b/>
        <sz val="11"/>
        <color theme="1"/>
        <rFont val="Calibri"/>
        <family val="2"/>
        <charset val="238"/>
        <scheme val="minor"/>
      </rPr>
      <t>2016 r.:</t>
    </r>
    <r>
      <rPr>
        <sz val="11"/>
        <color theme="1"/>
        <rFont val="Calibri"/>
        <family val="2"/>
        <charset val="238"/>
        <scheme val="minor"/>
      </rPr>
      <t xml:space="preserve"> , Wkładka Dożynkowa, Publikacja realizowana w ramach partnerskiego projektu "Wieś dla Smakoszy",</t>
    </r>
  </si>
  <si>
    <r>
      <rPr>
        <b/>
        <sz val="11"/>
        <color theme="1"/>
        <rFont val="Calibri"/>
        <family val="2"/>
        <charset val="238"/>
        <scheme val="minor"/>
      </rPr>
      <t>2016 r.:</t>
    </r>
    <r>
      <rPr>
        <sz val="11"/>
        <color theme="1"/>
        <rFont val="Calibri"/>
        <family val="2"/>
        <charset val="238"/>
        <scheme val="minor"/>
      </rPr>
      <t xml:space="preserve"> Cykl reportaży promujących PROW 2014-2020, Przygotowanie i emisja 4 audycji TV promujących ideę Sieci Dziedzictwa Kulinarnego Małopolska,  audycje promujące szlak "Wieś dla Smakoszy"</t>
    </r>
  </si>
  <si>
    <r>
      <rPr>
        <b/>
        <sz val="11"/>
        <color theme="1"/>
        <rFont val="Calibri"/>
        <family val="2"/>
        <charset val="238"/>
        <scheme val="minor"/>
      </rPr>
      <t>2016 r.</t>
    </r>
    <r>
      <rPr>
        <sz val="11"/>
        <color theme="1"/>
        <rFont val="Calibri"/>
        <family val="2"/>
        <charset val="238"/>
        <scheme val="minor"/>
      </rPr>
      <t xml:space="preserve"> Małopolska Grupa Robocza ds. KSOW, Grupa opiniowała dokumenty obiegowo, 6 - obiegów dokumentów oraz jedno posiedzenie w siedzibie Urzędu Marszałkowskiego Województwa Małopolskiego.</t>
    </r>
    <r>
      <rPr>
        <b/>
        <sz val="11"/>
        <color theme="1"/>
        <rFont val="Calibri"/>
        <family val="2"/>
        <charset val="238"/>
        <scheme val="minor"/>
      </rPr>
      <t xml:space="preserve"> 2017 r.</t>
    </r>
    <r>
      <rPr>
        <sz val="11"/>
        <color theme="1"/>
        <rFont val="Calibri"/>
        <family val="2"/>
        <charset val="238"/>
        <scheme val="minor"/>
      </rPr>
      <t>: jedno posiedzenie Małopolskiej Grupy Roboczej oraz opiniowanie dokumentów w trybie obiegowym (3). Jedno posiedzenie GR przy Konwencie Marszałków.</t>
    </r>
  </si>
  <si>
    <r>
      <rPr>
        <sz val="11"/>
        <color theme="1"/>
        <rFont val="Calibri"/>
        <family val="2"/>
        <charset val="238"/>
        <scheme val="minor"/>
      </rPr>
      <t xml:space="preserve"> </t>
    </r>
    <r>
      <rPr>
        <b/>
        <sz val="11"/>
        <color theme="1"/>
        <rFont val="Calibri"/>
        <family val="2"/>
        <charset val="238"/>
        <scheme val="minor"/>
      </rPr>
      <t>2016 r.:</t>
    </r>
    <r>
      <rPr>
        <sz val="11"/>
        <color theme="1"/>
        <rFont val="Calibri"/>
        <family val="2"/>
        <charset val="238"/>
        <scheme val="minor"/>
      </rPr>
      <t xml:space="preserve"> Liczba członków Małopolskiej Grupy Roboczej ds. KSOW, w obiegowym opiniowaniu dokumentów brało udział 72 członków 
(6 obiegów i 1 posiedzenie). </t>
    </r>
    <r>
      <rPr>
        <b/>
        <sz val="11"/>
        <color theme="1"/>
        <rFont val="Calibri"/>
        <family val="2"/>
        <charset val="238"/>
        <scheme val="minor"/>
      </rPr>
      <t>2017 r.:</t>
    </r>
    <r>
      <rPr>
        <sz val="11"/>
        <color theme="1"/>
        <rFont val="Calibri"/>
        <family val="2"/>
        <charset val="238"/>
        <scheme val="minor"/>
      </rPr>
      <t xml:space="preserve"> W posiedzeniu i trzech obiegach brało łącznie udział 49 osób, w posiedzeniu GR przy Konwencie Marszałków: 73 osoby</t>
    </r>
  </si>
  <si>
    <t>uzupełnić liczbę z ostatniego posiedzenia</t>
  </si>
  <si>
    <r>
      <rPr>
        <b/>
        <sz val="8"/>
        <color theme="1"/>
        <rFont val="Calibri"/>
        <family val="2"/>
        <charset val="238"/>
        <scheme val="minor"/>
      </rPr>
      <t xml:space="preserve"> 2016 r.</t>
    </r>
    <r>
      <rPr>
        <sz val="8"/>
        <color theme="1"/>
        <rFont val="Calibri"/>
        <family val="2"/>
        <scheme val="minor"/>
      </rPr>
      <t xml:space="preserve">: Szkolenia dla potencjalnych beneficjentów działania "Podstawowe usługi i odnowa miejscowości na obszarach wiejskich" PROW na lata 2014-2020 w zakresie budowy lub modernizacji dróg lokalnych,  Szkolenia dla potencjalnych beneficjentów poddziałania „Wsparcie na inwestycje związane z rozwojem, modernizacją i dostosowaniem rolnictwa i leśnictwa” PROW na lata 2014-2020, Szkolenie dla osób chcących prowadzić punkty „Wieś dla smakoszy” oraz osób współpracujących,szkolenia dotyczące sprzedaży bezpośredniej, szkolenia dotyczące doskonalenia kadry turystyki wiejskiej, wyjazdy studyjne dotyczące produktów regionalnych i tradycyjnych, szkolenia dla LGD. </t>
    </r>
    <r>
      <rPr>
        <b/>
        <sz val="8"/>
        <color theme="1"/>
        <rFont val="Calibri"/>
        <family val="2"/>
        <charset val="238"/>
        <scheme val="minor"/>
      </rPr>
      <t>2017 r:</t>
    </r>
    <r>
      <rPr>
        <sz val="8"/>
        <color theme="1"/>
        <rFont val="Calibri"/>
        <family val="2"/>
        <scheme val="minor"/>
      </rPr>
      <t xml:space="preserve"> 6 szkoleń dla potencjalnych beneficjentów PROW 2014-2020, partnerów KSOW, 4 szkolenia dla LGD.</t>
    </r>
  </si>
  <si>
    <r>
      <rPr>
        <b/>
        <sz val="11"/>
        <color theme="1"/>
        <rFont val="Calibri"/>
        <family val="2"/>
        <charset val="238"/>
        <scheme val="minor"/>
      </rPr>
      <t xml:space="preserve">2016 r.: </t>
    </r>
    <r>
      <rPr>
        <sz val="11"/>
        <color theme="1"/>
        <rFont val="Calibri"/>
        <family val="2"/>
        <charset val="238"/>
        <scheme val="minor"/>
      </rPr>
      <t xml:space="preserve">Przedstawiciele Urzędów Gmin i Powiatów, Osoby chcące prowadzić punkty „Wieś dla smakoszy”, rolnicy, właściciele gospodarstw agoturystycznych i ekologicznych, producenci. Lokalne Grupy Działania, potencjalni beneficjenci PROW 2014-2020, </t>
    </r>
    <r>
      <rPr>
        <b/>
        <sz val="11"/>
        <color theme="1"/>
        <rFont val="Calibri"/>
        <family val="2"/>
        <charset val="238"/>
        <scheme val="minor"/>
      </rPr>
      <t xml:space="preserve">2017 </t>
    </r>
    <r>
      <rPr>
        <sz val="11"/>
        <color theme="1"/>
        <rFont val="Calibri"/>
        <family val="2"/>
        <charset val="238"/>
        <scheme val="minor"/>
      </rPr>
      <t>r: potencjalni beneficjenci PROW 2014-2020, przedstawiciele gmin, LGD</t>
    </r>
  </si>
  <si>
    <t>1. Koszty funkcjonowania: wynagrodzenia, delegacje, szkolenia pracowników, czynsz, koszty sprzątania, abonament telefoniczny.                                                           2. W pozycji dotyczącej działań 3,4,5,6,7 ujęta jest kwota 8237,50 za zrealizowane dotychczas szkolenia z Planu Komunikacyjnego</t>
  </si>
  <si>
    <t xml:space="preserve"> Samorząd Województwa Łódzkiego </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</si>
  <si>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budżet dla poszczególnych kategorii i wskaż trudności w komentarzu.</t>
    </r>
    <r>
      <rPr>
        <sz val="12"/>
        <color indexed="8"/>
        <rFont val="Calibri"/>
        <family val="2"/>
      </rPr>
      <t xml:space="preserve">
</t>
    </r>
    <r>
      <rPr>
        <b/>
        <u/>
        <sz val="12"/>
        <color indexed="8"/>
        <rFont val="Calibri"/>
        <family val="2"/>
        <charset val="238"/>
      </rPr>
      <t/>
    </r>
  </si>
  <si>
    <t xml:space="preserve">Udział w Międzynarodowych Targach Turystyki Wiejskiej i Agroturystyki Agrotravel podczas którego województwo łódzkie i mazowieckie wspólnie zrealizowały projekt pn. "Pociąg do natury", który wygrał Międzynarodowe Targi Turystyki Wiejskiej i Agroturystyki Agrotravel. Podczas targów w przedmiotowym wydarzeniu brały udział również inne jednostki regionalne KSOW. Szacuje się udział 20 000 odwiedzających stoisko województwa łódzkiego  oraz udział 40 osób tj. wystawców.  Zakres tematyczny inne lub mieszane dotyczy udziału samorządu województwa łódzkiego  w wydarzeniach organizowanych przez jednostki samorządu terytorialnego, powiatowego, koła gospodyń wiejskich, sieć LGD, beneficjentów PROW 2014-2020 , gdzie w  ramach  seminariów  informacyjnych przekazywano wiedzę dotyczącą możliwości wykorzystania środków w ramach PROW 2014-2020  m in. Mixer Regionalny finansowany ze środków województwa łódzkiego.                                                                                                                                                    W 2017 r. województwo łódzkie było regionem partnerskim podczas organizacji IX Międzynarodowych Targów Turystyki Wiejskiej i Agroturystyki Agrotravel. Szacuje się, że stoisko odwiedziło 23 000 osób zwiedzających targi, a podczas całego wydarzenia brało udział 120 osób podwystawców reprezentujących nasze region (21 podwystawców  i 4 zespoły).  </t>
  </si>
  <si>
    <t xml:space="preserve">Udział w Międzynarodowych Targach Turystyki Wiejskiej i Agroturystyki. Szacuje się udział 20 000 odwiedzających stoisko województwa łódzkiego  oraz udział 40 osób tj. wystawców.  W 2017 r. podczas udziału w IX Międzynarodowych Targach Turystyki Wiejskiej i Agroturystyki oszacowano, że stoisko województwa łódzkiego odwiedziło 23 000 osób zwiedzających targi, a podczas całego wydarzenia brało udział 120 osób podwystawców reprezentujących nasz region  (21podwystawców  i 4 zespoły).  </t>
  </si>
  <si>
    <t xml:space="preserve">W ramach Planu operacyjnego zrealizowano : broszurę w ramach konkursu Bezpieczne Gospodarstwo Rolne, projekt graficzny publikacji "Pociąg do natury",  Trzy numery kwartalnika Wprowadzamy Zmiany", Opublikowano 7 ogłoszenia dotyczące pozyskania środków w ramach PROW 2014-2020 . Tematy mieszane w związku z powyższym 10 z publikacji tj. ogłoszenia i kwartalnik zakwalifikowano do zakresu tematycznego inne lub mieszane. </t>
  </si>
  <si>
    <t xml:space="preserve">W ramach konkursu Bezpieczne gospodarstwo rolne wykonano program telewizyjny promujący fundusze unijne. Łącznie w 7 konkursach wzięło udział  1309 przedstawicieli, a ich liczba nie została dodana do tabeli 1.2  i nie  dodano ich do liczby wydarzeń , celem uniknięcia  podwójnego liczenia kosztów .  W ramach Planu komunikacyjnego  wykonano zgodnie z projektami graficznymi następujące nośniki informacji tj. 4  rollupy i ściankę informacyjną oraz zakupiono materiały promocyjne w postaci  produktów regionalnych. W 2015 r . zakupiono  trzy rodzaje miodów, a  w 2016 r. syrop malinowy, sok jabłkowy, sok pomidorowy, konfitura agrestowa, kwas chlebowy  oraz  zestawy tych produktów w koszach. </t>
  </si>
  <si>
    <t xml:space="preserve">Wojewódzka Grupa Robocza ds. KSOW w ramach PROW 2014-2020 została powołana w lipcu 2015 r , a jej zakres prac dotyczy całego obszaru KSOW. </t>
  </si>
  <si>
    <t xml:space="preserve">Wojewódzka Grupa Robocza zajmuje się tematyką dotyczącą całego KSOW w ramach PROW 2014-2020 , a tym samym poruszane są problemy dotyczące obszarów wiejskich we wszystkich aspektach. </t>
  </si>
  <si>
    <t>Liczba artykułów /informacji do publikacji ENRD/ EIP</t>
  </si>
  <si>
    <t xml:space="preserve">Organizacja przez samorząd województwa łódzkiego trzech szkolenia dotyczące: budowy i modernizacji dróg lokalnych,  szkolenie poświęcone dostosowaniu procedur przeprowadzenia naboru i wyboru operacji do nowych wytycznych Ministra Rolnictwa i Rozwoju Wsi i rozporządzenia RLKS, szkolenie dotyczące kwalifikowalności kosztów oraz wypełniania wniosków o przyznanie pomocy na operacje z zakresu gospodarki wodno-kanalizacyjnej. Na szkoleniach omówione zostały zasady wypełniania wniosku o przyznanie pomocy, realizacji projektów, informacje dotyczące poprawnie przeprowadzonego postępowania o udzielenie zamówienia publicznego oraz wytyczne wynikające ze stanowiska Ministerstwa Rolnictwa i Rozwoju Wsi, Podczas szkolenia przekazywano informację nt. możliwości wykorzystania innych środków w ramach działań PROW 20014-2020.  Wzięło w nim udział 514 przedstawicieli gmin, powiatów i lokalnych grup działania z terenu województwa łódzkiego.  </t>
  </si>
  <si>
    <t>Uczestnicy szkoleń to: potencjalni beneficjenci działań PROW 2014-2020, przedsiębiorcy, młodzi rolnicy , przedstawiciele jednostek samorządu terytorialnego, dzieci i młodzież z obszarów wiejskich województwa łódzkiego, koła gospodyń wiejskich, pszczelarze.</t>
  </si>
  <si>
    <t xml:space="preserve">Koszty wynagrodzeń, najem i utrzymanie powierzchni biurowych, usługi telekomunikacyjne i pocztowe, koszty delegacji . W ramach kosztów funkcjonowania 6 lutego  2017 r.  zorganizowano spotkanie robocze  dla 50 osób nt. konkursu nr 1 dla partnerów KSOW. Liczba ta nie została uzwględniona we wskaźnikach tabeli 6  </t>
  </si>
  <si>
    <t xml:space="preserve">2016 rok - Inne: dotyczy wykonania materiałów informacyjno - promocyjnych (2 zadania)  oraz wykonania kalendarzy na 2017 rok, zasięg zadania - lokalny/regionalny - jako promocja programu i KSOW na terenie Województwa Lubuskiego.                                                                                                                                                                                                                                                              Zadanie krajowe: Wyjazd  studyjno szkoleniowy do Skierniewic, dla sadowników i doradców rolnych - organizator SR KSOW woj. lubuskie, jednostak sieci - Lubuski Ośrodek Doradztwa Rolniczego w Kalsku oraz wyjazd studyjny do Województwa Małopolskiego  organizator SR KSOW woj. lubuskie, jednostak sieci - przedstawiciele lokalnych grup działania                                                                                                                                                               Zadanie międzynarodowe - dotyczy organizacji i udziału w Międzynarodowych Targach Grune Woche 2016                                                                                                  2017 rok - zasięg międzynarodowy - dotyczy organizacji i udziału w Międzynarodowych Targach Grune Woche 2017                                                                                                                                                   </t>
  </si>
  <si>
    <t>2016 rok -Zadanie: Wyjazd  studyjno szkoleniowy do Skierniewic, dla sadoników i doardców rolnych - organizator SR KSOW woj. lubuskie, jednostak sieci - Lubuski Ośrodek Doradztwa Rolniczego w Kalsku - wskaźnik/ilość uczestników - 25  oraz wyjazd studyjny do Województwa Małopolskiego  organizator SR KSOW woj. lubuskie, jednostak sieci - przedstawiciele lokalnych grup działania    - wskaźnik/ilość uczestników 15                                                                                                                                                                                                 Liczba uczestników wydarzenia międzynarodowego - szacowane ok. 400 000 osób, które odwiedziło Targi Grune Woche 2016. Liczbę szacunkową otrzymano ze strony internetowej: www.targiberlinskie.pl. oraz  wskaźnik/ilość uczestników - 11 wyjazd studyjny do Republiki Czeskiej                             2017 rok - zadanie Targi Grune Woche 2017. Liczbę szacunkową otrzymano ze strony internetowej: www.targiberlinskie.pl.</t>
  </si>
  <si>
    <t xml:space="preserve">Wojewódzka Grupa Robocza - realizacja priorytetów KSOW. </t>
  </si>
  <si>
    <t>Inne: 1) wyjazd studyjno szkoleniowy do Skierniewic, dla sadoników i doradców rolnych - 25 osób, 2) Wyjazd studyjny  szkoleniowy do Iłowy, dla społeczności wiejskiej - 69, inne 2017 - zadanie pn. Dni Otwartych Farm - 65 uczestników, sa to spotkania w gospodarstwach wiejskich popularyzujące życie na wsi, są połączone z warsztatami dla rodzin, warsztaty o charakterze np. nauki serowarstwa, pozyskiwania miodu z pasieki itp. odbyły się 2 spotkania</t>
  </si>
  <si>
    <t>Koszty funkcjonowania dotyczą: wynagrodzenia pracowników JR KSOW, koszty najmu pomieszczeń biurowych wraz z energią elektryczną, kosztem telefonów i ogrzewaniem pracowników JR KSOW</t>
  </si>
  <si>
    <t>Plan Komunikacyjny - kwota zrealizowanych  zadań 2017 rok - 5845 zł</t>
  </si>
  <si>
    <t>JR KSOW Województwa Lubuskiego</t>
  </si>
  <si>
    <t>Województwo Kujawsko-Pomorskie</t>
  </si>
  <si>
    <r>
      <t xml:space="preserve">Promocja osiągnięć w sferze rolnictwa i rozwoju obszarów wiejskich (promocja dobrych praktyk) ,  szkolenie i konsultacje z działania "Budowa lub modernizacja dróg lokalnych", stoisko informacyjno-promocyjne PROW 2014-2020 podczas "Kujawsko-Pomorskiego Festiwalu Gęsiny", organizacja stoiska informacyjno-promocyjnego PROW 2014-2020 podczas "Święta gęsi na Krajnie",  stoisko informacyjno-promocyjne PROW 2014-2020 podczas Dożynek Wojewódzkich, stoisko informacyjno-promocyjne PROW 2014-2020 podczas Festiwalu Smaku w Grucznie,przygotowanie panelu tematycznego pn. „Przyszłość wsi i rolnictwa w Polsce (2016-2017). Rola Programu Rozwoju Obszarów Wiejskich 2014-2020.” podczas VIII Otwartego Forum Rolników Pomorza i Kujaw; stoisko informacyjno-promocyjne PROW 2014-2020 podczas spotkania dozynkowego Rolników Pomorza i Kujaw, stoisko informacyjno-promocyjne PROW 2014-2020 podczas Turnieju Rycerskiego w Golubiu -Dobrzyniu, uroczystość podpisania i wręczenia umów dla beneficjentów PROW 2014-2020,; organizacja stoiska informacyjno promocyjnego PROW 2014-2020 podczas VII Ogólnopolskiej Konferencji Naukowej z cyklu " Procesy transformacji obszarów wiejskich" pn. "Innowacje w Rozwoju Obszarów Wiejskich"; 
</t>
    </r>
    <r>
      <rPr>
        <b/>
        <sz val="8"/>
        <color theme="1"/>
        <rFont val="Calibri"/>
        <family val="2"/>
        <scheme val="minor"/>
      </rPr>
      <t>2015 rok</t>
    </r>
    <r>
      <rPr>
        <sz val="8"/>
        <color theme="1"/>
        <rFont val="Calibri"/>
        <family val="2"/>
        <scheme val="minor"/>
      </rPr>
      <t xml:space="preserve">
międzynarodowe: V Międzynarodowe Sympozjum Naukowe dla Doktorantów i Studentów Uczelni Rolniczych  pn. „Innowacyjne badania w rolnictwie i na rzecz rozwoju obszarów wiejskich”  w Bydgoszczy ,  Europejski Kongres Menadżerów Agrobiznesu; Międzynarodowe Twrgi Polagra Food'2015 w Poznaniu 
 krajowe:   VIII Otwarte Forum Rolników Pomorza i Kujaw; Forum Turystyki Wiejskiej
</t>
    </r>
    <r>
      <rPr>
        <b/>
        <sz val="8"/>
        <color theme="1"/>
        <rFont val="Calibri"/>
        <family val="2"/>
        <scheme val="minor"/>
      </rPr>
      <t>2016 rok</t>
    </r>
    <r>
      <rPr>
        <sz val="8"/>
        <color theme="1"/>
        <rFont val="Calibri"/>
        <family val="2"/>
        <scheme val="minor"/>
      </rPr>
      <t xml:space="preserve">
międzynarodowe: VI Międzynarodowe Sympozjum Naukowe dla Doktorantów i Studentów Uczelni Rolniczych  pn. „Innowacyjne badania w rolnictwie i na rzecz rozwoju obszarów wiejskich”  w Bydgoszczy Międzynarodowe Twrgi Polagra Food'2016 w Poznaniu; Grune Woche'2016 w Berlinie; Euiropejska Sieć Dziedzictwa Kulinarnego Region Kujawy i Pomorze; udział w MIędzynarodowym Forum ESDK
krajowe: Forum Rolników Pomorza I Kujaw, Konferencja UTP pn. „Innowacyjne rozwiązania w produkcji rolnej i przetwórstwie rolno-spożywczym impulsem rozwoju rolnictwa Pomorza i Kujaw” ; "Kujawsko-Pomorska Gęsina na Św. Marcina" Wizyta studyjna "Produkt sieciowy i specjalizacja oferty w turystyce wiejskiej – dobre praktyki” Woj. Dolnośląskie; Wyższa Szkoła Gospodarki w Bydgoszczy  konferencja  pn. " Naukowe Obserwatorium Obszarów Wiejskich" 
</t>
    </r>
    <r>
      <rPr>
        <b/>
        <sz val="8"/>
        <color theme="1"/>
        <rFont val="Calibri"/>
        <family val="2"/>
        <scheme val="minor"/>
      </rPr>
      <t xml:space="preserve">2017 r.
</t>
    </r>
    <r>
      <rPr>
        <sz val="8"/>
        <color theme="1"/>
        <rFont val="Calibri"/>
        <family val="2"/>
        <scheme val="minor"/>
      </rPr>
      <t>międzynarodowe: Wizyta studyjna na targi BioFach'2017 w Norymberdze, wizyat studyjna dla aczłonków ESDK do Chorwacji Region Split
krajowe: Forum Pszczelarzy
inne: imprezy lokalne organizowane w ramamch Konkursu "Wieś na weekend'2017" promujące projekty finansowane z PROW 2014-2020</t>
    </r>
  </si>
  <si>
    <t xml:space="preserve">W zestawieniu ujęto następujące adresy stron:
1. www.kujawsko-pomorskie.ksow.pl 
2. www.agroturystyka.kpodr.pl
3. www.mojregion.eu/prow
</t>
  </si>
  <si>
    <t>,</t>
  </si>
  <si>
    <t>Promocja rejonu atrakcyjnego turystycznie ze szczególnym uwzględnieniem twórzości lokalnych rzemieślników i wytwórców tradycyjnej żywności zamieszkujących tereny wiejskie</t>
  </si>
  <si>
    <t>Inne lub mieszane (proszę doprecyzuj w komentarzach)*</t>
  </si>
  <si>
    <t>*popularyzacja osiągnięć w sferze rolnictwa i rozwoju obszarów wiejskich oraz  promocja osób zasłużonych dla tego rzwoju</t>
  </si>
  <si>
    <t>grupa robocza ds.  KSOW, podejmująca uchwały ws. plaów i sprawozdań</t>
  </si>
  <si>
    <t>Zakres tematyczny spotkań-szkolenia: z  zasad udzielania zamówień publicznych  w projektach unijnych realizowanych z PROW 2014-2020",    z działania „Budowa lub modernizacja dróg lokalnych”, z zakresu danych osobowych;  z zakresu funduszy europejskich 2014-2020</t>
  </si>
  <si>
    <t>Rodzaj działania - konferencja podsumowkująca projekt</t>
  </si>
  <si>
    <t xml:space="preserve"> przedstawiciele władz samorządowych z regionu, mieszkańcy terenów wiejskich, potencjalni beneficjenci PROW 2014-2020, przedstawiciele uczelni wyższych, </t>
  </si>
  <si>
    <t>Koszty utrzymania:
- płace;
- delegacje;
- media;
- telefony;
- zakup i konserwacja sprzętu;
- poczta.</t>
  </si>
  <si>
    <t>Na Plan Komunikacyjny w Woj.. Kujawsko-Pomorskim zaplanowano w 2017 r. 170 tys. zł, z tego wydatkowano 7.734,67 zł</t>
  </si>
  <si>
    <r>
      <t>Komentarze</t>
    </r>
    <r>
      <rPr>
        <sz val="10"/>
        <rFont val="Calibri"/>
        <family val="2"/>
      </rPr>
      <t xml:space="preserve"> 
(proszę wskazać co jest rozumiane przez kategorię "inne")</t>
    </r>
  </si>
  <si>
    <r>
      <rPr>
        <b/>
        <sz val="10"/>
        <rFont val="Calibri"/>
        <family val="2"/>
      </rPr>
      <t xml:space="preserve"> Zasięg krajowy: 2016 rok</t>
    </r>
    <r>
      <rPr>
        <sz val="10"/>
        <rFont val="Calibri"/>
        <family val="2"/>
      </rPr>
      <t>:  P1 - Olimpiada Wiedzy i Umiejętności Rolniczych; P3 - Święto Mleka w Kamiennej Górze; Dolnośląski Dzień Pszczelarza; Dary Jesieni - Dolnośląskie Święto Owoców i Warzyw; P6-  obchody 150-lecia Kół Gospodyń Wiejskich;  Prezentacja Tradycyjnych Stołów Wigilijnych; INNE lub MIESZANE , wpisujące się w więcej niż jeden priorytet: prezentacje wojewódzkie Tradycyjnych Stołów Wielkanocnych, Palm i Pisanek; Wystawa Zwierząt Hodowlanych w Piotrowicach; prezentacja Dolnośląska Wieś Zaprasza; Święto wina i sera; Targi Naturalnej Żywności Natura Food; Targi Smaki Regionów; Forum muzeów domowych; konferencja "Agrotechniczne aspekty uprawy winorośli i jakości wina w Polsce" Winnica-Technologia-Enologia-Zdrowie; Konferencja naukowa pt. "Procesy koncentracji ziemi i kapitału a zrównoważony rozwój obszarów wiejskich na Dolnym Śląsku";</t>
    </r>
    <r>
      <rPr>
        <b/>
        <sz val="10"/>
        <rFont val="Calibri"/>
        <family val="2"/>
      </rPr>
      <t xml:space="preserve"> Zasięg międzynarodowy:</t>
    </r>
    <r>
      <rPr>
        <sz val="10"/>
        <rFont val="Calibri"/>
        <family val="2"/>
      </rPr>
      <t xml:space="preserve">  2016 rok: targi Agrotravel w Kielcach, targi Grune Woche w Berlinie (wydarzenia inne lub mieszane, wpisujące się w więcej niz jeden priorytet).</t>
    </r>
    <r>
      <rPr>
        <b/>
        <sz val="10"/>
        <rFont val="Calibri"/>
        <family val="2"/>
      </rPr>
      <t xml:space="preserve"> Zasięg krajowy 2017</t>
    </r>
    <r>
      <rPr>
        <sz val="10"/>
        <rFont val="Calibri"/>
        <family val="2"/>
      </rPr>
      <t xml:space="preserve">: Prezentacje Tradycyjnych Stołów Wielkanocnych, Palm i Pisanek we Wrocławiu; </t>
    </r>
    <r>
      <rPr>
        <b/>
        <sz val="10"/>
        <rFont val="Calibri"/>
        <family val="2"/>
      </rPr>
      <t>Zasięg międzynarodowy 2017</t>
    </r>
    <r>
      <rPr>
        <sz val="10"/>
        <rFont val="Calibri"/>
        <family val="2"/>
      </rPr>
      <t>: Targi Grüne Woche w Berlinie; Międzynarodowe Targi Turystyki Wiejskiej i Agroturystyki Agrotravel w Kielcach</t>
    </r>
  </si>
  <si>
    <r>
      <rPr>
        <b/>
        <sz val="10"/>
        <rFont val="Calibri"/>
        <family val="2"/>
        <charset val="238"/>
      </rPr>
      <t>Zasięg krajowy: 2016 rok:</t>
    </r>
    <r>
      <rPr>
        <sz val="10"/>
        <rFont val="Calibri"/>
        <family val="2"/>
        <charset val="238"/>
      </rPr>
      <t xml:space="preserve"> prezentacje wojewódzkie Tradycyjnych Stołów Wielkanocnych, Palm i Panek - 26 wystawców, ok. 2 000 zwiedzających;; obchody 150-lecia Kół Gospodyń Wiejskich - 98 wystawców, ok. 3 000 zwiedzających; Wystawa Zwierząt Hodowlanych w Piotrowicach - 80 wystawców, ok. 6 000 zwiedzających; prezentacja Dolnośląska Wieś Zaprasza - 62 wystawców, ok. 600 odwiedzających; Olimpiada Wiedzy i Umiejętności Rolniczych - 210 uczestników;  - Święto Mleka w Kamiennej Górze: 30 wystawców, ok. 5000 odwiedzających; Dolnośląski Dzień Pszczelarza: ok. 50 wystawców, ok. 2500 odwiedzających; Dary Jesieni - Dolnośląskie Święto Owoców i Warzyw: ok. 30 wystawców, ok. 1000 odwiedzających;  Prezentacja Tradycyjnych Stołów Wigilijnych - 26 wystawców, ok. 2000 odwiedzających; Święto wina i sera ok. 25 wystawców, ok. 2000 odwiedzających; Targi Naturalnej Żywności Natura Food: 7 wystawców, ok. 12000 odwiedzających; Targi Smaki Regionów: 6 wystawców, ok. 60000 odwiedzających; Forum muzeów domowych - ok. 40 uczestników; konferencja "Agrotechniczne aspekty uprawy winorośli i jakości wina w Polsce" Winnica-Technologia-Enologia-Zdrowie - ok. 80 uczestników; Konferencja naukowa pt. "Procesy koncentracji ziemi i kapitału a zrównoważony rozwój obszarów wiejskich na Dolnym Śląsku" ok. 45 uczestników; w kol. G podano zsumowaną ilość odwiedzających na wydarzeniach targowych oraz ilość uczestników pozostałych wydarzeń.</t>
    </r>
    <r>
      <rPr>
        <b/>
        <sz val="10"/>
        <rFont val="Calibri"/>
        <family val="2"/>
        <charset val="238"/>
      </rPr>
      <t xml:space="preserve"> Zasięg międzynarodowy: 2016 rok:</t>
    </r>
    <r>
      <rPr>
        <sz val="10"/>
        <rFont val="Calibri"/>
        <family val="2"/>
        <charset val="238"/>
      </rPr>
      <t xml:space="preserve">  targi Agrotravel w Kielcach - 10 wystawców, ok. 20 000 zwiedzających; targi Grune Woche w Berlinie - 6 wystawców, ok. 400 tys. zwiedzających</t>
    </r>
    <r>
      <rPr>
        <b/>
        <sz val="10"/>
        <rFont val="Calibri"/>
        <family val="2"/>
        <charset val="238"/>
      </rPr>
      <t>; Zasięg krajowy 2017</t>
    </r>
    <r>
      <rPr>
        <sz val="10"/>
        <rFont val="Calibri"/>
        <family val="2"/>
        <charset val="238"/>
      </rPr>
      <t xml:space="preserve">: Prezentacje Tradycyjnych Stołów Wielkanocnych, Palm i Pisanek we Wrocławiu - 26 wystawców, ok. 2 000 odwiedzających; </t>
    </r>
    <r>
      <rPr>
        <b/>
        <sz val="10"/>
        <rFont val="Calibri"/>
        <family val="2"/>
        <charset val="238"/>
      </rPr>
      <t>Zasięg międzynarodowy 2017</t>
    </r>
    <r>
      <rPr>
        <sz val="10"/>
        <rFont val="Calibri"/>
        <family val="2"/>
        <charset val="238"/>
      </rPr>
      <t>: Targi Grüne Woche w Berlinie - 6 wystawców, ok. 400 tys. odwiedzających; Międzynarodowe Targi Turystyki Wiejskiej i Agroturystyki Agrotravel w Kielcach - 10 wystawców,, ok. 20 000 odwiedzających</t>
    </r>
  </si>
  <si>
    <t>Działanie bezkosztowe. Dla 2017 roku wprowadzono dane dotyczące wyłącznie strony dolnoslaskie.ksow.pl. Dane dla pozostałych stron nie były dostępne.</t>
  </si>
  <si>
    <t xml:space="preserve">inne/mieszane= 4 publikacje dotyczące 3 wydarzeń, w tym: 2 publikacje pokonferencyjne, tj. dot. agrotechnicznych aspektów uprawy winorośli oraz procesów koncentracji ziemi i kapitału na obszarach wiejskich Dolnego Śląska. 2 publikacje po Forum Muzeów Domowych, tj. Informator pt.  „Muzea Domowe Informator 2016” (wersja czeska)  oraz Materiały informacyjno-metodyczne pt.”Muzea domowe. Materiały informacyjno-metodyczne. 2”-. Koszty zostały zaliczone w tab. 8 do kosztów zawartych w tab. 1 (wszystkie wydarzenia wpisano w tab. 1)
</t>
  </si>
  <si>
    <t>Inne/mieszane= Konkurs Nasze kulinarne dziedzictwo - smaki regionów; cykl audycji tv - Zrób to ze smakiem (koszty zostały zaliczone w tab. 8 do kosztów zawartych w trab 2.3, 2.4)</t>
  </si>
  <si>
    <r>
      <t xml:space="preserve">Dolnośląska Grupa Robocza ds. KSOW głosowała 16 razy w okresie sprawozdawczym; Grupa Robocza realizowała zadania wynikające z art. 57 ust. 2 pkt 4 ustawy z dnia 20 lutego 2015 r.
o wspieraniu rozwoju obszarów wiejskich z udziałem środków Europejskiego Funduszu Rolnego na rzecz Rozwoju Obszarów Wiejskich w ramach Programu Rozwoju Obszarów Wiejskich na lata 2014–2020; Istnieje </t>
    </r>
    <r>
      <rPr>
        <sz val="10"/>
        <rFont val="Calibri"/>
        <family val="2"/>
        <charset val="238"/>
      </rPr>
      <t>1 grupa robocza, która została wykazana dla każdego roku osobno.</t>
    </r>
  </si>
  <si>
    <t xml:space="preserve">Uczestnikami szkoleń byli potencjalni beneficjnci i beneficjenci działania "Podstawowe usługi i odnowa wsi na obszarach wiejskich" tj. gminy, gminne zaklady komunalne </t>
  </si>
  <si>
    <r>
      <t>do kosztów funkcjonowania zaliczone zostały: koszty delegacji, wynagrodzeń,</t>
    </r>
    <r>
      <rPr>
        <sz val="11"/>
        <rFont val="Calibri"/>
        <family val="2"/>
        <scheme val="minor"/>
      </rPr>
      <t xml:space="preserve"> posiedzenia Grupy Roboczej były bezkosztowe; składki członkowskie w ESRDK i ARGE zostały usunięte z PO KSOW w związku z ich niekwalifikowalnością.</t>
    </r>
  </si>
  <si>
    <t>Data, podpis i pieczęć</t>
  </si>
  <si>
    <t>……………………………………….</t>
  </si>
  <si>
    <t>SR KSOW w województwie dolnośląskim</t>
  </si>
  <si>
    <t>Agencja Rynku Rolnego</t>
  </si>
  <si>
    <t>imprezy lokalne upowszechnianie informacji o działaniach, którymi administruje ARR w ramach PROW 2014-2020, zakres tematyczny mieszany P2 i P3.</t>
  </si>
  <si>
    <t>upowszechnianie informacji o działaniach, którymi administruje ARR w ramach PROW 2014-2020, zakres tematyczny mieszany P2 i P3, ponadto udzielane były informacje na temat działania "Współpraca", informacje o terminach składania wniosków</t>
  </si>
  <si>
    <t xml:space="preserve">Przedmiotem audycji telewizyjnych oraz radiowym były informacje o działaniach, którymi administruje ARR w ramach PROW 2014-2020 tj. "Wsparcie działań informacyjnych i promocyjnych realizowanych przez grupy producentów na rynku wewnętrznym", "Wsparcie na przystępowanie do systemów jakości", które dotyczyły termnów składania wniosków o przyznanie pomocy, ilości złożonych wniosków, ilości beneficjentów, zasad udzielania wsparcia. </t>
  </si>
  <si>
    <t xml:space="preserve">Szkolenia z zakresu działań, którymi administruje ARR w ramach PROW 2014-2020 tj. "Wsparcie działań informacyjnych i promocyjnych realizowanych przez grupy producentów na rynku wewnętrznym", "Wsparcie na przystępowanie do systemów jakości", działanie "Współpraca". </t>
  </si>
  <si>
    <t>do 30.06.2017 w ramach planu komunikacyjnego na rok 2017 nie zostały wydatkowane środki finansowe</t>
  </si>
  <si>
    <t>Agencja Restrukturyzacji i Modernizacji Rolnictwa</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</si>
  <si>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Dostępność danych</t>
    </r>
    <r>
      <rPr>
        <b/>
        <sz val="12"/>
        <color indexed="8"/>
        <rFont val="Calibri"/>
        <family val="2"/>
      </rPr>
      <t xml:space="preserve">
</t>
    </r>
    <r>
      <rPr>
        <sz val="12"/>
        <color indexed="8"/>
        <rFont val="Calibri"/>
        <family val="2"/>
        <charset val="238"/>
      </rPr>
      <t>Nie wszystkie wskaźniki odnoszą się do wszystkich podmiotów i w wielu przypadkach dane mogą być niedostępne np. niezbierane w poprzednich latach.</t>
    </r>
    <r>
      <rPr>
        <b/>
        <sz val="12"/>
        <color indexed="8"/>
        <rFont val="Calibri"/>
        <family val="2"/>
      </rPr>
      <t xml:space="preserve"> </t>
    </r>
    <r>
      <rPr>
        <sz val="12"/>
        <color indexed="8"/>
        <rFont val="Calibri"/>
        <family val="2"/>
      </rPr>
      <t xml:space="preserve"> W przypadku, kiedy nie jest możliwe podanie wartości wybranych mierników/wskaźników (brak danych) lub sieć nie prowadzi określonych działań, prosimy o posługiwanie się następującymi skrótami:
BD = brak danych; sieć prowadzi takie działania ale konkretne dane nie zostały zebrane w l. 2014 -2015 r.  
ND = nie dotyczy; ten typ działań nie jest planowany przez podmiot
0 = sieć planuje określone działania, ale w danym roku nie miały one miejsca                                                                                                                                   </t>
    </r>
  </si>
  <si>
    <r>
      <t>Komentarze</t>
    </r>
    <r>
      <rPr>
        <sz val="10"/>
        <color indexed="8"/>
        <rFont val="Calibri"/>
        <family val="2"/>
      </rPr>
      <t xml:space="preserve"> (proszę wskazać ewentualne trudności związane z interpretacją definicji/wskaźników; proszę wskazać co jest rozumiane przez kategorię "inne")</t>
    </r>
  </si>
  <si>
    <r>
      <rPr>
        <b/>
        <sz val="10"/>
        <color indexed="18"/>
        <rFont val="Calibri"/>
        <family val="2"/>
        <charset val="238"/>
      </rPr>
      <t>Wytyczne:</t>
    </r>
    <r>
      <rPr>
        <sz val="10"/>
        <color indexed="8"/>
        <rFont val="Calibri"/>
        <family val="2"/>
      </rPr>
      <t xml:space="preserve">
</t>
    </r>
    <r>
      <rPr>
        <u/>
        <sz val="10"/>
        <color indexed="8"/>
        <rFont val="Calibri"/>
        <family val="2"/>
        <charset val="238"/>
      </rPr>
      <t>Ogólne:</t>
    </r>
    <r>
      <rPr>
        <sz val="10"/>
        <color indexed="8"/>
        <rFont val="Calibri"/>
        <family val="2"/>
      </rPr>
      <t xml:space="preserve"> Kategoria powinna zawierać liczbę wy</t>
    </r>
    <r>
      <rPr>
        <sz val="10"/>
        <rFont val="Calibri"/>
        <family val="2"/>
        <charset val="238"/>
      </rPr>
      <t xml:space="preserve">darzeń, w tym konferencje, seminaria, wydarzenia grup tematycznych, wydarzenia szkoleniowe </t>
    </r>
    <r>
      <rPr>
        <sz val="10"/>
        <color indexed="8"/>
        <rFont val="Calibri"/>
        <family val="2"/>
      </rPr>
      <t>itp. a także wydarzenia o charakterze promocyjnym takie jak targi, wystawy, które orga</t>
    </r>
    <r>
      <rPr>
        <sz val="10"/>
        <rFont val="Calibri"/>
        <family val="2"/>
        <charset val="238"/>
      </rPr>
      <t xml:space="preserve">nizuje sieć lub w przypadku których sieć jest jednym z głównych organizatorów. 
</t>
    </r>
    <r>
      <rPr>
        <u/>
        <sz val="10"/>
        <rFont val="Calibri"/>
        <family val="2"/>
        <charset val="238"/>
      </rPr>
      <t>Zasięg geograficzny:</t>
    </r>
    <r>
      <rPr>
        <sz val="10"/>
        <rFont val="Calibri"/>
        <family val="2"/>
        <charset val="238"/>
      </rPr>
      <t xml:space="preserve"> liczba </t>
    </r>
    <r>
      <rPr>
        <b/>
        <sz val="10"/>
        <rFont val="Calibri"/>
        <family val="2"/>
        <charset val="238"/>
      </rPr>
      <t xml:space="preserve">wydarzeń lokalnych/regionalnych  </t>
    </r>
    <r>
      <rPr>
        <sz val="10"/>
        <rFont val="Calibri"/>
        <family val="2"/>
        <charset val="238"/>
      </rPr>
      <t>to te, których uczestnicy zapraszani są głównie z określonego regionu</t>
    </r>
    <r>
      <rPr>
        <b/>
        <sz val="10"/>
        <rFont val="Calibri"/>
        <family val="2"/>
        <charset val="238"/>
      </rPr>
      <t xml:space="preserve">; wydarzenia krajowe - </t>
    </r>
    <r>
      <rPr>
        <sz val="10"/>
        <rFont val="Calibri"/>
        <family val="2"/>
        <charset val="238"/>
      </rPr>
      <t xml:space="preserve">uczestnicy z różnych regionów kraju; </t>
    </r>
    <r>
      <rPr>
        <b/>
        <sz val="10"/>
        <rFont val="Calibri"/>
        <family val="2"/>
        <charset val="238"/>
      </rPr>
      <t xml:space="preserve">wydarzenia międzynarodowe, </t>
    </r>
    <r>
      <rPr>
        <sz val="10"/>
        <rFont val="Calibri"/>
        <family val="2"/>
        <charset val="238"/>
      </rPr>
      <t>gdy dużą liczbę</t>
    </r>
    <r>
      <rPr>
        <b/>
        <sz val="10"/>
        <rFont val="Calibri"/>
        <family val="2"/>
        <charset val="238"/>
      </rPr>
      <t xml:space="preserve"> </t>
    </r>
    <r>
      <rPr>
        <sz val="10"/>
        <rFont val="Calibri"/>
        <family val="2"/>
        <charset val="238"/>
      </rPr>
      <t xml:space="preserve"> uczestników stanowią goście z zagranicy.
</t>
    </r>
    <r>
      <rPr>
        <u/>
        <sz val="10"/>
        <rFont val="Calibri"/>
        <family val="2"/>
        <charset val="238"/>
      </rPr>
      <t>Zakres tematyczny:</t>
    </r>
    <r>
      <rPr>
        <sz val="10"/>
        <rFont val="Calibri"/>
        <family val="2"/>
        <charset val="238"/>
      </rPr>
      <t xml:space="preserve"> wydarzenia powinny być zakwalifikowane do poszczególnych kategorii tematycznych w przypadku kiedy: - rzeczywiście istniał ścisły związek danego spotkania z określonym tematem (np. cała sesja na dany temat a nie tylko jedna prezentacja). - była nakierowana na konkretną grupę  (tj. doradcy i/lub usługi wspierające innowacje lub LGD), tzn. większość uczestników reprezentuje te grupy. Jedno wydarzenie może dotyczyć więcej niż jednego tematu tzn., że ilość wszystkich wydarzeń nie musi być sumą wydarzeń w poszczególnych tematach. </t>
    </r>
  </si>
  <si>
    <r>
      <rPr>
        <b/>
        <sz val="10"/>
        <color indexed="18"/>
        <rFont val="Calibri"/>
        <family val="2"/>
        <charset val="238"/>
      </rPr>
      <t>Wytyczne:</t>
    </r>
    <r>
      <rPr>
        <sz val="10"/>
        <color indexed="8"/>
        <rFont val="Calibri"/>
        <family val="2"/>
      </rPr>
      <t xml:space="preserve">
Dotyczy liczby uczestników wydarzeń ze wskaźnika 1.1. Jeśli to możliwe proszę podać liczbę uczestników obecnych podczas spotkania na podstawie podpisanych list obecności . Jeśli to nie jest możliwe proszę użyć danych z formularzy rejestracyjnych  (liczbę zgłoszonych uczestników).                                                                                                                  </t>
    </r>
    <r>
      <rPr>
        <u/>
        <sz val="10"/>
        <color indexed="8"/>
        <rFont val="Calibri"/>
        <family val="2"/>
        <charset val="238"/>
      </rPr>
      <t>Definicja zasiegu geograficznego</t>
    </r>
    <r>
      <rPr>
        <sz val="10"/>
        <color indexed="8"/>
        <rFont val="Calibri"/>
        <family val="2"/>
      </rPr>
      <t xml:space="preserve"> - patrz wskaźnik 1.1 . </t>
    </r>
  </si>
  <si>
    <r>
      <rPr>
        <b/>
        <sz val="14"/>
        <color indexed="8"/>
        <rFont val="Calibri"/>
        <family val="2"/>
        <charset val="238"/>
      </rPr>
      <t>Komentarze</t>
    </r>
    <r>
      <rPr>
        <sz val="10"/>
        <color indexed="8"/>
        <rFont val="Calibri"/>
        <family val="2"/>
      </rPr>
      <t xml:space="preserve"> (proszę wskazać ewentualne trudności związane z interpretacją definicji/wskaźników; proszę wskazać co jest rozumiane przez kategorię "inne")</t>
    </r>
  </si>
  <si>
    <r>
      <rPr>
        <b/>
        <sz val="10"/>
        <color indexed="60"/>
        <rFont val="Calibri"/>
        <family val="2"/>
        <charset val="238"/>
      </rPr>
      <t>Wytyczne:</t>
    </r>
    <r>
      <rPr>
        <sz val="10"/>
        <color indexed="8"/>
        <rFont val="Calibri"/>
        <family val="2"/>
      </rPr>
      <t xml:space="preserve">
Statystyki odwiedzin strony internetowej za dany okres. Proszę wskazać w komentarzu jak liczone są wskażniki  (np. jeśli używane są statystyki google lub inne narzędzia danych statystycznych)</t>
    </r>
  </si>
  <si>
    <t>Dane z Google Analytics</t>
  </si>
  <si>
    <r>
      <t xml:space="preserve">Komentarze </t>
    </r>
    <r>
      <rPr>
        <sz val="10"/>
        <color indexed="8"/>
        <rFont val="Calibri"/>
        <family val="2"/>
      </rPr>
      <t>(proszę wskazać ewentualne trudności związane z interpretacją definicji/wskaźników; proszę wskazać co jest rozumiane przez kategorię "inne")</t>
    </r>
  </si>
  <si>
    <r>
      <rPr>
        <b/>
        <sz val="10"/>
        <color indexed="60"/>
        <rFont val="Calibri"/>
        <family val="2"/>
        <charset val="238"/>
      </rPr>
      <t xml:space="preserve">WYTYCZNE:
</t>
    </r>
    <r>
      <rPr>
        <b/>
        <sz val="10"/>
        <color indexed="8"/>
        <rFont val="Calibri"/>
        <family val="2"/>
      </rPr>
      <t xml:space="preserve">
Media społecznościowe </t>
    </r>
    <r>
      <rPr>
        <sz val="10"/>
        <color indexed="8"/>
        <rFont val="Calibri"/>
        <family val="2"/>
        <charset val="238"/>
      </rPr>
      <t>należy rozumieć jako:</t>
    </r>
    <r>
      <rPr>
        <sz val="10"/>
        <color indexed="8"/>
        <rFont val="Calibri"/>
        <family val="2"/>
      </rPr>
      <t xml:space="preserve"> facebook, twitter, linkedin, instagram, youtube itp. proszę wymienić w "K</t>
    </r>
    <r>
      <rPr>
        <i/>
        <sz val="10"/>
        <color indexed="8"/>
        <rFont val="Calibri"/>
        <family val="2"/>
        <charset val="238"/>
      </rPr>
      <t xml:space="preserve">omentarzu", </t>
    </r>
    <r>
      <rPr>
        <sz val="10"/>
        <color indexed="8"/>
        <rFont val="Calibri"/>
        <family val="2"/>
        <charset val="238"/>
      </rPr>
      <t>które z ww. mediów są używane lub nazwy innych wykorzystywanych kanałów społecznościowych</t>
    </r>
    <r>
      <rPr>
        <sz val="10"/>
        <color indexed="8"/>
        <rFont val="Calibri"/>
        <family val="2"/>
      </rPr>
      <t xml:space="preserve">.  Proszę wykazać jedynie profile/strony/konta jednostki wspierającej sieci, a nie konta osobste pracowników. Proszę tu nie wliczać grup na facebooku oraz grup dyskusyjnych na linkedin (one będą poniżej w e-forum).
</t>
    </r>
    <r>
      <rPr>
        <u/>
        <sz val="10"/>
        <color indexed="8"/>
        <rFont val="Calibri"/>
        <family val="2"/>
        <charset val="238"/>
      </rPr>
      <t>E-forums</t>
    </r>
    <r>
      <rPr>
        <sz val="10"/>
        <color indexed="8"/>
        <rFont val="Calibri"/>
        <family val="2"/>
        <charset val="238"/>
      </rPr>
      <t xml:space="preserve"> - specyficzne platformy umożliwiajace wymianę on-line pomiędzy partnerami sieci utworzone przez jednostkę wsparcia sieci (w tym grupy na facebooku i grupy dyskusyjne linkedin). P</t>
    </r>
    <r>
      <rPr>
        <sz val="10"/>
        <color indexed="8"/>
        <rFont val="Calibri"/>
        <family val="2"/>
      </rPr>
      <t xml:space="preserve">roszę wskazać liczbę forów dyskusyjnych założonych przez jednostkę wsparcia sieci na platformach.
</t>
    </r>
    <r>
      <rPr>
        <u/>
        <sz val="10"/>
        <color indexed="8"/>
        <rFont val="Calibri"/>
        <family val="2"/>
        <charset val="238"/>
      </rPr>
      <t xml:space="preserve">
Liczba fanów na Facebooku oraz liczba obserwujących Twitter</t>
    </r>
    <r>
      <rPr>
        <sz val="10"/>
        <color indexed="8"/>
        <rFont val="Calibri"/>
        <family val="2"/>
        <charset val="238"/>
      </rPr>
      <t xml:space="preserve">. Proszę przyjąć liczbę bazową na 1.01.2014 r. </t>
    </r>
    <r>
      <rPr>
        <sz val="10"/>
        <color indexed="8"/>
        <rFont val="Calibri"/>
        <family val="2"/>
      </rPr>
      <t xml:space="preserve">
</t>
    </r>
    <r>
      <rPr>
        <u/>
        <sz val="10"/>
        <color indexed="8"/>
        <rFont val="Calibri"/>
        <family val="2"/>
        <charset val="238"/>
      </rPr>
      <t>Liczba wizyt na stronie przekierowanych z mediów społecznościowych</t>
    </r>
    <r>
      <rPr>
        <sz val="10"/>
        <color indexed="8"/>
        <rFont val="Calibri"/>
        <family val="2"/>
      </rPr>
      <t xml:space="preserve"> powinna pochodzić z webanalitics.</t>
    </r>
  </si>
  <si>
    <r>
      <rPr>
        <b/>
        <sz val="10"/>
        <color indexed="60"/>
        <rFont val="Calibri"/>
        <family val="2"/>
        <charset val="238"/>
      </rPr>
      <t>WYTYCZNE:</t>
    </r>
    <r>
      <rPr>
        <sz val="10"/>
        <color indexed="8"/>
        <rFont val="Calibri"/>
        <family val="2"/>
      </rPr>
      <t xml:space="preserve">
</t>
    </r>
    <r>
      <rPr>
        <u/>
        <sz val="10"/>
        <color indexed="8"/>
        <rFont val="Calibri"/>
        <family val="2"/>
        <charset val="238"/>
      </rPr>
      <t>Liczba publikacji wytworzonych przez jednostkę wsparcia sieci:</t>
    </r>
    <r>
      <rPr>
        <sz val="10"/>
        <color indexed="8"/>
        <rFont val="Calibri"/>
        <family val="2"/>
        <charset val="238"/>
      </rPr>
      <t xml:space="preserve"> dotyczy czasopism, przeglądów, newsletterów, ulotek, broszur, publikacji elektronicznych (proszę nie wliczać studium przypadku lub fiszek informacyjnych np. przykładów dobrych praktyk, będących cząścią innego opracowania); publikacja nie może być liczona dwukrotnie w przypadku, gdy powstała w dwóch wersjach: papierowej i elektronicznej.
</t>
    </r>
    <r>
      <rPr>
        <sz val="10"/>
        <color indexed="8"/>
        <rFont val="Calibri"/>
        <family val="2"/>
      </rPr>
      <t xml:space="preserve">
</t>
    </r>
    <r>
      <rPr>
        <u/>
        <sz val="10"/>
        <color indexed="8"/>
        <rFont val="Calibri"/>
        <family val="2"/>
      </rPr>
      <t xml:space="preserve">Zakres tematyczny: </t>
    </r>
    <r>
      <rPr>
        <sz val="10"/>
        <color indexed="8"/>
        <rFont val="Calibri"/>
        <family val="2"/>
        <charset val="238"/>
      </rPr>
      <t xml:space="preserve">Publikacje powinny być zawarte w poszczególnych kategoriach tematycznych jeżeli istnieje ścisły związek publikacji z określonym tematem (np. cała sekcja/rozdział poświęcony danemu tematowi a nie tylko jeden artykuł). Jedna publikacja może dotyczyć więcej niż jednego tematu tzn., że liczba wszystkich publikacji nie musi być sumą publikacji w poszczególnych tematach.                                                                                                                                                                                
</t>
    </r>
  </si>
  <si>
    <r>
      <t xml:space="preserve">Komentarze </t>
    </r>
    <r>
      <rPr>
        <sz val="10"/>
        <color indexed="8"/>
        <rFont val="Calibri"/>
        <family val="2"/>
        <charset val="238"/>
      </rPr>
      <t>(proszę wskazać ewentualne trudności związane z interpretacją definicji/wskaźników; proszę wskazać co jest rozumiane przez kategorię "inne")</t>
    </r>
  </si>
  <si>
    <r>
      <rPr>
        <b/>
        <sz val="10"/>
        <color indexed="60"/>
        <rFont val="Calibri"/>
        <family val="2"/>
        <charset val="238"/>
      </rPr>
      <t>WYTYCZNE:</t>
    </r>
    <r>
      <rPr>
        <sz val="10"/>
        <color indexed="8"/>
        <rFont val="Calibri"/>
        <family val="2"/>
      </rPr>
      <t xml:space="preserve">
</t>
    </r>
    <r>
      <rPr>
        <u/>
        <sz val="10"/>
        <color indexed="8"/>
        <rFont val="Calibri"/>
        <family val="2"/>
        <charset val="238"/>
      </rPr>
      <t>M</t>
    </r>
    <r>
      <rPr>
        <u/>
        <sz val="10"/>
        <color indexed="8"/>
        <rFont val="Calibri"/>
        <family val="2"/>
      </rPr>
      <t>ultimedia i inne narzędzia</t>
    </r>
    <r>
      <rPr>
        <sz val="10"/>
        <color indexed="8"/>
        <rFont val="Calibri"/>
        <family val="2"/>
      </rPr>
      <t xml:space="preserve">: można tu wpisać filmy, programy TV, audycje radiowe lub liczbę organizowanych przez jednostkę wsparcia sieci konkursów np. konkurs fotograficzny, konkurs na najlepszy projekt Leader; jeśli są organizowane specjalne wydarzenia związane z konkursami np. finały konkursów można wpisać je również w kategorii 1. </t>
    </r>
    <r>
      <rPr>
        <i/>
        <sz val="10"/>
        <color indexed="8"/>
        <rFont val="Calibri"/>
        <family val="2"/>
        <charset val="238"/>
      </rPr>
      <t xml:space="preserve">"Wydarzenia". </t>
    </r>
    <r>
      <rPr>
        <sz val="10"/>
        <color indexed="8"/>
        <rFont val="Calibri"/>
        <family val="2"/>
        <charset val="238"/>
      </rPr>
      <t xml:space="preserve">Jesli wykorzystywane są inne narzędzia komunikacyjne proszę podać je w kolumnie </t>
    </r>
    <r>
      <rPr>
        <i/>
        <sz val="10"/>
        <color indexed="8"/>
        <rFont val="Calibri"/>
        <family val="2"/>
        <charset val="238"/>
      </rPr>
      <t xml:space="preserve">"Inne" </t>
    </r>
    <r>
      <rPr>
        <sz val="10"/>
        <color indexed="8"/>
        <rFont val="Calibri"/>
        <family val="2"/>
        <charset val="238"/>
      </rPr>
      <t xml:space="preserve">i wskazać jakie to są narzędzia w </t>
    </r>
    <r>
      <rPr>
        <i/>
        <sz val="10"/>
        <color indexed="8"/>
        <rFont val="Calibri"/>
        <family val="2"/>
        <charset val="238"/>
      </rPr>
      <t>"Komentarzu".</t>
    </r>
    <r>
      <rPr>
        <sz val="10"/>
        <color indexed="8"/>
        <rFont val="Calibri"/>
        <family val="2"/>
      </rPr>
      <t xml:space="preserve">
</t>
    </r>
    <r>
      <rPr>
        <u/>
        <sz val="10"/>
        <color indexed="8"/>
        <rFont val="Calibri"/>
        <family val="2"/>
        <charset val="238"/>
      </rPr>
      <t>Zakres tematyczny:</t>
    </r>
    <r>
      <rPr>
        <sz val="10"/>
        <color indexed="8"/>
        <rFont val="Calibri"/>
        <family val="2"/>
      </rPr>
      <t xml:space="preserve"> patrz w pkt. 2.3                                                                                                                                                                                
</t>
    </r>
  </si>
  <si>
    <t>Ułatwienie transferu wiedzy i innowacji w rolnictwie i leśnictwie oraz na obszarach wiejskich. Informowanie społeczeństwa i potencjalnych beneficjentów o polityce rozwoju obszarów wiejskich i o możliwościach finansowania. www.arimr.gov.pl</t>
  </si>
  <si>
    <r>
      <t>Komentarze</t>
    </r>
    <r>
      <rPr>
        <b/>
        <sz val="10"/>
        <color indexed="8"/>
        <rFont val="Calibri"/>
        <family val="2"/>
        <charset val="238"/>
      </rPr>
      <t xml:space="preserve"> </t>
    </r>
    <r>
      <rPr>
        <sz val="10"/>
        <color indexed="8"/>
        <rFont val="Calibri"/>
        <family val="2"/>
        <charset val="238"/>
      </rPr>
      <t>(proszę wskazać ewentualne trudności związane z interpretacją definicji/wskaźników; proszę wskazać co jest rozumiane przez kategorię "inne")</t>
    </r>
  </si>
  <si>
    <r>
      <t>WYTYCZNE:</t>
    </r>
    <r>
      <rPr>
        <sz val="10"/>
        <rFont val="Calibri"/>
        <family val="2"/>
        <charset val="238"/>
      </rPr>
      <t xml:space="preserve">
Liczba przykładów dobrej praktyki / studium przypadku zidentyfikowanych i upowszechnionych (co najmniej na stronie internetowej KSOW). Proszę unikać podwójnego liczenia, np. jeśli określony przykład pojawił się na stronie internetowej i w broszurze, policz go raz. Tylko przykłady opracowane jako case study i opublikowane na stronie internetowej KSOW mogą być brane pod uwagę. Proszę nie liczyć przykładów wymienionych w prezentacjach lub wspomnianych podczas wydarzeń. Oferty współpracy np. poszukiwania partnerów opisujemy w kategorii "Wsparcie dla współpracy"</t>
    </r>
  </si>
  <si>
    <r>
      <t>Komentarze</t>
    </r>
    <r>
      <rPr>
        <sz val="12"/>
        <color indexed="8"/>
        <rFont val="Calibri"/>
        <family val="2"/>
        <charset val="238"/>
      </rPr>
      <t xml:space="preserve"> (</t>
    </r>
    <r>
      <rPr>
        <sz val="10"/>
        <color indexed="8"/>
        <rFont val="Calibri"/>
        <family val="2"/>
        <charset val="238"/>
      </rPr>
      <t>proszę wskazać ewentualne trudności związane z interpretacją definicji/wskaźników; proszę wskazać co jest rozumiane przez kategorię "inne")</t>
    </r>
  </si>
  <si>
    <r>
      <rPr>
        <b/>
        <sz val="10"/>
        <color indexed="28"/>
        <rFont val="Calibri"/>
        <family val="2"/>
        <charset val="238"/>
      </rPr>
      <t>WYTYCZNE:</t>
    </r>
    <r>
      <rPr>
        <sz val="10"/>
        <color indexed="8"/>
        <rFont val="Calibri"/>
        <family val="2"/>
      </rPr>
      <t xml:space="preserve">
</t>
    </r>
    <r>
      <rPr>
        <u/>
        <sz val="10"/>
        <color indexed="8"/>
        <rFont val="Calibri"/>
        <family val="2"/>
        <charset val="238"/>
      </rPr>
      <t>Rodzaj aktywności:</t>
    </r>
    <r>
      <rPr>
        <sz val="10"/>
        <color indexed="8"/>
        <rFont val="Calibri"/>
        <family val="2"/>
        <charset val="238"/>
      </rPr>
      <t xml:space="preserve"> Proszę policzyć ilość grup tematycznych i spotkań organizowanych w ramach tych grup.
</t>
    </r>
    <r>
      <rPr>
        <u/>
        <sz val="10"/>
        <color indexed="8"/>
        <rFont val="Calibri"/>
        <family val="2"/>
        <charset val="238"/>
      </rPr>
      <t>Zakres tematyczny:</t>
    </r>
    <r>
      <rPr>
        <sz val="10"/>
        <color indexed="8"/>
        <rFont val="Calibri"/>
        <family val="2"/>
        <charset val="238"/>
      </rPr>
      <t xml:space="preserve"> proszę patrz wyżej, te same definicje mają zastosowanie. Należy wskazać główny obszar tematyczny, w jakim została grupa powołana. Proszę nie liczyć tematyki pojedynczych spotkań grupy jako odrębnej inicjatywy tematycznej.                                                                                                                                                                                                                      </t>
    </r>
    <r>
      <rPr>
        <sz val="10"/>
        <rFont val="Calibri"/>
        <family val="2"/>
        <charset val="238"/>
      </rPr>
      <t xml:space="preserve">W przypadku spotkań grup roboczych należy liczyć wyłącznie spotkania grupy.  Decyzje podjęte przez grupę roboczą w trybie obiegowym nie są traktowane jak spotkanie i nie moga być jako takie liczone. </t>
    </r>
  </si>
  <si>
    <r>
      <rPr>
        <b/>
        <sz val="10"/>
        <color indexed="28"/>
        <rFont val="Calibri"/>
        <family val="2"/>
        <charset val="238"/>
      </rPr>
      <t>WYTYCZNE:</t>
    </r>
    <r>
      <rPr>
        <sz val="10"/>
        <color indexed="8"/>
        <rFont val="Calibri"/>
        <family val="2"/>
      </rPr>
      <t xml:space="preserve">
</t>
    </r>
    <r>
      <rPr>
        <u/>
        <sz val="10"/>
        <color indexed="8"/>
        <rFont val="Calibri"/>
        <family val="2"/>
        <charset val="238"/>
      </rPr>
      <t>Ogólnie:</t>
    </r>
    <r>
      <rPr>
        <sz val="10"/>
        <color indexed="8"/>
        <rFont val="Calibri"/>
        <family val="2"/>
      </rPr>
      <t xml:space="preserve"> Konsultacje tematyczne organizowane są pomiędzy różnymi organizacjami partnerów / ich przedstawicielami w celu ułatwiania wymiany poglądów, pomysłów i doświadczeń na konkretne tematy (np. grupa koodynacyjna LEADER), często w celu poprawy wdrażania PROW. Proszę policzyć konsultacje tematyczne zorganizowane / wspierane przez sieć  (lub gdzie sieć odgrywa główna rolę w zarządzaniu konsultacjami).
                                                                                                                                                                                                                                                                           </t>
    </r>
    <r>
      <rPr>
        <u/>
        <sz val="10"/>
        <color indexed="8"/>
        <rFont val="Calibri"/>
        <family val="2"/>
        <charset val="238"/>
      </rPr>
      <t>Zakres tematyczny:</t>
    </r>
    <r>
      <rPr>
        <sz val="10"/>
        <color indexed="8"/>
        <rFont val="Calibri"/>
        <family val="2"/>
      </rPr>
      <t xml:space="preserve"> proszę patrz wyżej, te same definicje mają zastosowanie. </t>
    </r>
    <r>
      <rPr>
        <u/>
        <sz val="10"/>
        <color indexed="8"/>
        <rFont val="Calibri"/>
        <family val="2"/>
      </rPr>
      <t xml:space="preserve">
</t>
    </r>
  </si>
  <si>
    <r>
      <rPr>
        <b/>
        <sz val="10"/>
        <color indexed="28"/>
        <rFont val="Calibri"/>
        <family val="2"/>
        <charset val="238"/>
      </rPr>
      <t>WYTYCZNE:</t>
    </r>
    <r>
      <rPr>
        <sz val="10"/>
        <color indexed="8"/>
        <rFont val="Calibri"/>
        <family val="2"/>
      </rPr>
      <t xml:space="preserve">
Proszę policz inne rodzaje inicjatyw tematycznych. Fora internetowe i szkolenia mogą być policzone podwójnie, tzn.  mogą być podane tutaj oraz we wskażniku 2.1 (media społecznosciowe) oraz we wskażniku 6.1 (szkolenia). Proszę podaj w komentarzach jakie inne inicjatywy tematyczne są brane pod uwagę.
Zakres tematyczny: patrz wskaźnik 1.1 .</t>
    </r>
    <r>
      <rPr>
        <u/>
        <sz val="10"/>
        <color indexed="8"/>
        <rFont val="Calibri"/>
        <family val="2"/>
      </rPr>
      <t/>
    </r>
  </si>
  <si>
    <r>
      <rPr>
        <b/>
        <sz val="10"/>
        <color indexed="54"/>
        <rFont val="Calibri"/>
        <family val="2"/>
        <charset val="238"/>
      </rPr>
      <t>WYTYCZNE:</t>
    </r>
    <r>
      <rPr>
        <sz val="10"/>
        <color indexed="8"/>
        <rFont val="Calibri"/>
        <family val="2"/>
      </rPr>
      <t xml:space="preserve">
</t>
    </r>
    <r>
      <rPr>
        <u/>
        <sz val="10"/>
        <rFont val="Calibri"/>
        <family val="2"/>
        <charset val="238"/>
      </rPr>
      <t xml:space="preserve">Uczestnicy według typu inicjatywy: </t>
    </r>
    <r>
      <rPr>
        <sz val="10"/>
        <rFont val="Calibri"/>
        <family val="2"/>
        <charset val="238"/>
      </rPr>
      <t xml:space="preserve">Proszę policzyć członków inicjatyw tematycznych (wymienionych w tabeli wyżej w punkcie 4.1.) Członkiem incjatywy jest każdy kto conajmniej raz wziął udział w aktywności inicjatywy tematycznej (np. uczestniczył w spotkaniu grupy tematycznej, miał wkład w przygotowanie raportu z prac grupy tematycznej). Jeżeli osoba uczestniczyła w więcej niż jednej aktywności tej samej inicjatywy tematycznej należy ją liczyć tylko raz. Jeżeli ta sama osoba brała udział w dwóch róznych inicjatywach tematycznych proszę liczyć podwójnie (jak dwie osoby).  Proszę oddzielnie policzyć liczbę osób uczestniczących w spotkaniach grup tematycznych. Jeżeli ten sam członek inicjatywy tematycznej brał udział w dwóch spotkaniach powinien być liczony podwójnie (osobno dla każdego spotkania). 
</t>
    </r>
  </si>
  <si>
    <r>
      <rPr>
        <b/>
        <sz val="10"/>
        <color indexed="17"/>
        <rFont val="Calibri"/>
        <family val="2"/>
        <charset val="238"/>
      </rPr>
      <t>WYTYCZNE:</t>
    </r>
    <r>
      <rPr>
        <sz val="10"/>
        <color indexed="28"/>
        <rFont val="Calibri"/>
        <family val="2"/>
        <charset val="238"/>
      </rPr>
      <t xml:space="preserve">
Ten wskaźnik dotyczy wsparcia działań trzech jednostek organizacyjnych europejskiej sieci, tj. Punktu Kontaktowego ENRD (ENRD CP), Helpdesk ds. Ewaluacji (Evaluation HD) oraz EIP AGRI Service Point (EIP-SP) przez sieci Państw Członkowskich UE. Należy brać pod uwagę udział przedstawicieli podmiotów zaangażowanych  w realizację zadań KSOW i innych reprezentantów sieci (w tym partnerów) podczas różnych wydarzeń. Jeśli przedstawiciel sieci uczestniczy we wspólnym wydarzeniu zorganizowanym przez więcej niż jedną jednostkę , to można policzyć to dla obu jednostek  tzn., całkowita liczba inicjatyw jednostek europejskiej sieci nie dodaje sie to całkowitej liczby inicjatyw w których sieci uczestniczyły.
</t>
    </r>
    <r>
      <rPr>
        <u/>
        <sz val="10"/>
        <color indexed="28"/>
        <rFont val="Calibri"/>
        <family val="2"/>
        <charset val="238"/>
      </rPr>
      <t>Liczba inicjatyw:</t>
    </r>
    <r>
      <rPr>
        <sz val="10"/>
        <color indexed="28"/>
        <rFont val="Calibri"/>
        <family val="2"/>
        <charset val="238"/>
      </rPr>
      <t xml:space="preserve">  Policz liczbę inicjatyw, w których uczestniczyli przedstawiciele sieci, a nie liczbę osób biorących udział w danej inicjatywie. Jeżeli jeden uczestnik brał udział w dwóch spotkaniach tej samej grupy tematycznej to powinien być liczony pojedynczo w kolumnie "Liczba inicjatyw tematycznych" i podwójnie w kolumnie "Liczba spotkań w ramach inicjatywy tematycznej".                                                                                                                                                                     
</t>
    </r>
    <r>
      <rPr>
        <u/>
        <sz val="10"/>
        <color indexed="28"/>
        <rFont val="Calibri"/>
        <family val="2"/>
        <charset val="238"/>
      </rPr>
      <t>Liczba spotkań:</t>
    </r>
    <r>
      <rPr>
        <sz val="10"/>
        <color indexed="28"/>
        <rFont val="Calibri"/>
        <family val="2"/>
        <charset val="238"/>
      </rPr>
      <t xml:space="preserve"> Policz liczbę spotkań, w której brał udział przedstawiciel sieci np. jeżeli 3 uczestników brało udzial w 2 spotkaniach w kolumnie "Liczba spotkań w ramach inicjatywy tematycznej" należy wpisać 2. Proszę nie liczyć pojedynczych spotkań grupy tematycznej jako odrębnej inicjatywy tematycznej.
</t>
    </r>
    <r>
      <rPr>
        <u/>
        <sz val="10"/>
        <color indexed="28"/>
        <rFont val="Calibri"/>
        <family val="2"/>
        <charset val="238"/>
      </rPr>
      <t>Aktywny wkład:</t>
    </r>
    <r>
      <rPr>
        <sz val="10"/>
        <color indexed="28"/>
        <rFont val="Calibri"/>
        <family val="2"/>
        <charset val="238"/>
      </rPr>
      <t xml:space="preserve"> Policz inicjatywy/wydarzenia, w których przedstawiciel sieci miał aktywny wkład , włączając: prezentacje, moderowanie sesji, udział w dyskusji panelowej lub inne. Nie licz podwójnie np. jesli przedstawiciel sieci miał 2 prezentacje w ramach tej samej inicjatywy policz tylko jeden raz.</t>
    </r>
  </si>
  <si>
    <r>
      <rPr>
        <b/>
        <sz val="10"/>
        <color indexed="17"/>
        <rFont val="Calibri"/>
        <family val="2"/>
        <charset val="238"/>
      </rPr>
      <t>WYTYCZNE:</t>
    </r>
    <r>
      <rPr>
        <sz val="10"/>
        <color indexed="8"/>
        <rFont val="Calibri"/>
        <family val="2"/>
      </rPr>
      <t xml:space="preserve">
</t>
    </r>
    <r>
      <rPr>
        <u/>
        <sz val="10"/>
        <color indexed="8"/>
        <rFont val="Calibri"/>
        <family val="2"/>
        <charset val="238"/>
      </rPr>
      <t>Poszczególne informacje:</t>
    </r>
    <r>
      <rPr>
        <sz val="10"/>
        <color indexed="8"/>
        <rFont val="Calibri"/>
        <family val="2"/>
      </rPr>
      <t xml:space="preserve"> Liczba artykułów, studium przypadku oraz innych materiałów informacyjnych może być liczona wielokrotnie w szczególnych przypadkach: np. jeśli podmiot dostarczył przykład dobrej praktyki, a następnie wykorzystał ten sam przykład w publikacji lub przygotował prezentację dotyczącą tej samej dobrej praktyki - można w takim przypadku zaliczyć wykonaną pracę zarówno jako przykład dobrej praktyki/case study jak i jako artykuł lub prezentację.</t>
    </r>
  </si>
  <si>
    <r>
      <rPr>
        <b/>
        <sz val="12"/>
        <color indexed="8"/>
        <rFont val="Calibri"/>
        <family val="2"/>
        <charset val="238"/>
      </rPr>
      <t>Komentarze</t>
    </r>
    <r>
      <rPr>
        <sz val="10"/>
        <color indexed="8"/>
        <rFont val="Calibri"/>
        <family val="2"/>
      </rPr>
      <t xml:space="preserve"> </t>
    </r>
    <r>
      <rPr>
        <sz val="10"/>
        <color indexed="8"/>
        <rFont val="Calibri"/>
        <family val="2"/>
        <charset val="238"/>
      </rPr>
      <t>(proszę wskazać ewentualne trudności związane z interpretacją definicji/wskaźników; proszę wskazać co jest rozumiane przez kategorię "inne")</t>
    </r>
  </si>
  <si>
    <t>WYTYCZNE:
Jeśli to możliwe, proszę wskazać w rubryce "Komentarze" które materiały zostały przetłumaczone lub upowszechnione.
Liczba przetłumaczonych materiałów: Liczba przetłumaczonych  na język polski informacji (włączając publikacje, raporty, analizy, studium przypadku, itp.) 
Liczba rozpowszechnionych materiałów:  Liczba informacji (publikacje, raporty, analizy, case study) rozpowszechnionych wśród szerszego grona odbiorców w ramach sieci, np. poprzez stronę internetową, newsletter, emailing, itp. Można tu zaliczyć odwołania do strony ENRD zamieszczone na stronie krajowej sieci.</t>
  </si>
  <si>
    <r>
      <rPr>
        <b/>
        <sz val="10"/>
        <color indexed="49"/>
        <rFont val="Calibri"/>
        <family val="2"/>
      </rPr>
      <t>WYTYCZNE:</t>
    </r>
    <r>
      <rPr>
        <sz val="10"/>
        <color indexed="49"/>
        <rFont val="Calibri"/>
        <family val="2"/>
      </rPr>
      <t xml:space="preserve">
</t>
    </r>
    <r>
      <rPr>
        <u/>
        <sz val="10"/>
        <rFont val="Calibri"/>
        <family val="2"/>
        <charset val="238"/>
      </rPr>
      <t>Typ działania szkoleniowego:</t>
    </r>
    <r>
      <rPr>
        <sz val="10"/>
        <rFont val="Calibri"/>
        <family val="2"/>
        <charset val="238"/>
      </rPr>
      <t xml:space="preserve">  Proszę uwzględnić wszystkie działania szkoleniowe zorganizowane przez podmiot lub partnerów sieci (włączając wizyty/wyjazdy studyjne). Proszę podać osobno liczbę działań szkoleniowych oraz odpowiednio liczbę dni. Działanie szkoleniowe to takie które mają aspekt budowy umiejętności (rozwijania zdolności) na konkretny temat.
</t>
    </r>
    <r>
      <rPr>
        <u/>
        <sz val="10"/>
        <rFont val="Calibri"/>
        <family val="2"/>
        <charset val="238"/>
      </rPr>
      <t>Zakres tematyczny:</t>
    </r>
    <r>
      <rPr>
        <sz val="10"/>
        <rFont val="Calibri"/>
        <family val="2"/>
        <charset val="238"/>
      </rPr>
      <t xml:space="preserve"> Działanie szkoleniowe może być zakwalifikowane do konkretnego tematu jedynie w przypadku gdy bezpośrednio dotyczyło danych zagadnień  (np. cały warsztat na dany temat a nie tylko jeden wykład). Jedno działanie szkoleniowe może dotyczyć więcej niż jednego tematu tzn., że ilość wszystkich działań nie musi być sumą działań w poszczególnych tematach.</t>
    </r>
  </si>
  <si>
    <r>
      <t xml:space="preserve">WYTYCZNE:
</t>
    </r>
    <r>
      <rPr>
        <sz val="10"/>
        <color indexed="8"/>
        <rFont val="Calibri"/>
        <family val="2"/>
        <charset val="238"/>
      </rPr>
      <t xml:space="preserve">
Proszę uwzględnić liczbę osób, które brały udział w działaniach szkoleniowych wymienionych w pkt. 6.1. Jeśli to możliwe, proszę wskazać liczbę uczestników w podziale na główne grupy interesariuszy.</t>
    </r>
  </si>
  <si>
    <r>
      <rPr>
        <b/>
        <sz val="10"/>
        <color indexed="53"/>
        <rFont val="Calibri"/>
        <family val="2"/>
      </rPr>
      <t>WYTYCZNE:</t>
    </r>
    <r>
      <rPr>
        <sz val="10"/>
        <color indexed="53"/>
        <rFont val="Calibri"/>
        <family val="2"/>
      </rPr>
      <t xml:space="preserve"> </t>
    </r>
    <r>
      <rPr>
        <sz val="10"/>
        <color indexed="8"/>
        <rFont val="Calibri"/>
        <family val="2"/>
      </rPr>
      <t xml:space="preserve">
</t>
    </r>
    <r>
      <rPr>
        <u/>
        <sz val="10"/>
        <color indexed="8"/>
        <rFont val="Calibri"/>
        <family val="2"/>
        <charset val="238"/>
      </rPr>
      <t>Ogólne</t>
    </r>
    <r>
      <rPr>
        <sz val="10"/>
        <color indexed="8"/>
        <rFont val="Calibri"/>
        <family val="2"/>
      </rPr>
      <t xml:space="preserve">: Podwójne uwzględnianie z innymi wskaźnikami jest możliwe np. jeżeli w wydarzeniu dotyczącym LEADER/RLKS pokazanym we wskaźniku 1.1. znaczny nacisk położono na współpracę. 
</t>
    </r>
    <r>
      <rPr>
        <u/>
        <sz val="10"/>
        <color indexed="8"/>
        <rFont val="Calibri"/>
        <family val="2"/>
        <charset val="238"/>
      </rPr>
      <t>Wydarzenia poświęcone współpracy:</t>
    </r>
    <r>
      <rPr>
        <sz val="10"/>
        <color indexed="8"/>
        <rFont val="Calibri"/>
        <family val="2"/>
      </rPr>
      <t xml:space="preserve"> Proszę uwzględnić wydarzenia, w ramach których znaczny nacisk został położony na współpracę np. zorganizowano specjalne sesje lub wydarzenia towarzyszące poświęcone współpracy lub wspierające wspólpracę różnych interesariuszy (szczegónie LGD) w celu przygotowania i realizacji projektów współpracy. Proszę nie uwzględniać tu wizyt studyjnych, które należy wpisać  w kolumnie "</t>
    </r>
    <r>
      <rPr>
        <i/>
        <sz val="10"/>
        <color indexed="8"/>
        <rFont val="Calibri"/>
        <family val="2"/>
        <charset val="238"/>
      </rPr>
      <t>liczba wizyt studyjnych</t>
    </r>
    <r>
      <rPr>
        <sz val="10"/>
        <color indexed="8"/>
        <rFont val="Calibri"/>
        <family val="2"/>
      </rPr>
      <t xml:space="preserve">".
</t>
    </r>
    <r>
      <rPr>
        <u/>
        <sz val="10"/>
        <color indexed="8"/>
        <rFont val="Calibri"/>
        <family val="2"/>
      </rPr>
      <t>Oferty współpracy/ poszukiwania partnerów:</t>
    </r>
    <r>
      <rPr>
        <sz val="10"/>
        <color indexed="8"/>
        <rFont val="Calibri"/>
        <family val="2"/>
      </rPr>
      <t xml:space="preserve"> Proszę uwzględnić liczbę ofert współpracy zebranych i rozpowszechnionych z wykorzystaniem określonych narzędzi (np. baza danych partnerów do współpracy, emailing do LGD). Proszę nie uwzględniać zapytań, które były rozpowszechniane z pominięciem sieci poprzez inne kanały. Proszę unikać podwójnego liczenia - jeśli oferta była udostępniona w bazie danych i przez e-mailing, policz ją jeden raz.
</t>
    </r>
    <r>
      <rPr>
        <u/>
        <sz val="10"/>
        <color indexed="8"/>
        <rFont val="Calibri"/>
        <family val="2"/>
      </rPr>
      <t>Wizyty studyjne:</t>
    </r>
    <r>
      <rPr>
        <sz val="10"/>
        <color indexed="8"/>
        <rFont val="Calibri"/>
        <family val="2"/>
      </rPr>
      <t xml:space="preserve"> Proszę uwzględnić liczbę wizyt studyjnych, których jednym z głównych celów było wsparcie współpracy pomiędzy LGD (włączając także wizyty studyjne zorganizowane w Polsce dla LGD z innych Państw Członkowskich UE. 
</t>
    </r>
    <r>
      <rPr>
        <u/>
        <sz val="10"/>
        <color indexed="8"/>
        <rFont val="Calibri"/>
        <family val="2"/>
      </rPr>
      <t>Inne inicjatywy współpracy podejmowane przez NSU</t>
    </r>
    <r>
      <rPr>
        <sz val="10"/>
        <color indexed="8"/>
        <rFont val="Calibri"/>
        <family val="2"/>
      </rPr>
      <t>: Jeżeli podejmowane są inne rodzaje inicjatyw, które nie zostały uwzględnione w tym zestawieniu, prosimy o podanie informacji na ich temat w rubryce "</t>
    </r>
    <r>
      <rPr>
        <i/>
        <sz val="10"/>
        <color indexed="8"/>
        <rFont val="Calibri"/>
        <family val="2"/>
        <charset val="238"/>
      </rPr>
      <t>Komentarze</t>
    </r>
    <r>
      <rPr>
        <sz val="10"/>
        <color indexed="8"/>
        <rFont val="Calibri"/>
        <family val="2"/>
      </rPr>
      <t>".</t>
    </r>
  </si>
  <si>
    <t>JR KSOW Województwa Lubelskiego</t>
  </si>
  <si>
    <t xml:space="preserve">W ramach Planu Operacyjnego na lata 2016-2017 do końca czerwca 2017 roku zostało zorganizowane jedno wydarzenie z Planu Komunikacyjnego tj. Konferencja informacyjna o PROW 2014-2020 dotycząca naboru wniosków na targowiska. Kwota wydatkowana na PK wynosi - 2400,00 zł. </t>
  </si>
  <si>
    <t xml:space="preserve">Liczba zorganizowanych wydarzeń w 2015 roku dotyczy przedsięwzięć zrealizowanych w ramach planu operacyjnego i komuniakacyjnego, który jest częscią planu operacyjnego. W ramach wskazanego planu operacyjnego zorganizowano 14 wydarzeń. Wskazano w poz. 1.11 operacji, natomiast pozostałe 3 zadania zostały ujete w poz.2.3 przedmiotowej tabeli.  Inne- projekt realizowany  w ramach Priorytetu I oraz III.   Przeznaczony dla dordaców oraz beneficjentów wspierających rolnictwo a jednocześnie nastawiony na promocję zasobów naturalnych. (III). Zakres tematyczny  w 2016 roku w kolumnie inne zoastał ujeta konferencja informacyjno - szkoleniowa  dla liderów działających na rzecz rozwoju obszarów wiejskich (P 2,3,6  ). Całkowity koszt gadżetów został ujety w tabeli 8 w pozycji w tym wydarzenia (tab 1) rozdyspopnowanych  podczas wydarzeń. Liczba zorganizowanych  wydarzeń w 2016 roku dotyczy przesięwzięć zrealizowanych w ramach planu operacyjnegi i komunikacyjnego. W ramach planu operacyjnego zorganizowano 24 wydarzenia. 23 to wydarzenia o zasięgu lokalnym, jedno wydarzenie o zasięgu międzynarodowym. W ramach przedięwzięcia o zasiegu miedzynarodowym została zorganizowana 2-dniowa konferencja pt: "Krowanie rozwoju Lubelszczyzny w oparciu o dobre praktyki krajowe i międzynarodowe" wraz z wyjazdem studyjnym, którego uczestnikami byli przedstawicele stowarzyszenia Bihar-Sarret Videkfejlesztesi Egyesulet z Węgier.  W ramach Planu Operacyjnego na lata 2014-2020 dokońca czerwca 2017 roku zostało zrealizowane jedno wydarzenie z Planu komunikacyjnego tj. Konferencja informacyjna o PROW 2014-2020 dotycząca noboru wniosków na targowiska. Kwota wydatkowana na PK wyniosła - 2400,00 zł.                              </t>
  </si>
  <si>
    <t>Liczba osób uczątniczących w konferencji w 2017 roku.</t>
  </si>
  <si>
    <t xml:space="preserve">W ramach jednego zadania są trzy listy np. uczestników konferencji, wystawców i np. dzieci biorących udział w konkursie. Problmetyczne jest określenie, czy mamy sumować wszystkich uczestników, jeśli na danych listach są osoby,  które brały udział zarówno w konferencji, jak i konkursach. W 2016 roku zorganizowano konferencję 2-dniową z wyjazdem studyjnym o zasiegu międzynarodowym. W konferencji wzięło udział pierwszego dnia 50 osób t tym 16 osób z Węgier, drugiego dnia konferencji uczestników było 100 osób w tym 16 osób z Węgier.    </t>
  </si>
  <si>
    <t xml:space="preserve"> Liczba odwiedzin strony oraz liczba użytkowników strony  KSOW  - 3777, natomiast strony PROW - 75309. Używane sa statystyki Piwik Statystic. Stacts.Dev.ADM-MEDIA.pl</t>
  </si>
  <si>
    <t xml:space="preserve"> Do dnia 2 lipca 2016 roku używane były stataystyki google analytics. Od 2 lipca 2016 roku wraz ze stworzeniem nowej strony internetowej używamy nowego narzędzia do prowadzenia statystyk o nazwie Piwik open Source Web Analytics.Używane strony internetowe ksow.lubelskie oraz prow.lubelskie.</t>
  </si>
  <si>
    <t>Media społecznościowe:  Facebook</t>
  </si>
  <si>
    <t xml:space="preserve">W kolumnie inne podano liczbę newsletterów. Liczba newsletterów w 2016 roku wynosi 105.  W kolumnie liczba publikacji podana jest liczba publikacji. Natomiast nakład trzech  publikacji łącznie w 2015 roku wynosił 31500 sztuk, natomiast w 2016 roku nakład łącznie 4 publikacji wyniósł 17890 sztuk.  </t>
  </si>
  <si>
    <t xml:space="preserve">Nie zostały zorganizowane w ramach wsparcia sieci konkursów, natomiast odbyły się w ramach dużych przedsięwzięć konkursy np. dla dzieci uczestniczących w festynie czy imprezie plenerowej. Były to konkursy organizowane w ramach </t>
  </si>
  <si>
    <t xml:space="preserve">  Spotkanie odbyło się w 2015 roku i było związane miedzy innymi z pracami nad Planem Operacyjnym oraz Działania na lata 2014-2020. W 2016 roku odbył się 3  spotkania Grupy Roboczej ds. KSOW, które związane były między innymi z zaopiniowaniem zmian w PO na lata 2016-2017, zaopiniowaniem informacji półrocznej na dzień 30 kwietnia 2016 r oraz spotkanie w sprawie zaopiniowania informacji półrocznej  na dzień 31 sierpnia 2016.W dniu 21.02.2017r. odbyło sie posiedzenie GR ds. KSOW na której przyjeto Plan Operacyjny. Do dnia 30 czerwca 2017 r.  w trybie obiegowym przyjęto  Uchwały dotyczące KSOW WL. W sumie do końca czerwca 2017 r. odyło sie pięć spotkań GR ds. KSOW.  </t>
  </si>
  <si>
    <t xml:space="preserve">W 2017 roku w pięciu głosowaniach/spotkaniach GR ds.. KSOW wzięło udział łącznie 62 osoby. Spotkania/głosowania związane były z opiniowaniem projektów zgłoszonych do PO 2016-2017 część 2017 r. Zaopiniowaniem PK oraz PO  KSOW na 2017 r. </t>
  </si>
  <si>
    <t>W 2017 r. odbyła się konferencja dotycząca naboru wniosków na targowiska.</t>
  </si>
  <si>
    <t xml:space="preserve">Dwa spotkania szkoleniowe w 2015 roku dla LGD w ramach współpracy i rozwiązywania problemów zgłaszanych przez partnerów KSOW. Każde szkolenia trwało jeden dzień a więc sumując dwa szkolenia to dwa dni. W 2016 roku odbyły się trzy szkolenia dla LGD w tym jedno dwudniowe w związku z tym wpisano trzy dni szkoleniowe. </t>
  </si>
  <si>
    <t xml:space="preserve">W 2017 roku w konferencji wzięło udział 62 osoby w tym 53 przedstawicieli lokalnych partnerów i organizacji oraz 9 przedstawicieli UMWL. </t>
  </si>
  <si>
    <t xml:space="preserve">W 2015 roku w ramach dwóch spotkań szkoleniowych brało udział: w jednym szkoleniu 50 osób a w drugim 390 osób. W 2016 roku w trzech szkoleniach brało udział 142 osoby z LGD oraz 23-ech przedstawicieli Urzędu Marzałkowskiego Województwa Lubelskiego. </t>
  </si>
  <si>
    <t xml:space="preserve"> Koszty funkcjonowania dotyczą: zatrudnienia pracowników KSOW oraz zakupu sprzętu, oprogramowania, licncje i wyposażenia biurowego dla SR KSOW WL. Koszty funkcjonowania na dzień 30.06.2017 r pochodzą z wynagrodzenie pracowników KSOW - 170725,91, szkolenia pracowników KSOW - 450 zł oraz zakupu materiałów biurowych - 571,42 zł. </t>
  </si>
  <si>
    <t>W ramach PK w 2017 roku została wydana kwota 2 400,00 zł</t>
  </si>
  <si>
    <t xml:space="preserve">W ramach PK w 2017 roku został wydana kwota 323 zł na prowadzenie strony internetowej, która nie została ujęta w załączniku nr 1 stan na dzień 30.06.2017 r. </t>
  </si>
  <si>
    <t>Zestawienie zbiorcze</t>
  </si>
  <si>
    <t>Ministerstwo Rolnictwa i Rozwoju Wsi</t>
  </si>
  <si>
    <r>
      <t>Cel i kontekst Wspólnej Statystyki Sieci</t>
    </r>
    <r>
      <rPr>
        <sz val="12"/>
        <color rgb="FF000000"/>
        <rFont val="Calibri"/>
        <family val="2"/>
        <charset val="1"/>
      </rPr>
      <t>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t>
    </r>
    <r>
      <rPr>
        <b/>
        <u/>
        <sz val="12"/>
        <color rgb="FF000000"/>
        <rFont val="Calibri"/>
        <family val="2"/>
        <charset val="238"/>
      </rPr>
      <t>Powiązania między Wspólną Statystyką Sieci i obligatoryjnymi wskaźnikami monitorowania określonymi w rozporządzeniu wykonawczym KE (UE) nr 808/2014</t>
    </r>
    <r>
      <rPr>
        <sz val="12"/>
        <color rgb="FF000000"/>
        <rFont val="Calibri"/>
        <family val="2"/>
        <charset val="1"/>
      </rPr>
      <t>Celem Wspólnej Statystyki Sieci jest ułatwienie zbierania danych do obligatoryjnych wskaźników. Wszystkie podmioty zaangażowane w realizację zadań sieci wypełniają tylko arkusz</t>
    </r>
    <r>
      <rPr>
        <i/>
        <sz val="12"/>
        <color rgb="FF000000"/>
        <rFont val="Calibri"/>
        <family val="2"/>
        <charset val="238"/>
      </rPr>
      <t>"Wspólna Statystyka Sieci".Definicje i wytyczne do poszczególnych wskaźnikówW opisie poszczególnych wskaźników/mierników znajdują się wytyczne dla każdego wskaźnika. W sytuacji, kiedy wytyczne nie są jasne albo mierniki/wskaźniki nie są możliwe do uzupełnienia - prosimy wypełnić rubrykę "Komentarze". 
 Zakres tematyczny został powiązany z priorytetami PROW 2014-2020.Udział w budżecieSzacowany podział budżetu (Tabela 8) ma na celu dostarczenie informacji jak proporcjonalnie środkirocznego budżetu sieci zostały przeznaczone na odpowiednie działania objęte wskaźnikami. Proszę podaj budzet dla poszczególnych kategorii i wskaż trudności w komentarzu.</t>
    </r>
  </si>
  <si>
    <r>
      <t>Komentarze</t>
    </r>
    <r>
      <rPr>
        <sz val="10"/>
        <color rgb="FF000000"/>
        <rFont val="Calibri"/>
        <family val="2"/>
        <charset val="1"/>
      </rPr>
      <t>(proszę wskazać co jest rozumiane przez kategorię "inne")</t>
    </r>
  </si>
  <si>
    <t>1) Targi AgroPark w Lublinie,2)  Targi Agrotech w Kielcach
3) wydarzenie: 
"Transfer wiedzy i działalność informacyjna" (spotkanie podczas Sierpeckich Dni Rolnika 2017 w Studzieńcu).
4) Konferencja dot. działań PROW 2014-2020
.Ad4)Restrukturyzacja małych gospodarstw, Premie na rozpoczęcie działalności pozarolniczej, Wsparcie inwestycji w środki zapobiegawcze, których celem jest ograniczenia skutków prawdopodobnych klęsk żywiołowych, niekorzystnych zjawisk nklimatycznych i katastrof, Działanie rolno-środowiskowo-klimatyczne.1) "Olimpiada Wiedzy i Umiejętności Rolniczych" (zakup nagród rzeczowych dla laureatów);
2) "Olimpiada Wiedzy o Żywieniu i Żywności" (zakup nagród rzeczowych dla laureatów);
3) Konferencja dla dyrektorów szkół rolniczych MRiRw oraz krajowego Centrum edukacji Rolniczej w Brwinowie;
4) 7 seminariów pod nazwą: Integracja środowiska turystyki wiejskiej i agroturystyki z przedstawicielami branży turystycznej (priotytet 5 i 6);
5) organizacja stoiska "Odpoczywaj na wsi" na 7 imprezach targowo-plenerowych (priotytet 5 i 6)
6) organizacja stoiska "Odpoczywaj na wsi" na targach ITB w Berlinie  (piorytet 6 z naciskiem na promowanie rozwoju gospodarczego na obszarach wiejskich)
7) Targi Grune Woche w Berlinie -  Poprawa konkurencyjności wszystkich rodzajów gospodarki
rolnej i zwiększenie rentowności gospodarstw
rolnych.
8) Targi  BioFch w Norymberdze - Zwiększanie włączenia społecznego, ograniczanie
ubóstwa i promowanie rozwoju gospodarczego na obszarach
wiejskich.
9) Spotkanie informacyjne dla kadry zarządzającej jednostkami doradztwa rolniczego w CDR oddzial w Krakowie
10) Spotkanie dla kadry doradczej w PIW "Nauka Doradztwu Rolniczemu"Obszar tematyczny: Promocja zrównoważonego rozwoju obszarów wiejskich (operacja: Organizacja XL oraz XLI Ogólnopolskiego Konkursu Jakości Prac Scaleniowych promującego doświadczenia i najlepsze stosowane praktyki)  Spotkanie dotyczące doświadczeń europejskich we wdrażaniu podejścia Leader i RLKS w dniu 09.06.2016 r. dwa wydarzenia - "Transfer wiedzy i działalność informacyjna" (spotkanie z nauczycielami szkół rolniczych MRiRW oraz spotkanie podczas Sierpeckich Dni Rolnika w Studzieńcu).
Spotkanie podczas Sierpeckich Dni Rolnika w Studzieńcu miało charakter regionalny.
Spotkanie z nauczycielami ze szkół prowadzonych przez MRiRW miało charakter ogólnopolski. 6 wydarzeń:
1) Konferencja dla dyrektorów szkół rolniczych prowadzonych przez MRiRW oraz dyrektora KCER dot. PROW 2014-2020;
2) Olimpiady Wierdzy i Umiejętności dla uczniów szkół ponadgimnazjalnych. (2 olimpiady: Olimpiada Wiedzy o Żźywieniu i Żywności i Olimpiada Wiedzy i Umiętności Rolniczych)
3) projekt o zasięgu międzynarodowym - VIII Miedzynarodowe Targi Turytyki Wiejskiej i Agroturytyki AGROTRAVEL (8-10 kwietnia 2016 r.), w tym Międzynarodowy panel dyskusyjny w ramach Forum Turystyki Wiejskiej i Agroturystyki pt.: Miejsce turystyki wiejskiej w nowoczesnej gospodarce. (zakres tematyczny mieszany)
4) Wizyta studyjna AGROTRIP (priorytet 6 i 8 - Promowanie włączenia społecznego, zmniejszenia ubóstwa oraz rozwoju gospodarczego na obszarach wiejskich
Promowanie efektywnego gospodarowania zasobami i wspieranie przechodzenia w sektorach rolnym, spożywczym i leśnym na gospodarkę niskoemisyjną i odporną na zmianę klimatu.)
5) Stoisko "Odpoczywaj na wsi" (priorytet 6 i 8 - jak wyżej) 1. Konkurs "Sposób na sukces" 2. Konkurs na najlepsze wydawnictwo ODR cztery spotkania łącznie, w tym: (1)  jedno spotkanie dla działania  organizacja spotkań informacyjnych dla kadry kierowniczej instytutów naukowo-badawczych podległych Ministrowi Rolnictwa i Rozwoju Wsi ; (2) trzy spotkania dla działania -Organizacja cyklu wizyt doradców rolniczych w instytutach naukowo-badawczych Targi AgroPark w Lublinie, targi Agrotech w Kielcach, Regionalna Wystawa Zwierząt Hodowlanych w Szepietowie, targi Agrotech w Minikowie, Krajowa Wystawa Rolnicza oraz Dożynki Jasnogórskie w Częstochowie, Dni z Doradztwem Rolniczym w Siedlcach, Dożynki Prezydenckie w Spale, targi AGROSHOW w Bednarach. projekt o zasięgu miedzynarodowym - Targi Grune Woche w Berlinie, projekt o zasięgu miedzynarodowym - Targi BioFach w Norymberdze, Targi Natura Food w Łodzi, Finał V edycji ogólnopolskiego konkursu dla szkół gastronomicznych Krajowy Kongres Rolnictwa Rzeczypospolitej Polskiej</t>
  </si>
  <si>
    <t>1) "Olimpiada Wiedzy i Umiejętności Rolniczych" (zakup nagród rzeczowych dla laureatów);
2) "Olimpiada Wiedzy o Żywieniu i Żywności" (zakup nagród rzeczowych dla laureatów);
3) Konferencja dla dyrektorów szkół rolniczych MRiRw oraz krajowego Centrum edukacji Rolniczej w Brwinowie;
4) 7 seminariów pod nazwą: Integracja środowiska turystyki wiejskiej i agroturystyki z przedstawicielami branży turystycznej (priotytet 5 i 6);
5) organizacja stoiska "Odpoczywaj na wsi" na 7 imprezach targowo-plenerowych (priotytet 5 i 6)
6) organizacja stoiska "Odpoczywaj na wsi" na targach ITB w Berlinie  (piorytet 6 z naciskiem na promowanie rozwoju gospodarczego na obszarach wiejskich)
7) Dane ze stron targowych, liczba odwiedzających tragi:  Grune Woche w Berlinie: 400000; BioFach 51453
8) Spotkanie informacyjne dla kadry zarządzającej jednostkami doradztwa rolniczego w CDR oddzial w Krakowie
9) Spotkanie dla kadry doradczej w PIW "Nauka Doradztwu Rolniczemu"
Obszar tematyczny: Promocja zrównoważonego rozwoju obszarów wiejskich (operacja: Organizacja XL oraz XLI Ogólnopolskiego Konkursu Jakości Prac Scaleniowych promującego doświadczenia i najlepsze stosowane praktyki)  - 78 osób  Spotkanie dotyczące doświadczeń europejskich we wdrażaniu podejścia Leader i RLKS w dniu 09.06.2016 r. - 40 osób dwa wydarzenia - "Transfer wiedzy i działalność informacyjna" (spotkanie z nauczycielami szkół rolniczych MRiRW oraz spotkanie podczas Sierpeckich Dni Rolnika w Studzieńcu).
Spotkanie podczas Sierpeckich Dni Rolnika w Studzieńcu miało charakter regionalny- 200 osób.
Spotkanie z nauczycielami ze szkół prowadzonych przez MRiRW miało charakter ogólnopolski - 100 osób. 5 wydarzeń:
1) Konferencja dla dyrektorów szkół rolniczych prowadzonych przez MRiRW oraz dyrektora KCER dot. PROW 2014-2020 - 68 osób;
2) Olimpiady Wierdzy i Umiejętności dla uczniów szkół ponadgimnazjalnych. (2 olimpiady: Olimpiada Wiedzy o Żźywieniu i Żywności i Olimpiada Wiedzy i Umiętności Rolniczych) - 65 osób
3) projekt o zasięgu międzynarodowym - VIII Miedzynarodowe Targi Turytyki Wiejskiej i Agroturytyki AGROTRAVEL (8-10 kwietnia 2016 r.), w tym Międzynarodowy panel dyskusyjny w ramach Forum Turystyki Wiejskiej i Agroturystyki pt.: Miejsce turystyki wiejskiej w nowoczesnej gospodarce. (priorytet 6) - 20000 uczestników
4) Wizyta studyjna AGROTRIP (priorytet 6) - 21 osób
5) Stoisko "Odpoczywaj na wsi" (priorytet 6 i 8 - jak wyżej) - 5000 odwiedzających 1. Konkurs "Sposób na sukces" 2. Konkurs na najlepsze wydawnictwo ODR (razem 166 osób) działanie : (1) organizacja spotkań informacyjnych dla kadry kierowniczej instytutów naukowo-badawczych podległych Ministrowi Rolnictwa i Rozwoju Wsi - liczba uczestników 90 osób ; (2) Organizacja cyklu wizyt doradców rolniczych w instytutach naukowo-badawczych łaczna liczba uczestników 177 Dane ze stron targowych lub informacja od organizatora targów, liczba oób odiwedzjących targi: targi AgroPark w Lublinie 22.104;  Targi Agrotech w Kielcach 64.330;  Wystawa Zwierząt Hodowlanych w Szepietowie 100.000;  targi Agrotech w Minikowie 35.000; Krajowa Wystawa Rolnicza oraz Dożynki Jasnogórskie w Częstochowie 80.000;  Dni z Doradztwem Rolniczym w Siedlcach 100.000; Dożynki Prezydenckie 15.000; targi AGROSHOW  w Bednarach 140.000. Dane ze stron targowych, liczba osób odwiedzających targi: projekt o zasięgu miedzynarodowym- Grune Woche w Berlinie  380.000;  projekt o zasięgu miedzynarodowym- BioFach 48.533;  Natura Food 12.000; liczba uczestników finału 12052 edycji ogólnoplskiego konkursu dla szkół gastronomicznych 52 osoby. Krajowy Kongres Rolnictwa Rzeczypospolitej Polskiej - 73 osoby</t>
  </si>
  <si>
    <t xml:space="preserve">      </t>
  </si>
  <si>
    <t xml:space="preserve">1) folder „Hity Turystyki Wiejskiej – Polska” w 5 wersjach językowych w ramach projektu "Odpoczywaj na wsi" (priotytet 5 i 6) 1.Kalendarze na 2017 r. promujace działania obszarowe PROW 2014-2020;                                                                                                                                                                                                                                                                                                                            2. Drukowane materiały informacyjno-promocyjne dla działań obszarowych PROW 2014-2020.   600 egz. kalendarzy na 2017 r., power banki 150 szt., wiatromierze 33 szt., deszczomierze 33 szt., testery pH 33 szt. Informator o instytutach  badawczych nadzorowanych przez Ministra Rolnictwa i Rozwoju Wsi- liczba egzemplarzy 1000 sztuk Wydanie publikacji informacyjnej  z zakresu systemu Chronionych Nazw Pochodzenia, Chronionych Oznaczeń Geograficzych, Gwarantowanych Tradycyjnych Specjalności- roztrzygnięcie konkursu na przepis kulinarny ( 5.000 egz.);  zamieszczenie w Kalendarzu Rolników na 2017 rok materiału informacyjno-promocyjnego dot. PROW 2014-2020 (1 artykuł 1 tj. 18 stron w nakładzie 250.000 ); wykonanie materiałów promocyjnych PROW 2014-2020 ( 18.200 sztuk). </t>
  </si>
  <si>
    <t xml:space="preserve"> Kampania informacyjno-edukacyjna "To się opłaca": premia dla młodych rolników, tworzenie grup i organizacji producentów, transfer wiedzy i innowacji, małe przetwórstwo, zalesianie, modernizacja gopsodarstw rolnych w zakresie produkcji prosiąt     Kampania informacyjno-edukacyjna dotycząca PROW 2014-2020 na antenie Telwizji Polskiej S.A - Program 1 w audycj pt. "Magazyn Rolniczy" (6); Kampania informacyjno-edukacyjna dotycząca PROW 2014-2020 na antenie Telwizji Polskiej S.A - Program 1 w audycj pt. "Dzień Dobry w Sobotę";  (13);Kampania informacyjno-edukacyjna dotycząca PROW 2014-2020 na antenie Telwizji Polskiej S.A - Program 1 w audycj pt. Wielki Test o Żywności. Polska Smakuje" (1) Zorganizowanie i przeprowadzenie V edycji Konkursu dla szkół gastronomicznych na przepisy wykorzystujące produkty uczestniczące w systemie Chronionych Nazw Pochodzenia, Chronionych Oznaczeń Geograficznych oraz Gwarantowanych Tradycyjnych Specjalności;
produkcja i emisja audycji rolniczej o charakterze informacyjno-publicystycznym pod nazwą "Forum Rolnika" na antenie rozgłośni regionalnej: Polskiego Radia-Regionalnej Rozgłośni w Olsztynie Radio Olsztyn S.A. (16),
emisja audycji rolniczej o charakterze informacyjno-publicystycznym pod nazwą "Forum Rolnika" na antenach rozgłośni regionalnych: Polskiego Radia-Regionalnej Rozgłośni w Lublinie „Radio Lublin” S.A., Polskiego Radia-Regionalnej Rozgłośni w Białymstoku „Radio Białystok” S.A., Polskiego Radia-Regionalnej Rozgłośni w Koszalinie „Radio Koszalin” S.A., Polskiego Radia-Regionalnej Rozgłośni w Poznaniu „Radio Merkury” S.A., Polskiego Radia-Regionalnej Rozgłośni w Bydgoszczy "Polskie Radio Pomorza i Kujaw" S.A., Polskiego Radia-Regionalnej Rozgłośni w Warszawie „Radio Dla Ciebie” S.A., "Polskiego Radia Rzeszów"- Rozgłośni Regionalnej w Rzeszowie S.A.,  Polskiego Radia-Regionalnej Rozgłośni w Szczecinie „Polskie Radio Szczecin” S.A., Polskiego Radia-Regionalnej Rozgłośni w Zielonej Górze „Radio Zachód” S.A., Polskiego Radia-Regionalnej Rozgłośni w Kielcach „Radio Kielce” S.A.(132),
 Polskiego Radia-Regionalnej Rozgłośni w Łodzi „Radio Łódź” S.A.; Produkcja i emisja 3-minutowych audycji AgroFakty, na antenie Programu Pierwszego Polskiego Radia S.A. (14) </t>
  </si>
  <si>
    <t>Komentarze(proszę wskazać co jest rozumiane przez kategorię "inne")</t>
  </si>
  <si>
    <r>
      <t>Komentarze</t>
    </r>
    <r>
      <rPr>
        <sz val="12"/>
        <color rgb="FF000000"/>
        <rFont val="Calibri"/>
        <family val="2"/>
        <charset val="238"/>
      </rPr>
      <t>(</t>
    </r>
    <r>
      <rPr>
        <sz val="10"/>
        <color rgb="FF000000"/>
        <rFont val="Calibri"/>
        <family val="2"/>
        <charset val="238"/>
      </rPr>
      <t>proszę wskazać co jest rozumiane przez kategorię "inne")</t>
    </r>
  </si>
  <si>
    <t>...ENRD CP</t>
  </si>
  <si>
    <t>7 posiedzenie ESOW 
spotkanie Sieci Morza Bałtyckiego EFRROW w Helsinkach 
spotkanie "Role of bottom-up approach renewing ESI Funds for 2021-2027" organizowanej przez ELARD oraz Estonian National Rural Network    Wyjazd 1 osoby z SAR do Brukseli w dn. 30.11-01.12.2016 r. w związku z udziałem w posiedzeniu Zgromadzenia Sieci Obszarów Wiejskich  Udział 1 osoby z BPT w V i VI posiedzeniu Grupy Sterującej ds. ESROW w Brukseli oraz w posiedzeniu Zgromadzenia ESOW</t>
  </si>
  <si>
    <r>
      <t>Przetłumaczone: deklaracja ELARD i nota prasowa ELARD, relacja z Social Hubs, relacja z seminarium 30.03.2017, informacja o seminarium 13.06.2017. upowszechnione: 1 dobra praktyka LGD Razem dla Radomki opublikowana na facebooku, Cork; EIP-AGRI W czym możemy pomóc?, poszukiwanie ekspertów do grup fokusowych EIP-AGRI.</t>
    </r>
    <r>
      <rPr>
        <sz val="10"/>
        <color rgb="FFFF0000"/>
        <rFont val="Calibri"/>
        <family val="2"/>
        <charset val="238"/>
        <scheme val="minor"/>
      </rPr>
      <t xml:space="preserve"> </t>
    </r>
  </si>
  <si>
    <r>
      <t>Komentarze</t>
    </r>
    <r>
      <rPr>
        <sz val="10"/>
        <color rgb="FF000000"/>
        <rFont val="Calibri"/>
        <family val="2"/>
        <charset val="238"/>
      </rPr>
      <t>(proszę wskazać co jest rozumiane przez kategorię "inne")</t>
    </r>
  </si>
  <si>
    <t>1. Szkolenie dotyczące wdrażania Działania rolno-środowiskowo-klimatycznego  i Działania „Rolnictwo ekologiczne” w ramach PROW 2014-2020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1. Szkolenie uzupełniające dla doradców rolnośrodowiskowych i eskpertów przyrodniczych 2. Spotkanie informacyjne dla kadry zarządzającej jednostkami doradztwa rolniczego (nie było finansowane z PK) * Szkolenia z zakresu pierwszej pomocy skierowane były do właścicieli zagród edukacyjnych, członków ich rodzin oraz osób zainteresowanych zarejestrowaniem swojej zagrody edukacyjnej w Ogólnopolskiej Sieci Zagród Edukacyjnych. Odbyły się w 11 następujących województwach: dolnośląskim, lubelskim, lubuskim, łódzkim, mazowieckim, opolskim, podkarpackim, śląskim, świętokrzyskim, wielkopolskim oraz zachodniopomorskim. Szkolenia odbyły się w siedzibach wojewódzkich ośrodków doradztwa rolniczego, były to szkolenia jednodniowe 
szkolenia w ramach KSOW dot. naboru projektó wi zmiany PO 2016-2017 styczeń 2017</t>
  </si>
  <si>
    <t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 W szkoleniach brali udział właściciele Zagród Edukacyjnych zagród edukacyjnych, członkowie ich rodzin oraz osoby zainteresowane zarejestrowaniem swojej zagrody edukacyjnej w Ogólnopolskiej Sieci Zagród Edukacyjnych.  </t>
  </si>
  <si>
    <t>7. Wsparcie transnarodowej i międzyterytorialnej współpracy w ramach LEADER/RLKS i wspólnych inicjatyw</t>
  </si>
  <si>
    <r>
      <t>Komentarze</t>
    </r>
    <r>
      <rPr>
        <sz val="10"/>
        <color rgb="FF000000"/>
        <rFont val="Calibri"/>
        <family val="2"/>
        <charset val="238"/>
      </rPr>
      <t>(proszę wskazać także inne kategorie)</t>
    </r>
  </si>
  <si>
    <t>W ramach kosztów funkcjonowania wliczono koszty delegacji krajowych, szkoleń, kursów językowych, wynagrodzeń osobowych, bezosobowych, ekspertyz, ksiegi wizualizacji, utrzymania portalu KSOW, usług remontowych, wyposażenia stanowisk pracy osób zajmujacych się KSOW, tłumaczeń, organizacji spotkań, materiałów, usług teleinformatycznych, eksploatacyjnych przypadających na pracowników zaangażowanych w realizację zadań w ramach KSOW.</t>
  </si>
  <si>
    <t>PO</t>
  </si>
  <si>
    <t>FS</t>
  </si>
  <si>
    <t>FS 8</t>
  </si>
  <si>
    <t>FS w tab.1-7</t>
  </si>
  <si>
    <r>
      <rPr>
        <b/>
        <sz val="10"/>
        <color indexed="8"/>
        <rFont val="Calibri"/>
        <family val="2"/>
        <charset val="238"/>
      </rPr>
      <t>2016 rok</t>
    </r>
    <r>
      <rPr>
        <sz val="10"/>
        <color indexed="8"/>
        <rFont val="Calibri"/>
        <family val="2"/>
        <charset val="238"/>
      </rPr>
      <t xml:space="preserve">
międzynarodow - Grune Woche - 12 (wystawcy), 400.000 (odwiedzający);Forum Rolników Pomorza i Kujaw - 78,
krajowe: Festiwal smaku - 35012,  Gęsina - 5745; Turniej - 8585
</t>
    </r>
    <r>
      <rPr>
        <b/>
        <sz val="10"/>
        <color indexed="8"/>
        <rFont val="Calibri"/>
        <family val="2"/>
        <charset val="238"/>
      </rPr>
      <t xml:space="preserve">2017 r.
</t>
    </r>
    <r>
      <rPr>
        <sz val="10"/>
        <color indexed="8"/>
        <rFont val="Calibri"/>
        <family val="2"/>
        <charset val="238"/>
      </rPr>
      <t>międzynarodowe - BioFach'2017 i  Chorwacja  - uczestnicy wizyty (40 + 25), krajowe - uczestnicy Forum Pszczelarzy (811)</t>
    </r>
  </si>
  <si>
    <r>
      <t xml:space="preserve">                                                                                                                                                                                                                                             </t>
    </r>
    <r>
      <rPr>
        <b/>
        <sz val="10"/>
        <color indexed="8"/>
        <rFont val="Calibri"/>
        <family val="2"/>
        <charset val="238"/>
      </rPr>
      <t xml:space="preserve">2016                                                                                                                                                                                                                                                                                                                </t>
    </r>
    <r>
      <rPr>
        <sz val="10"/>
        <color indexed="8"/>
        <rFont val="Calibri"/>
        <family val="2"/>
        <charset val="238"/>
      </rPr>
      <t xml:space="preserve">wydarzenia krajowe:                                                                                                                                                                                                                                                                                            1. Wystawa zwierząt.                                                                                                                                                                                                                                                                                           2. XX Ogólnopolskie Pokazy Konne XV Ogólnopolski Czempionat Koni Zimnokrwistych III Specjalistyczna Wystawa Koni Ardeńskich.                                  3. Udział wiosek tematycznych w AGROTRAVEL.                                                                                                                                                                                                                                4. Targi "Smaki Regionów" w Poznaniu. </t>
    </r>
  </si>
  <si>
    <r>
      <rPr>
        <b/>
        <sz val="10"/>
        <color indexed="8"/>
        <rFont val="Calibri"/>
        <family val="2"/>
        <charset val="238"/>
      </rPr>
      <t>2016</t>
    </r>
    <r>
      <rPr>
        <sz val="10"/>
        <color indexed="8"/>
        <rFont val="Calibri"/>
        <family val="2"/>
        <charset val="238"/>
      </rPr>
      <t xml:space="preserve">                                                                                                                                                                                                                                                                                                          wydarzenia krajowe:                                                                                                                                                                                                                                                                                           1. 1. Wystawa zwierząt:  25 040 (w tym wystawcy i osoby zwiedzające)                                                                                                                                                                                                                                                                             2. XX Ogólnopolskie Pokazy Konne XV Ogólnopolski Czempionat Koni Zimnokrwistych III Specjalistyczna Wystawa Koni Ardeńskich: 4040 (w tym wystawcy i osoby uczestniczące w wydarzeniu)                                                                                                                                                                                                                                                                                                                 3. Udział wiosek tematycznych w AGROTRAVEL: 16 wystawców, liczba zwiedzających - 20 tys.                                                                                                                            4. Targi "Smaki Regionów" w Poznaniu 4 przedstawicieli Urzędu Marszałkowskiego Województwa Warmińsko-Mazurskiego.                                    </t>
    </r>
  </si>
  <si>
    <r>
      <t xml:space="preserve">
</t>
    </r>
    <r>
      <rPr>
        <b/>
        <sz val="10"/>
        <color indexed="8"/>
        <rFont val="Calibri"/>
        <family val="2"/>
        <charset val="238"/>
      </rPr>
      <t>2016</t>
    </r>
    <r>
      <rPr>
        <sz val="10"/>
        <color indexed="8"/>
        <rFont val="Calibri"/>
        <family val="2"/>
        <charset val="238"/>
      </rPr>
      <t xml:space="preserve"> - Punkty informacyjne SIR podczas imprez organizowanych przez DODR.
</t>
    </r>
    <r>
      <rPr>
        <b/>
        <sz val="10"/>
        <color indexed="8"/>
        <rFont val="Calibri"/>
        <family val="2"/>
        <charset val="238"/>
      </rPr>
      <t xml:space="preserve">2017 </t>
    </r>
    <r>
      <rPr>
        <sz val="10"/>
        <color indexed="8"/>
        <rFont val="Calibri"/>
        <family val="2"/>
        <charset val="238"/>
      </rPr>
      <t>- Punkty informacyjne SIR podczas imprez, szkoleń i konferencji organizowanych/współorganizowanych przez DODR.</t>
    </r>
  </si>
  <si>
    <r>
      <rPr>
        <b/>
        <sz val="10"/>
        <color theme="1"/>
        <rFont val="Calibri"/>
        <family val="2"/>
        <charset val="238"/>
        <scheme val="minor"/>
      </rPr>
      <t>2016:</t>
    </r>
    <r>
      <rPr>
        <sz val="10"/>
        <color theme="1"/>
        <rFont val="Calibri"/>
        <family val="2"/>
        <charset val="238"/>
        <scheme val="minor"/>
      </rPr>
      <t xml:space="preserve"> 1. Publikacje internetowe na stronie: http://podr.pl/sir/ (16)  ; 2. ulotka informacyjna SIR finansowana z Planu operacyjnego (nakład: 9 802);                               3. artykuły w czasopiśmie Pomorskie Wieści Rolnicze ( 7 );                                                                                                                                                                                      
</t>
    </r>
    <r>
      <rPr>
        <b/>
        <sz val="10"/>
        <color theme="1"/>
        <rFont val="Calibri"/>
        <family val="2"/>
        <charset val="238"/>
        <scheme val="minor"/>
      </rPr>
      <t>2017</t>
    </r>
    <r>
      <rPr>
        <sz val="10"/>
        <color theme="1"/>
        <rFont val="Calibri"/>
        <family val="2"/>
        <charset val="238"/>
        <scheme val="minor"/>
      </rPr>
      <t xml:space="preserve"> : Publikacje internetowe na stronie: http://podr.pl/sir/ (14)  ;  2. artykuły w czasopiśmie Pomorskie Wieści Rolnicze ( 6) </t>
    </r>
  </si>
  <si>
    <r>
      <rPr>
        <b/>
        <sz val="11"/>
        <rFont val="Calibri"/>
        <family val="2"/>
        <charset val="238"/>
        <scheme val="minor"/>
      </rPr>
      <t>Komentarz:</t>
    </r>
    <r>
      <rPr>
        <sz val="11"/>
        <rFont val="Calibri"/>
        <family val="2"/>
        <charset val="238"/>
        <scheme val="minor"/>
      </rPr>
      <t xml:space="preserve"> osoby biorące w szkoleniach to rolnicy, a w tym członkowie  grup producenckich, młodzi rolnicy planujacy rozwoj swoich gospodarstw i zainteresowani wdrazaniem innowacji z udziałem srodków w ramach PROW 2014-2020, a także przedstawiciele podmiotów zainetesowanych rozwojem kuchni regionalnej i produktów tradycyjnych z województwa świętokrzyskiego (rolnicy produkujący zywność tradycyjną, restauratorzy, przetwórcy żywności, właściciele gospodarstw agroturystycznych) </t>
    </r>
  </si>
  <si>
    <t xml:space="preserve">GR ds. KSOW oraz GTM      </t>
  </si>
  <si>
    <r>
      <rPr>
        <b/>
        <sz val="11"/>
        <rFont val="Calibri"/>
        <family val="2"/>
        <charset val="238"/>
        <scheme val="minor"/>
      </rPr>
      <t xml:space="preserve">1. ROK 2016: </t>
    </r>
    <r>
      <rPr>
        <sz val="11"/>
        <rFont val="Calibri"/>
        <family val="2"/>
        <charset val="238"/>
        <scheme val="minor"/>
      </rPr>
      <t>dotyczy 1 wyjazdu studyjnego zorganizowanego dla przedstawicieli LGD w celu nawiązania współpracy z LGD z terenu Litwy.</t>
    </r>
  </si>
  <si>
    <t>Załącznik nr 2 do III Informacji półrocznej z realizacji Planu operacyjnego KSOW na lata 2016-2017 (stan na dzień 30 czerwca 2017 r.)</t>
  </si>
  <si>
    <t>Efekty realizacji działań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</si>
</sst>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zł&quot;;[Red]\-#,##0.00\ &quot;zł&quot;"/>
    <numFmt numFmtId="44" formatCode="_-* #,##0.00\ &quot;zł&quot;_-;\-* #,##0.00\ &quot;zł&quot;_-;_-* &quot;-&quot;??\ &quot;zł&quot;_-;_-@_-"/>
    <numFmt numFmtId="164" formatCode="#,##0.00\ &quot;zł&quot;"/>
    <numFmt numFmtId="165" formatCode="#,##0.00\ _z_ł"/>
    <numFmt numFmtId="166" formatCode="[$-415]General"/>
  </numFmts>
  <fonts count="176">
    <font>
      <sz val="11"/>
      <color theme="1"/>
      <name val="Calibri"/>
      <family val="2"/>
      <charset val="238"/>
      <scheme val="minor"/>
    </font>
    <font>
      <b/>
      <sz val="11"/>
      <color theme="1"/>
      <name val="Calibri"/>
      <family val="2"/>
      <charset val="238"/>
      <scheme val="minor"/>
    </font>
    <font>
      <b/>
      <sz val="22"/>
      <color indexed="8"/>
      <name val="Calibri"/>
      <family val="2"/>
    </font>
    <font>
      <sz val="22"/>
      <color theme="1"/>
      <name val="Calibri"/>
      <family val="2"/>
      <scheme val="minor"/>
    </font>
    <font>
      <b/>
      <sz val="24"/>
      <color indexed="8"/>
      <name val="Calibri"/>
      <family val="2"/>
    </font>
    <font>
      <b/>
      <u/>
      <sz val="14"/>
      <color indexed="8"/>
      <name val="Calibri"/>
      <family val="2"/>
      <charset val="238"/>
    </font>
    <font>
      <sz val="12"/>
      <color indexed="8"/>
      <name val="Calibri"/>
      <family val="2"/>
      <charset val="238"/>
    </font>
    <font>
      <b/>
      <u/>
      <sz val="12"/>
      <color indexed="8"/>
      <name val="Calibri"/>
      <family val="2"/>
      <charset val="238"/>
    </font>
    <font>
      <sz val="12"/>
      <color indexed="8"/>
      <name val="Calibri"/>
      <family val="2"/>
    </font>
    <font>
      <i/>
      <sz val="12"/>
      <color indexed="8"/>
      <name val="Calibri"/>
      <family val="2"/>
      <charset val="238"/>
    </font>
    <font>
      <b/>
      <sz val="12"/>
      <color indexed="8"/>
      <name val="Calibri"/>
      <family val="2"/>
    </font>
    <font>
      <b/>
      <sz val="16"/>
      <color indexed="8"/>
      <name val="Calibri"/>
      <family val="2"/>
    </font>
    <font>
      <b/>
      <sz val="14"/>
      <color indexed="8"/>
      <name val="Calibri"/>
      <family val="2"/>
    </font>
    <font>
      <b/>
      <sz val="11"/>
      <color indexed="8"/>
      <name val="Calibri"/>
      <family val="2"/>
    </font>
    <font>
      <b/>
      <sz val="11"/>
      <color indexed="8"/>
      <name val="Calibri"/>
      <family val="2"/>
      <charset val="238"/>
    </font>
    <font>
      <sz val="10"/>
      <color indexed="8"/>
      <name val="Calibri"/>
      <family val="2"/>
    </font>
    <font>
      <b/>
      <sz val="10"/>
      <color indexed="8"/>
      <name val="Calibri"/>
      <family val="2"/>
    </font>
    <font>
      <i/>
      <sz val="10"/>
      <color indexed="8"/>
      <name val="Calibri"/>
      <family val="2"/>
      <charset val="238"/>
    </font>
    <font>
      <sz val="10"/>
      <color indexed="8"/>
      <name val="Calibri"/>
      <family val="2"/>
      <charset val="238"/>
    </font>
    <font>
      <b/>
      <sz val="10"/>
      <color indexed="8"/>
      <name val="Calibri"/>
      <family val="2"/>
      <charset val="238"/>
    </font>
    <font>
      <sz val="10"/>
      <color rgb="FFFF0000"/>
      <name val="Calibri"/>
      <family val="2"/>
      <charset val="238"/>
    </font>
    <font>
      <sz val="11"/>
      <color indexed="8"/>
      <name val="Calibri"/>
      <family val="2"/>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1"/>
      <color rgb="FF000000"/>
      <name val="Calibri"/>
      <family val="2"/>
      <scheme val="minor"/>
    </font>
    <font>
      <b/>
      <sz val="11"/>
      <color theme="1"/>
      <name val="Calibri"/>
      <family val="2"/>
      <scheme val="minor"/>
    </font>
    <font>
      <sz val="10"/>
      <name val="Calibri"/>
      <family val="2"/>
      <charset val="238"/>
    </font>
    <font>
      <sz val="16"/>
      <color indexed="8"/>
      <name val="Calibri"/>
      <family val="2"/>
    </font>
    <font>
      <b/>
      <sz val="12"/>
      <color indexed="8"/>
      <name val="Calibri"/>
      <family val="2"/>
      <charset val="238"/>
    </font>
    <font>
      <sz val="10"/>
      <color indexed="11"/>
      <name val="Calibri"/>
      <family val="2"/>
      <charset val="238"/>
    </font>
    <font>
      <sz val="9"/>
      <color theme="1"/>
      <name val="Calibri"/>
      <family val="2"/>
      <scheme val="minor"/>
    </font>
    <font>
      <b/>
      <sz val="16"/>
      <color theme="1"/>
      <name val="Calibri"/>
      <family val="2"/>
      <scheme val="minor"/>
    </font>
    <font>
      <b/>
      <sz val="14"/>
      <color theme="1"/>
      <name val="Calibri"/>
      <family val="2"/>
      <charset val="238"/>
      <scheme val="minor"/>
    </font>
    <font>
      <b/>
      <sz val="12"/>
      <color theme="1"/>
      <name val="Calibri"/>
      <family val="2"/>
      <charset val="238"/>
      <scheme val="minor"/>
    </font>
    <font>
      <sz val="10"/>
      <color rgb="FFFF0000"/>
      <name val="Calibri"/>
      <family val="2"/>
      <charset val="238"/>
      <scheme val="minor"/>
    </font>
    <font>
      <sz val="10"/>
      <name val="Calibri"/>
      <family val="2"/>
      <charset val="238"/>
      <scheme val="minor"/>
    </font>
    <font>
      <sz val="10"/>
      <color rgb="FFC00000"/>
      <name val="Calibri"/>
      <family val="2"/>
      <charset val="238"/>
      <scheme val="minor"/>
    </font>
    <font>
      <b/>
      <sz val="14"/>
      <color indexed="8"/>
      <name val="Calibri"/>
      <family val="2"/>
      <charset val="238"/>
    </font>
    <font>
      <sz val="11"/>
      <color indexed="8"/>
      <name val="Calibri"/>
      <family val="2"/>
      <charset val="238"/>
    </font>
    <font>
      <sz val="11"/>
      <color theme="1"/>
      <name val="Calibri"/>
      <family val="2"/>
      <charset val="238"/>
      <scheme val="minor"/>
    </font>
    <font>
      <b/>
      <sz val="10"/>
      <name val="Calibri"/>
      <family val="2"/>
      <charset val="238"/>
    </font>
    <font>
      <sz val="11"/>
      <name val="Calibri"/>
      <family val="2"/>
    </font>
    <font>
      <b/>
      <sz val="11"/>
      <name val="Calibri"/>
      <family val="2"/>
    </font>
    <font>
      <sz val="11"/>
      <name val="Calibri"/>
      <family val="2"/>
      <scheme val="minor"/>
    </font>
    <font>
      <sz val="11"/>
      <color rgb="FFFF0000"/>
      <name val="Calibri"/>
      <family val="2"/>
      <scheme val="minor"/>
    </font>
    <font>
      <sz val="9"/>
      <name val="Calibri"/>
      <family val="2"/>
      <scheme val="minor"/>
    </font>
    <font>
      <sz val="11"/>
      <color rgb="FFFF0000"/>
      <name val="Calibri"/>
      <family val="2"/>
    </font>
    <font>
      <i/>
      <sz val="12"/>
      <color indexed="8"/>
      <name val="Calibri"/>
      <family val="2"/>
    </font>
    <font>
      <sz val="11"/>
      <name val="Calibri"/>
      <family val="2"/>
      <charset val="238"/>
      <scheme val="minor"/>
    </font>
    <font>
      <i/>
      <sz val="11"/>
      <color theme="1"/>
      <name val="Calibri"/>
      <family val="2"/>
      <scheme val="minor"/>
    </font>
    <font>
      <b/>
      <sz val="8"/>
      <color theme="1"/>
      <name val="Calibri"/>
      <family val="2"/>
      <charset val="238"/>
      <scheme val="minor"/>
    </font>
    <font>
      <u/>
      <sz val="12"/>
      <color theme="1"/>
      <name val="Calibri"/>
      <family val="2"/>
      <charset val="238"/>
      <scheme val="minor"/>
    </font>
    <font>
      <b/>
      <u/>
      <sz val="12"/>
      <color theme="1"/>
      <name val="Calibri"/>
      <family val="2"/>
      <charset val="238"/>
      <scheme val="minor"/>
    </font>
    <font>
      <b/>
      <i/>
      <sz val="10"/>
      <color theme="1"/>
      <name val="Calibri"/>
      <family val="2"/>
      <charset val="238"/>
      <scheme val="minor"/>
    </font>
    <font>
      <sz val="10"/>
      <color theme="1"/>
      <name val="Calibri"/>
      <family val="2"/>
      <charset val="238"/>
    </font>
    <font>
      <sz val="10"/>
      <name val="Calibri"/>
      <family val="2"/>
      <scheme val="minor"/>
    </font>
    <font>
      <b/>
      <sz val="10"/>
      <color rgb="FFFF0000"/>
      <name val="Calibri"/>
      <family val="2"/>
      <charset val="238"/>
    </font>
    <font>
      <b/>
      <sz val="14"/>
      <name val="Calibri"/>
      <family val="2"/>
      <charset val="238"/>
    </font>
    <font>
      <b/>
      <sz val="11"/>
      <name val="Calibri"/>
      <family val="2"/>
      <charset val="238"/>
    </font>
    <font>
      <sz val="11"/>
      <name val="Calibri"/>
      <family val="2"/>
      <charset val="238"/>
    </font>
    <font>
      <b/>
      <sz val="14"/>
      <name val="Calibri"/>
      <family val="2"/>
      <charset val="238"/>
      <scheme val="minor"/>
    </font>
    <font>
      <sz val="22"/>
      <color indexed="8"/>
      <name val="Calibri"/>
      <family val="2"/>
      <charset val="238"/>
    </font>
    <font>
      <sz val="22"/>
      <color theme="1"/>
      <name val="Calibri"/>
      <family val="2"/>
      <charset val="238"/>
      <scheme val="minor"/>
    </font>
    <font>
      <sz val="36"/>
      <color theme="1"/>
      <name val="Calibri"/>
      <family val="2"/>
      <charset val="238"/>
      <scheme val="minor"/>
    </font>
    <font>
      <sz val="36"/>
      <color indexed="8"/>
      <name val="Calibri"/>
      <family val="2"/>
      <charset val="238"/>
    </font>
    <font>
      <sz val="36"/>
      <color theme="1"/>
      <name val="Calibri"/>
      <family val="2"/>
      <charset val="238"/>
    </font>
    <font>
      <sz val="28"/>
      <color theme="1"/>
      <name val="Calibri"/>
      <family val="2"/>
      <charset val="238"/>
      <scheme val="minor"/>
    </font>
    <font>
      <sz val="36"/>
      <color theme="1"/>
      <name val="Calibri"/>
      <family val="2"/>
      <scheme val="minor"/>
    </font>
    <font>
      <b/>
      <sz val="36"/>
      <color indexed="8"/>
      <name val="Calibri"/>
      <family val="2"/>
    </font>
    <font>
      <sz val="36"/>
      <color indexed="8"/>
      <name val="Calibri"/>
      <family val="2"/>
    </font>
    <font>
      <b/>
      <sz val="20"/>
      <color indexed="8"/>
      <name val="Calibri"/>
      <family val="2"/>
    </font>
    <font>
      <sz val="20"/>
      <color theme="1"/>
      <name val="Calibri"/>
      <family val="2"/>
      <scheme val="minor"/>
    </font>
    <font>
      <b/>
      <sz val="11"/>
      <name val="Calibri"/>
      <family val="2"/>
      <charset val="238"/>
      <scheme val="minor"/>
    </font>
    <font>
      <sz val="16"/>
      <color theme="1"/>
      <name val="Calibri"/>
      <family val="2"/>
      <scheme val="minor"/>
    </font>
    <font>
      <u/>
      <sz val="11"/>
      <color theme="10"/>
      <name val="Calibri"/>
      <family val="2"/>
      <scheme val="minor"/>
    </font>
    <font>
      <b/>
      <sz val="12"/>
      <color indexed="81"/>
      <name val="Tahoma"/>
      <family val="2"/>
      <charset val="238"/>
    </font>
    <font>
      <sz val="12"/>
      <color indexed="81"/>
      <name val="Tahoma"/>
      <family val="2"/>
      <charset val="238"/>
    </font>
    <font>
      <b/>
      <sz val="9"/>
      <color indexed="81"/>
      <name val="Tahoma"/>
      <family val="2"/>
      <charset val="238"/>
    </font>
    <font>
      <sz val="9"/>
      <color indexed="81"/>
      <name val="Tahoma"/>
      <family val="2"/>
      <charset val="238"/>
    </font>
    <font>
      <b/>
      <sz val="11"/>
      <color indexed="81"/>
      <name val="Tahoma"/>
      <family val="2"/>
      <charset val="238"/>
    </font>
    <font>
      <sz val="11"/>
      <color indexed="81"/>
      <name val="Tahoma"/>
      <family val="2"/>
      <charset val="238"/>
    </font>
    <font>
      <sz val="10"/>
      <name val="Calibri"/>
      <family val="2"/>
    </font>
    <font>
      <b/>
      <sz val="10"/>
      <name val="Calibri"/>
      <family val="2"/>
    </font>
    <font>
      <i/>
      <sz val="10"/>
      <name val="Calibri"/>
      <family val="2"/>
    </font>
    <font>
      <sz val="11"/>
      <color theme="1"/>
      <name val="Calibri"/>
      <family val="2"/>
    </font>
    <font>
      <sz val="16"/>
      <color theme="1"/>
      <name val="Calibri"/>
      <family val="2"/>
      <charset val="238"/>
      <scheme val="minor"/>
    </font>
    <font>
      <b/>
      <sz val="16"/>
      <color theme="1"/>
      <name val="Calibri"/>
      <family val="2"/>
      <charset val="238"/>
      <scheme val="minor"/>
    </font>
    <font>
      <sz val="10"/>
      <color rgb="FF00B050"/>
      <name val="Calibri"/>
      <family val="2"/>
      <charset val="238"/>
    </font>
    <font>
      <sz val="11"/>
      <color rgb="FF000000"/>
      <name val="Calibri1"/>
      <charset val="238"/>
    </font>
    <font>
      <b/>
      <sz val="22"/>
      <color rgb="FF000000"/>
      <name val="Calibri"/>
      <family val="2"/>
      <charset val="238"/>
    </font>
    <font>
      <b/>
      <sz val="11"/>
      <color rgb="FF000000"/>
      <name val="Calibri"/>
      <family val="2"/>
      <charset val="238"/>
    </font>
    <font>
      <b/>
      <sz val="24"/>
      <color rgb="FF000000"/>
      <name val="Calibri"/>
      <family val="2"/>
      <charset val="238"/>
    </font>
    <font>
      <b/>
      <u/>
      <sz val="14"/>
      <color rgb="FF000000"/>
      <name val="Calibri"/>
      <family val="2"/>
      <charset val="238"/>
    </font>
    <font>
      <sz val="12"/>
      <color rgb="FF000000"/>
      <name val="Calibri"/>
      <family val="2"/>
      <charset val="238"/>
    </font>
    <font>
      <b/>
      <u/>
      <sz val="12"/>
      <color rgb="FF000000"/>
      <name val="Calibri"/>
      <family val="2"/>
      <charset val="238"/>
    </font>
    <font>
      <i/>
      <sz val="12"/>
      <color rgb="FF000000"/>
      <name val="Calibri"/>
      <family val="2"/>
      <charset val="238"/>
    </font>
    <font>
      <b/>
      <sz val="12"/>
      <color rgb="FF000000"/>
      <name val="Calibri"/>
      <family val="2"/>
      <charset val="238"/>
    </font>
    <font>
      <b/>
      <sz val="16"/>
      <color rgb="FF000000"/>
      <name val="Calibri"/>
      <family val="2"/>
      <charset val="238"/>
    </font>
    <font>
      <b/>
      <sz val="14"/>
      <color rgb="FF000000"/>
      <name val="Calibri"/>
      <family val="2"/>
      <charset val="238"/>
    </font>
    <font>
      <sz val="10"/>
      <color rgb="FF000000"/>
      <name val="Calibri"/>
      <family val="2"/>
      <charset val="238"/>
    </font>
    <font>
      <b/>
      <sz val="10"/>
      <color rgb="FF000000"/>
      <name val="Calibri"/>
      <family val="2"/>
      <charset val="238"/>
    </font>
    <font>
      <i/>
      <sz val="10"/>
      <color rgb="FF000000"/>
      <name val="Calibri"/>
      <family val="2"/>
      <charset val="238"/>
    </font>
    <font>
      <u/>
      <sz val="10"/>
      <name val="Calibri"/>
      <family val="2"/>
      <charset val="238"/>
    </font>
    <font>
      <u/>
      <sz val="10"/>
      <color rgb="FF000000"/>
      <name val="Calibri"/>
      <family val="2"/>
      <charset val="238"/>
    </font>
    <font>
      <b/>
      <u/>
      <sz val="10"/>
      <color rgb="FF000000"/>
      <name val="Calibri"/>
      <family val="2"/>
      <charset val="238"/>
    </font>
    <font>
      <sz val="11"/>
      <color rgb="FF000000"/>
      <name val="Calibri"/>
      <family val="2"/>
      <charset val="238"/>
    </font>
    <font>
      <sz val="11"/>
      <name val="Calibri1"/>
      <charset val="238"/>
    </font>
    <font>
      <sz val="16"/>
      <color rgb="FF000000"/>
      <name val="Calibri"/>
      <family val="2"/>
      <charset val="238"/>
    </font>
    <font>
      <i/>
      <sz val="10"/>
      <name val="Calibri"/>
      <family val="2"/>
      <charset val="238"/>
    </font>
    <font>
      <i/>
      <u/>
      <sz val="10"/>
      <name val="Calibri"/>
      <family val="2"/>
      <charset val="238"/>
    </font>
    <font>
      <sz val="9"/>
      <color rgb="FF000000"/>
      <name val="Calibri"/>
      <family val="2"/>
      <charset val="238"/>
    </font>
    <font>
      <b/>
      <sz val="10"/>
      <color theme="1"/>
      <name val="Calibri"/>
      <family val="2"/>
      <charset val="238"/>
    </font>
    <font>
      <i/>
      <sz val="10"/>
      <color theme="1"/>
      <name val="Calibri"/>
      <family val="2"/>
      <charset val="238"/>
    </font>
    <font>
      <sz val="9"/>
      <name val="Calibri1"/>
      <charset val="238"/>
    </font>
    <font>
      <b/>
      <sz val="9"/>
      <name val="Calibri1"/>
      <charset val="238"/>
    </font>
    <font>
      <sz val="9"/>
      <color rgb="FF000000"/>
      <name val="Calibri1"/>
      <charset val="238"/>
    </font>
    <font>
      <b/>
      <sz val="11"/>
      <color rgb="FFFF0000"/>
      <name val="Calibri"/>
      <family val="2"/>
      <charset val="238"/>
    </font>
    <font>
      <sz val="11"/>
      <color rgb="FFFF0000"/>
      <name val="Calibri"/>
      <family val="2"/>
      <charset val="238"/>
      <scheme val="minor"/>
    </font>
    <font>
      <i/>
      <sz val="11"/>
      <color theme="1"/>
      <name val="Calibri"/>
      <family val="2"/>
      <charset val="238"/>
      <scheme val="minor"/>
    </font>
    <font>
      <b/>
      <sz val="10"/>
      <name val="Calibri"/>
      <family val="2"/>
      <charset val="238"/>
      <scheme val="minor"/>
    </font>
    <font>
      <i/>
      <sz val="10"/>
      <name val="Calibri"/>
      <family val="2"/>
      <charset val="238"/>
      <scheme val="minor"/>
    </font>
    <font>
      <b/>
      <sz val="11"/>
      <color rgb="FFFF0000"/>
      <name val="Calibri"/>
      <family val="2"/>
      <charset val="238"/>
      <scheme val="minor"/>
    </font>
    <font>
      <sz val="11"/>
      <color theme="1"/>
      <name val="Calibri"/>
      <family val="2"/>
      <scheme val="minor"/>
    </font>
    <font>
      <b/>
      <sz val="12"/>
      <color indexed="8"/>
      <name val="Arial"/>
      <family val="2"/>
      <charset val="238"/>
    </font>
    <font>
      <sz val="12"/>
      <color theme="1"/>
      <name val="Arial"/>
      <family val="2"/>
      <charset val="238"/>
    </font>
    <font>
      <b/>
      <u/>
      <sz val="12"/>
      <color indexed="8"/>
      <name val="Arial"/>
      <family val="2"/>
      <charset val="238"/>
    </font>
    <font>
      <sz val="12"/>
      <color indexed="8"/>
      <name val="Arial"/>
      <family val="2"/>
      <charset val="238"/>
    </font>
    <font>
      <i/>
      <sz val="12"/>
      <color indexed="8"/>
      <name val="Arial"/>
      <family val="2"/>
      <charset val="238"/>
    </font>
    <font>
      <sz val="12"/>
      <color rgb="FFFF0000"/>
      <name val="Arial"/>
      <family val="2"/>
      <charset val="238"/>
    </font>
    <font>
      <sz val="12"/>
      <name val="Arial"/>
      <family val="2"/>
      <charset val="238"/>
    </font>
    <font>
      <b/>
      <sz val="12"/>
      <color theme="1"/>
      <name val="Arial"/>
      <family val="2"/>
      <charset val="238"/>
    </font>
    <font>
      <i/>
      <sz val="12"/>
      <color theme="1"/>
      <name val="Arial"/>
      <family val="2"/>
      <charset val="238"/>
    </font>
    <font>
      <sz val="12"/>
      <color rgb="FF000000"/>
      <name val="Arial"/>
      <family val="2"/>
      <charset val="238"/>
    </font>
    <font>
      <sz val="12"/>
      <color indexed="11"/>
      <name val="Arial"/>
      <family val="2"/>
      <charset val="238"/>
    </font>
    <font>
      <u/>
      <sz val="10"/>
      <color theme="1"/>
      <name val="Calibri"/>
      <family val="2"/>
      <charset val="238"/>
      <scheme val="minor"/>
    </font>
    <font>
      <b/>
      <u/>
      <sz val="11"/>
      <color theme="1"/>
      <name val="Calibri"/>
      <family val="2"/>
      <charset val="238"/>
      <scheme val="minor"/>
    </font>
    <font>
      <u/>
      <sz val="11"/>
      <color theme="1"/>
      <name val="Calibri"/>
      <family val="2"/>
      <charset val="238"/>
      <scheme val="minor"/>
    </font>
    <font>
      <sz val="8"/>
      <color theme="1"/>
      <name val="Calibri"/>
      <family val="2"/>
      <charset val="238"/>
      <scheme val="minor"/>
    </font>
    <font>
      <sz val="8"/>
      <color theme="1"/>
      <name val="Calibri"/>
      <family val="2"/>
      <scheme val="minor"/>
    </font>
    <font>
      <b/>
      <sz val="8"/>
      <color theme="1"/>
      <name val="Calibri"/>
      <family val="2"/>
      <scheme val="minor"/>
    </font>
    <font>
      <b/>
      <sz val="14"/>
      <name val="Calibri"/>
      <family val="2"/>
    </font>
    <font>
      <sz val="10"/>
      <name val="Cambria"/>
      <family val="1"/>
      <charset val="238"/>
      <scheme val="major"/>
    </font>
    <font>
      <sz val="10"/>
      <name val="Cambria"/>
      <family val="1"/>
      <charset val="238"/>
    </font>
    <font>
      <b/>
      <sz val="10"/>
      <color indexed="18"/>
      <name val="Calibri"/>
      <family val="2"/>
      <charset val="238"/>
    </font>
    <font>
      <u/>
      <sz val="10"/>
      <color indexed="8"/>
      <name val="Calibri"/>
      <family val="2"/>
      <charset val="238"/>
    </font>
    <font>
      <b/>
      <sz val="10"/>
      <color indexed="60"/>
      <name val="Calibri"/>
      <family val="2"/>
      <charset val="238"/>
    </font>
    <font>
      <u/>
      <sz val="10"/>
      <color indexed="8"/>
      <name val="Calibri"/>
      <family val="2"/>
    </font>
    <font>
      <b/>
      <sz val="10"/>
      <color indexed="28"/>
      <name val="Calibri"/>
      <family val="2"/>
      <charset val="238"/>
    </font>
    <font>
      <b/>
      <sz val="10"/>
      <color indexed="54"/>
      <name val="Calibri"/>
      <family val="2"/>
      <charset val="238"/>
    </font>
    <font>
      <b/>
      <sz val="10"/>
      <color indexed="17"/>
      <name val="Calibri"/>
      <family val="2"/>
      <charset val="238"/>
    </font>
    <font>
      <sz val="10"/>
      <color indexed="28"/>
      <name val="Calibri"/>
      <family val="2"/>
      <charset val="238"/>
    </font>
    <font>
      <u/>
      <sz val="10"/>
      <color indexed="28"/>
      <name val="Calibri"/>
      <family val="2"/>
      <charset val="238"/>
    </font>
    <font>
      <b/>
      <sz val="10"/>
      <color indexed="49"/>
      <name val="Calibri"/>
      <family val="2"/>
    </font>
    <font>
      <sz val="10"/>
      <color indexed="49"/>
      <name val="Calibri"/>
      <family val="2"/>
    </font>
    <font>
      <b/>
      <sz val="10"/>
      <color indexed="53"/>
      <name val="Calibri"/>
      <family val="2"/>
    </font>
    <font>
      <sz val="10"/>
      <color indexed="53"/>
      <name val="Calibri"/>
      <family val="2"/>
    </font>
    <font>
      <sz val="8"/>
      <color indexed="8"/>
      <name val="Calibri"/>
      <family val="2"/>
    </font>
    <font>
      <sz val="11"/>
      <color rgb="FF000000"/>
      <name val="Calibri"/>
      <family val="2"/>
      <charset val="1"/>
    </font>
    <font>
      <b/>
      <sz val="22"/>
      <color rgb="FF000000"/>
      <name val="Calibri"/>
      <family val="2"/>
      <charset val="1"/>
    </font>
    <font>
      <sz val="22"/>
      <color rgb="FF000000"/>
      <name val="Calibri"/>
      <family val="2"/>
      <charset val="1"/>
    </font>
    <font>
      <b/>
      <sz val="24"/>
      <color rgb="FF000000"/>
      <name val="Calibri"/>
      <family val="2"/>
      <charset val="1"/>
    </font>
    <font>
      <sz val="12"/>
      <color rgb="FF000000"/>
      <name val="Calibri"/>
      <family val="2"/>
      <charset val="1"/>
    </font>
    <font>
      <b/>
      <sz val="16"/>
      <color rgb="FF000000"/>
      <name val="Calibri"/>
      <family val="2"/>
      <charset val="1"/>
    </font>
    <font>
      <b/>
      <sz val="14"/>
      <color rgb="FF000000"/>
      <name val="Calibri"/>
      <family val="2"/>
      <charset val="1"/>
    </font>
    <font>
      <b/>
      <sz val="11"/>
      <color rgb="FF000000"/>
      <name val="Calibri"/>
      <family val="2"/>
      <charset val="1"/>
    </font>
    <font>
      <sz val="10"/>
      <color rgb="FF000000"/>
      <name val="Calibri"/>
      <family val="2"/>
      <charset val="1"/>
    </font>
    <font>
      <b/>
      <sz val="10"/>
      <color rgb="FF000000"/>
      <name val="Calibri"/>
      <family val="2"/>
      <charset val="1"/>
    </font>
    <font>
      <sz val="16"/>
      <color rgb="FF000000"/>
      <name val="Calibri"/>
      <family val="2"/>
      <charset val="1"/>
    </font>
    <font>
      <sz val="9"/>
      <color rgb="FF000000"/>
      <name val="Calibri"/>
      <family val="2"/>
      <charset val="1"/>
    </font>
    <font>
      <sz val="11"/>
      <color rgb="FFFF0000"/>
      <name val="Calibri1"/>
      <charset val="238"/>
    </font>
    <font>
      <b/>
      <u/>
      <sz val="20"/>
      <color theme="1"/>
      <name val="Calibri"/>
      <family val="2"/>
      <charset val="238"/>
      <scheme val="minor"/>
    </font>
    <font>
      <b/>
      <i/>
      <u/>
      <sz val="20"/>
      <color theme="1"/>
      <name val="Calibri"/>
      <family val="2"/>
      <charset val="238"/>
      <scheme val="minor"/>
    </font>
  </fonts>
  <fills count="4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2" tint="-9.9978637043366805E-2"/>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46"/>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FF"/>
        <bgColor rgb="FFFFFFFF"/>
      </patternFill>
    </fill>
    <fill>
      <patternFill patternType="solid">
        <fgColor rgb="FF99CCFF"/>
        <bgColor rgb="FF99CCFF"/>
      </patternFill>
    </fill>
    <fill>
      <patternFill patternType="solid">
        <fgColor rgb="FFDDD9C3"/>
        <bgColor rgb="FFDDD9C3"/>
      </patternFill>
    </fill>
    <fill>
      <patternFill patternType="solid">
        <fgColor rgb="FFC0C0C0"/>
        <bgColor rgb="FFC0C0C0"/>
      </patternFill>
    </fill>
    <fill>
      <patternFill patternType="solid">
        <fgColor theme="0"/>
        <bgColor rgb="FFFFFFFF"/>
      </patternFill>
    </fill>
    <fill>
      <patternFill patternType="solid">
        <fgColor rgb="FFFCD5B5"/>
        <bgColor rgb="FFFCD5B5"/>
      </patternFill>
    </fill>
    <fill>
      <patternFill patternType="solid">
        <fgColor rgb="FFD9D9D9"/>
        <bgColor rgb="FFD9D9D9"/>
      </patternFill>
    </fill>
    <fill>
      <patternFill patternType="solid">
        <fgColor rgb="FFD7E4BD"/>
        <bgColor rgb="FFD7E4BD"/>
      </patternFill>
    </fill>
    <fill>
      <patternFill patternType="solid">
        <fgColor rgb="FFCC99FF"/>
        <bgColor rgb="FFCC99FF"/>
      </patternFill>
    </fill>
    <fill>
      <patternFill patternType="solid">
        <fgColor rgb="FFCCC1DA"/>
        <bgColor rgb="FFCCC1DA"/>
      </patternFill>
    </fill>
    <fill>
      <patternFill patternType="solid">
        <fgColor theme="0"/>
        <bgColor rgb="FFDDD9C3"/>
      </patternFill>
    </fill>
    <fill>
      <patternFill patternType="solid">
        <fgColor theme="0"/>
        <bgColor rgb="FFD9D9D9"/>
      </patternFill>
    </fill>
    <fill>
      <patternFill patternType="solid">
        <fgColor rgb="FFC3D69B"/>
        <bgColor rgb="FFC3D69B"/>
      </patternFill>
    </fill>
    <fill>
      <patternFill patternType="solid">
        <fgColor rgb="FFB7DEE8"/>
        <bgColor rgb="FFB7DEE8"/>
      </patternFill>
    </fill>
    <fill>
      <patternFill patternType="solid">
        <fgColor rgb="FFFDEADA"/>
        <bgColor rgb="FFFDEADA"/>
      </patternFill>
    </fill>
    <fill>
      <patternFill patternType="solid">
        <fgColor rgb="FFFFFFFF"/>
        <bgColor rgb="FFFDEADA"/>
      </patternFill>
    </fill>
    <fill>
      <patternFill patternType="solid">
        <fgColor rgb="FF99CCFF"/>
        <bgColor rgb="FF8EB4E3"/>
      </patternFill>
    </fill>
    <fill>
      <patternFill patternType="solid">
        <fgColor rgb="FFDDD9C3"/>
        <bgColor rgb="FFD9D9D9"/>
      </patternFill>
    </fill>
    <fill>
      <patternFill patternType="solid">
        <fgColor rgb="FFC0C0C0"/>
        <bgColor rgb="FFCCC1DA"/>
      </patternFill>
    </fill>
    <fill>
      <patternFill patternType="solid">
        <fgColor rgb="FFFCD5B5"/>
        <bgColor rgb="FFDDD9C3"/>
      </patternFill>
    </fill>
    <fill>
      <patternFill patternType="solid">
        <fgColor rgb="FFD9D9D9"/>
        <bgColor rgb="FFDDD9C3"/>
      </patternFill>
    </fill>
    <fill>
      <patternFill patternType="solid">
        <fgColor rgb="FFD7E4BD"/>
        <bgColor rgb="FFDDD9C3"/>
      </patternFill>
    </fill>
    <fill>
      <patternFill patternType="solid">
        <fgColor rgb="FFCC99FF"/>
        <bgColor rgb="FFCCC1DA"/>
      </patternFill>
    </fill>
    <fill>
      <patternFill patternType="solid">
        <fgColor rgb="FFCCC1DA"/>
        <bgColor rgb="FFC0C0C0"/>
      </patternFill>
    </fill>
    <fill>
      <patternFill patternType="solid">
        <fgColor rgb="FFC3D69B"/>
        <bgColor rgb="FFD7E4BD"/>
      </patternFill>
    </fill>
    <fill>
      <patternFill patternType="solid">
        <fgColor rgb="FFB7DEE8"/>
        <bgColor rgb="FFD9D9D9"/>
      </patternFill>
    </fill>
    <fill>
      <patternFill patternType="solid">
        <fgColor rgb="FFFDEADA"/>
        <bgColor rgb="FFFCD5B5"/>
      </patternFill>
    </fill>
  </fills>
  <borders count="237">
    <border>
      <left/>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auto="1"/>
      </top>
      <bottom style="hair">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auto="1"/>
      </left>
      <right style="hair">
        <color auto="1"/>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auto="1"/>
      </left>
      <right/>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auto="1"/>
      </right>
      <top style="medium">
        <color auto="1"/>
      </top>
      <bottom style="hair">
        <color auto="1"/>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right style="double">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medium">
        <color indexed="64"/>
      </top>
      <bottom style="hair">
        <color indexed="64"/>
      </bottom>
      <diagonal/>
    </border>
    <border>
      <left/>
      <right style="double">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right style="double">
        <color indexed="64"/>
      </right>
      <top/>
      <bottom style="hair">
        <color indexed="64"/>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indexed="64"/>
      </left>
      <right style="double">
        <color indexed="64"/>
      </right>
      <top/>
      <bottom style="hair">
        <color indexed="64"/>
      </bottom>
      <diagonal/>
    </border>
    <border>
      <left/>
      <right/>
      <top/>
      <bottom style="medium">
        <color indexed="64"/>
      </bottom>
      <diagonal/>
    </border>
    <border>
      <left/>
      <right/>
      <top style="medium">
        <color auto="1"/>
      </top>
      <bottom/>
      <diagonal/>
    </border>
    <border>
      <left style="medium">
        <color indexed="64"/>
      </left>
      <right style="medium">
        <color auto="1"/>
      </right>
      <top style="medium">
        <color indexed="64"/>
      </top>
      <bottom style="hair">
        <color indexed="64"/>
      </bottom>
      <diagonal/>
    </border>
    <border>
      <left style="thin">
        <color indexed="64"/>
      </left>
      <right/>
      <top style="hair">
        <color indexed="64"/>
      </top>
      <bottom/>
      <diagonal/>
    </border>
    <border>
      <left style="medium">
        <color indexed="64"/>
      </left>
      <right style="medium">
        <color auto="1"/>
      </right>
      <top/>
      <bottom/>
      <diagonal/>
    </border>
    <border>
      <left style="medium">
        <color indexed="64"/>
      </left>
      <right style="medium">
        <color auto="1"/>
      </right>
      <top style="hair">
        <color indexed="64"/>
      </top>
      <bottom style="hair">
        <color indexed="64"/>
      </bottom>
      <diagonal/>
    </border>
    <border>
      <left style="thin">
        <color indexed="64"/>
      </left>
      <right/>
      <top/>
      <bottom/>
      <diagonal/>
    </border>
    <border>
      <left/>
      <right/>
      <top style="hair">
        <color indexed="64"/>
      </top>
      <bottom/>
      <diagonal/>
    </border>
    <border>
      <left style="thin">
        <color indexed="64"/>
      </left>
      <right/>
      <top/>
      <bottom style="medium">
        <color indexed="64"/>
      </bottom>
      <diagonal/>
    </border>
    <border>
      <left/>
      <right/>
      <top style="hair">
        <color indexed="64"/>
      </top>
      <bottom style="medium">
        <color indexed="64"/>
      </bottom>
      <diagonal/>
    </border>
    <border>
      <left style="medium">
        <color indexed="64"/>
      </left>
      <right style="medium">
        <color auto="1"/>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medium">
        <color indexed="64"/>
      </bottom>
      <diagonal/>
    </border>
    <border>
      <left/>
      <right style="thin">
        <color rgb="FF000000"/>
      </right>
      <top/>
      <bottom/>
      <diagonal/>
    </border>
    <border>
      <left style="medium">
        <color indexed="64"/>
      </left>
      <right/>
      <top/>
      <bottom/>
      <diagonal/>
    </border>
    <border>
      <left style="medium">
        <color indexed="64"/>
      </left>
      <right style="medium">
        <color auto="1"/>
      </right>
      <top/>
      <bottom/>
      <diagonal/>
    </border>
    <border>
      <left style="medium">
        <color indexed="53"/>
      </left>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hair">
        <color indexed="64"/>
      </left>
      <right/>
      <top/>
      <bottom style="hair">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indexed="64"/>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right style="hair">
        <color indexed="64"/>
      </right>
      <top style="medium">
        <color auto="1"/>
      </top>
      <bottom/>
      <diagonal/>
    </border>
    <border>
      <left style="thin">
        <color indexed="64"/>
      </left>
      <right style="thin">
        <color indexed="64"/>
      </right>
      <top style="thin">
        <color indexed="64"/>
      </top>
      <bottom style="thin">
        <color indexed="64"/>
      </bottom>
      <diagonal/>
    </border>
    <border>
      <left style="thin">
        <color rgb="FFFF6600"/>
      </left>
      <right/>
      <top style="thin">
        <color rgb="FFFF6600"/>
      </top>
      <bottom/>
      <diagonal/>
    </border>
    <border>
      <left/>
      <right style="thin">
        <color rgb="FFFF6600"/>
      </right>
      <top style="thin">
        <color rgb="FFFF6600"/>
      </top>
      <bottom/>
      <diagonal/>
    </border>
    <border>
      <left style="thin">
        <color rgb="FFFF6600"/>
      </left>
      <right style="thin">
        <color rgb="FFFF6600"/>
      </right>
      <top/>
      <bottom style="thin">
        <color rgb="FFFF66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double">
        <color rgb="FF000000"/>
      </right>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right style="thin">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style="hair">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medium">
        <color indexed="64"/>
      </left>
      <right style="medium">
        <color auto="1"/>
      </right>
      <top style="hair">
        <color indexed="64"/>
      </top>
      <bottom/>
      <diagonal/>
    </border>
    <border>
      <left style="thin">
        <color indexed="64"/>
      </left>
      <right style="hair">
        <color indexed="64"/>
      </right>
      <top style="dotted">
        <color indexed="64"/>
      </top>
      <bottom style="medium">
        <color indexed="64"/>
      </bottom>
      <diagonal/>
    </border>
    <border>
      <left style="medium">
        <color indexed="64"/>
      </left>
      <right style="medium">
        <color auto="1"/>
      </right>
      <top/>
      <bottom style="medium">
        <color indexed="64"/>
      </bottom>
      <diagonal/>
    </border>
    <border>
      <left style="thin">
        <color indexed="64"/>
      </left>
      <right style="thin">
        <color indexed="64"/>
      </right>
      <top style="hair">
        <color indexed="64"/>
      </top>
      <bottom style="medium">
        <color indexed="64"/>
      </bottom>
      <diagonal/>
    </border>
    <border>
      <left style="thin">
        <color auto="1"/>
      </left>
      <right style="hair">
        <color auto="1"/>
      </right>
      <top style="hair">
        <color auto="1"/>
      </top>
      <bottom style="medium">
        <color auto="1"/>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hair">
        <color indexed="64"/>
      </left>
      <right style="hair">
        <color indexed="64"/>
      </right>
      <top style="medium">
        <color indexed="64"/>
      </top>
      <bottom/>
      <diagonal/>
    </border>
    <border>
      <left/>
      <right style="hair">
        <color auto="1"/>
      </right>
      <top/>
      <bottom style="medium">
        <color auto="1"/>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bottom style="medium">
        <color indexed="64"/>
      </bottom>
      <diagonal/>
    </border>
    <border>
      <left style="medium">
        <color indexed="64"/>
      </left>
      <right/>
      <top style="medium">
        <color indexed="64"/>
      </top>
      <bottom/>
      <diagonal/>
    </border>
    <border>
      <left style="medium">
        <color auto="1"/>
      </left>
      <right style="hair">
        <color auto="1"/>
      </right>
      <top/>
      <bottom/>
      <diagonal/>
    </border>
    <border>
      <left style="medium">
        <color auto="1"/>
      </left>
      <right style="medium">
        <color auto="1"/>
      </right>
      <top/>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double">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style="hair">
        <color indexed="64"/>
      </right>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auto="1"/>
      </top>
      <bottom style="hair">
        <color auto="1"/>
      </bottom>
      <diagonal/>
    </border>
    <border>
      <left/>
      <right style="hair">
        <color indexed="64"/>
      </right>
      <top/>
      <bottom style="medium">
        <color indexed="64"/>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bottom style="medium">
        <color indexed="64"/>
      </bottom>
      <diagonal/>
    </border>
    <border>
      <left/>
      <right style="medium">
        <color indexed="64"/>
      </right>
      <top style="hair">
        <color indexed="64"/>
      </top>
      <bottom style="hair">
        <color indexed="64"/>
      </bottom>
      <diagonal/>
    </border>
  </borders>
  <cellStyleXfs count="5">
    <xf numFmtId="0" fontId="0" fillId="0" borderId="0"/>
    <xf numFmtId="0" fontId="78" fillId="0" borderId="0" applyNumberFormat="0" applyFill="0" applyBorder="0" applyAlignment="0" applyProtection="0"/>
    <xf numFmtId="166" fontId="92" fillId="0" borderId="0"/>
    <xf numFmtId="0" fontId="126" fillId="0" borderId="0"/>
    <xf numFmtId="0" fontId="161" fillId="0" borderId="0"/>
  </cellStyleXfs>
  <cellXfs count="2900">
    <xf numFmtId="0" fontId="0" fillId="0" borderId="0" xfId="0"/>
    <xf numFmtId="0" fontId="2" fillId="0" borderId="0" xfId="0" applyFont="1"/>
    <xf numFmtId="0" fontId="4" fillId="0" borderId="0" xfId="0" applyFont="1"/>
    <xf numFmtId="0" fontId="5" fillId="2" borderId="1" xfId="0" applyFont="1" applyFill="1" applyBorder="1" applyAlignment="1">
      <alignment horizontal="centerContinuous"/>
    </xf>
    <xf numFmtId="0" fontId="0" fillId="2" borderId="2" xfId="0" applyFill="1" applyBorder="1" applyAlignment="1">
      <alignment horizontal="centerContinuous"/>
    </xf>
    <xf numFmtId="0" fontId="4" fillId="0" borderId="0" xfId="0" applyFont="1" applyBorder="1"/>
    <xf numFmtId="0" fontId="11" fillId="3" borderId="0" xfId="0" applyFont="1" applyFill="1"/>
    <xf numFmtId="0" fontId="0" fillId="3" borderId="0" xfId="0" applyFill="1"/>
    <xf numFmtId="0" fontId="0" fillId="0" borderId="0" xfId="0" applyBorder="1"/>
    <xf numFmtId="0" fontId="12" fillId="3" borderId="9" xfId="0" applyFont="1" applyFill="1" applyBorder="1" applyAlignment="1">
      <alignment wrapText="1"/>
    </xf>
    <xf numFmtId="0" fontId="12" fillId="3" borderId="10" xfId="0" applyFont="1" applyFill="1" applyBorder="1" applyAlignment="1">
      <alignment wrapText="1"/>
    </xf>
    <xf numFmtId="0" fontId="13" fillId="3" borderId="11" xfId="0" applyFont="1" applyFill="1" applyBorder="1" applyAlignment="1">
      <alignment horizontal="centerContinuous" wrapText="1"/>
    </xf>
    <xf numFmtId="0" fontId="13" fillId="3" borderId="14" xfId="0" applyFont="1" applyFill="1" applyBorder="1" applyAlignment="1">
      <alignment horizontal="centerContinuous" wrapText="1"/>
    </xf>
    <xf numFmtId="0" fontId="14" fillId="3" borderId="15" xfId="0" applyFont="1" applyFill="1" applyBorder="1" applyAlignment="1">
      <alignment horizontal="center" vertical="center"/>
    </xf>
    <xf numFmtId="0" fontId="0" fillId="3" borderId="15" xfId="0" applyFill="1" applyBorder="1" applyAlignment="1">
      <alignment horizontal="centerContinuous" wrapText="1"/>
    </xf>
    <xf numFmtId="0" fontId="13" fillId="3" borderId="16" xfId="0" applyFont="1" applyFill="1" applyBorder="1" applyAlignment="1">
      <alignment horizontal="centerContinuous" wrapText="1"/>
    </xf>
    <xf numFmtId="0" fontId="13" fillId="0" borderId="0" xfId="0" applyFont="1" applyFill="1" applyBorder="1" applyAlignment="1">
      <alignment horizontal="centerContinuous" wrapText="1"/>
    </xf>
    <xf numFmtId="0" fontId="14" fillId="0" borderId="0" xfId="0" applyFont="1" applyFill="1" applyBorder="1" applyAlignment="1">
      <alignment horizontal="centerContinuous" wrapText="1"/>
    </xf>
    <xf numFmtId="0" fontId="0" fillId="0" borderId="0" xfId="0" applyFill="1" applyBorder="1" applyAlignment="1">
      <alignment horizontal="centerContinuous" wrapText="1"/>
    </xf>
    <xf numFmtId="0" fontId="0" fillId="0" borderId="0" xfId="0" applyBorder="1" applyAlignment="1">
      <alignment wrapText="1"/>
    </xf>
    <xf numFmtId="0" fontId="12" fillId="3" borderId="17" xfId="0" applyFont="1" applyFill="1" applyBorder="1" applyAlignment="1">
      <alignment wrapText="1"/>
    </xf>
    <xf numFmtId="0" fontId="12" fillId="3" borderId="18" xfId="0" applyFont="1" applyFill="1" applyBorder="1" applyAlignment="1">
      <alignment horizontal="center" wrapText="1"/>
    </xf>
    <xf numFmtId="0" fontId="15" fillId="3" borderId="19" xfId="0" applyFont="1" applyFill="1" applyBorder="1" applyAlignment="1">
      <alignment wrapText="1"/>
    </xf>
    <xf numFmtId="0" fontId="15" fillId="3" borderId="20" xfId="0" applyFont="1" applyFill="1" applyBorder="1" applyAlignment="1">
      <alignment horizontal="center" wrapText="1"/>
    </xf>
    <xf numFmtId="0" fontId="15" fillId="3" borderId="21" xfId="0" applyFont="1" applyFill="1" applyBorder="1" applyAlignment="1">
      <alignment horizontal="center" wrapText="1"/>
    </xf>
    <xf numFmtId="0" fontId="16" fillId="3" borderId="22" xfId="0" applyFont="1" applyFill="1" applyBorder="1" applyAlignment="1">
      <alignment horizontal="center" wrapText="1"/>
    </xf>
    <xf numFmtId="0" fontId="17" fillId="3" borderId="23" xfId="0" applyFont="1" applyFill="1" applyBorder="1" applyAlignment="1">
      <alignment wrapText="1"/>
    </xf>
    <xf numFmtId="0" fontId="15" fillId="3" borderId="21" xfId="0" applyFont="1" applyFill="1" applyBorder="1" applyAlignment="1">
      <alignment wrapText="1"/>
    </xf>
    <xf numFmtId="0" fontId="17" fillId="3" borderId="21" xfId="0" applyFont="1" applyFill="1" applyBorder="1" applyAlignment="1">
      <alignment wrapText="1"/>
    </xf>
    <xf numFmtId="0" fontId="15" fillId="3" borderId="24" xfId="0" applyFont="1" applyFill="1" applyBorder="1" applyAlignment="1">
      <alignment wrapText="1"/>
    </xf>
    <xf numFmtId="0" fontId="15" fillId="0" borderId="0" xfId="0" applyFont="1" applyFill="1" applyBorder="1" applyAlignment="1">
      <alignment wrapText="1"/>
    </xf>
    <xf numFmtId="0" fontId="0" fillId="0" borderId="0" xfId="0" applyAlignment="1">
      <alignment wrapText="1"/>
    </xf>
    <xf numFmtId="0" fontId="0" fillId="4" borderId="19" xfId="0" applyFill="1" applyBorder="1"/>
    <xf numFmtId="0" fontId="0" fillId="4" borderId="20" xfId="0" applyFill="1" applyBorder="1"/>
    <xf numFmtId="0" fontId="0" fillId="4" borderId="21" xfId="0" applyFill="1" applyBorder="1"/>
    <xf numFmtId="0" fontId="0" fillId="5" borderId="22" xfId="0" applyFill="1" applyBorder="1"/>
    <xf numFmtId="0" fontId="0" fillId="4" borderId="23" xfId="0" applyFill="1" applyBorder="1"/>
    <xf numFmtId="0" fontId="0" fillId="4" borderId="24" xfId="0" applyFill="1" applyBorder="1"/>
    <xf numFmtId="0" fontId="0" fillId="0" borderId="0" xfId="0" applyFill="1" applyBorder="1"/>
    <xf numFmtId="0" fontId="0" fillId="0" borderId="19" xfId="0" applyBorder="1"/>
    <xf numFmtId="0" fontId="0" fillId="0" borderId="20" xfId="0" applyBorder="1"/>
    <xf numFmtId="0" fontId="0" fillId="0" borderId="21" xfId="0" applyBorder="1"/>
    <xf numFmtId="0" fontId="0" fillId="0" borderId="23" xfId="0" applyBorder="1"/>
    <xf numFmtId="0" fontId="0" fillId="2" borderId="24" xfId="0" applyFill="1" applyBorder="1"/>
    <xf numFmtId="0" fontId="0" fillId="0" borderId="19" xfId="0" applyFill="1" applyBorder="1"/>
    <xf numFmtId="0" fontId="13" fillId="5" borderId="29" xfId="0" applyFont="1" applyFill="1" applyBorder="1" applyAlignment="1">
      <alignment horizontal="right"/>
    </xf>
    <xf numFmtId="0" fontId="0" fillId="5" borderId="30" xfId="0" applyFill="1" applyBorder="1"/>
    <xf numFmtId="0" fontId="0" fillId="5" borderId="31" xfId="0" applyFill="1" applyBorder="1"/>
    <xf numFmtId="0" fontId="0" fillId="5" borderId="32" xfId="0" applyFill="1" applyBorder="1"/>
    <xf numFmtId="0" fontId="0" fillId="5" borderId="33" xfId="0" applyFill="1" applyBorder="1"/>
    <xf numFmtId="0" fontId="0" fillId="5" borderId="34" xfId="0" applyFill="1" applyBorder="1"/>
    <xf numFmtId="0" fontId="0" fillId="5" borderId="35" xfId="0" applyFill="1" applyBorder="1"/>
    <xf numFmtId="0" fontId="13" fillId="0" borderId="0" xfId="0" applyFont="1" applyAlignment="1">
      <alignment horizontal="right"/>
    </xf>
    <xf numFmtId="0" fontId="13" fillId="3" borderId="36" xfId="0" applyFont="1" applyFill="1" applyBorder="1" applyAlignment="1">
      <alignment horizontal="centerContinuous" wrapText="1"/>
    </xf>
    <xf numFmtId="0" fontId="12" fillId="3" borderId="25" xfId="0" applyFont="1" applyFill="1" applyBorder="1" applyAlignment="1">
      <alignment wrapText="1"/>
    </xf>
    <xf numFmtId="0" fontId="15" fillId="3" borderId="22" xfId="0" applyFont="1" applyFill="1" applyBorder="1" applyAlignment="1">
      <alignment wrapText="1"/>
    </xf>
    <xf numFmtId="0" fontId="15" fillId="3" borderId="23" xfId="0" applyFont="1" applyFill="1" applyBorder="1" applyAlignment="1">
      <alignment horizontal="center" wrapText="1"/>
    </xf>
    <xf numFmtId="0" fontId="16" fillId="3" borderId="24" xfId="0" applyFont="1" applyFill="1" applyBorder="1" applyAlignment="1">
      <alignment horizontal="center" wrapText="1"/>
    </xf>
    <xf numFmtId="0" fontId="0" fillId="4" borderId="22" xfId="0" applyFill="1" applyBorder="1"/>
    <xf numFmtId="0" fontId="0" fillId="5" borderId="24" xfId="0" applyFill="1" applyBorder="1"/>
    <xf numFmtId="0" fontId="0" fillId="0" borderId="22" xfId="0" applyBorder="1"/>
    <xf numFmtId="0" fontId="0" fillId="0" borderId="22" xfId="0" applyFill="1" applyBorder="1"/>
    <xf numFmtId="0" fontId="13" fillId="5" borderId="32" xfId="0" applyFont="1" applyFill="1" applyBorder="1" applyAlignment="1">
      <alignment horizontal="right"/>
    </xf>
    <xf numFmtId="0" fontId="0" fillId="0" borderId="0" xfId="0" applyAlignment="1">
      <alignment vertical="center" wrapText="1"/>
    </xf>
    <xf numFmtId="0" fontId="11" fillId="6" borderId="0" xfId="0" applyFont="1" applyFill="1"/>
    <xf numFmtId="0" fontId="0" fillId="6" borderId="0" xfId="0" applyFill="1"/>
    <xf numFmtId="0" fontId="0" fillId="0" borderId="0" xfId="0" applyFill="1"/>
    <xf numFmtId="0" fontId="12" fillId="6" borderId="9" xfId="0" applyFont="1" applyFill="1" applyBorder="1"/>
    <xf numFmtId="0" fontId="12" fillId="6" borderId="10" xfId="0" applyFont="1" applyFill="1" applyBorder="1" applyAlignment="1">
      <alignment horizontal="center" wrapText="1"/>
    </xf>
    <xf numFmtId="0" fontId="15" fillId="6" borderId="11" xfId="0" applyFont="1" applyFill="1" applyBorder="1"/>
    <xf numFmtId="0" fontId="15" fillId="6" borderId="39" xfId="0" applyFont="1" applyFill="1" applyBorder="1" applyAlignment="1">
      <alignment horizontal="center" wrapText="1"/>
    </xf>
    <xf numFmtId="0" fontId="15" fillId="6" borderId="11" xfId="0" applyFont="1" applyFill="1" applyBorder="1" applyAlignment="1">
      <alignment horizontal="center" wrapText="1"/>
    </xf>
    <xf numFmtId="0" fontId="15" fillId="7" borderId="0" xfId="0" applyFont="1" applyFill="1" applyBorder="1" applyAlignment="1">
      <alignment wrapText="1"/>
    </xf>
    <xf numFmtId="0" fontId="21" fillId="4" borderId="19" xfId="0" applyFont="1" applyFill="1" applyBorder="1"/>
    <xf numFmtId="0" fontId="21" fillId="0" borderId="19" xfId="0" applyFont="1" applyBorder="1"/>
    <xf numFmtId="0" fontId="0" fillId="0" borderId="19" xfId="0" applyBorder="1" applyAlignment="1">
      <alignment horizontal="right"/>
    </xf>
    <xf numFmtId="0" fontId="0" fillId="5" borderId="29" xfId="0" applyFill="1" applyBorder="1"/>
    <xf numFmtId="0" fontId="0" fillId="7" borderId="0" xfId="0" applyFill="1" applyBorder="1"/>
    <xf numFmtId="0" fontId="15" fillId="0" borderId="4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right"/>
    </xf>
    <xf numFmtId="0" fontId="12" fillId="6" borderId="14" xfId="0" applyFont="1" applyFill="1" applyBorder="1"/>
    <xf numFmtId="0" fontId="15" fillId="6" borderId="11" xfId="0" applyFont="1" applyFill="1" applyBorder="1" applyAlignment="1">
      <alignment horizontal="left"/>
    </xf>
    <xf numFmtId="0" fontId="15" fillId="6" borderId="15" xfId="0" applyFont="1" applyFill="1" applyBorder="1" applyAlignment="1">
      <alignment horizontal="center" wrapText="1"/>
    </xf>
    <xf numFmtId="0" fontId="15" fillId="6" borderId="16" xfId="0" applyFont="1" applyFill="1" applyBorder="1" applyAlignment="1">
      <alignment horizontal="center" wrapText="1"/>
    </xf>
    <xf numFmtId="0" fontId="15" fillId="4" borderId="19" xfId="0" applyFont="1" applyFill="1" applyBorder="1"/>
    <xf numFmtId="0" fontId="0" fillId="0" borderId="24" xfId="0" applyBorder="1"/>
    <xf numFmtId="0" fontId="0" fillId="0" borderId="43" xfId="0" applyBorder="1"/>
    <xf numFmtId="0" fontId="12" fillId="6" borderId="10" xfId="0" applyFont="1" applyFill="1" applyBorder="1" applyAlignment="1">
      <alignment wrapText="1"/>
    </xf>
    <xf numFmtId="0" fontId="24" fillId="6" borderId="47" xfId="0" applyFont="1" applyFill="1" applyBorder="1" applyAlignment="1">
      <alignment horizontal="centerContinuous" wrapText="1"/>
    </xf>
    <xf numFmtId="0" fontId="23" fillId="6" borderId="13" xfId="0" applyFont="1" applyFill="1" applyBorder="1" applyAlignment="1">
      <alignment horizontal="centerContinuous" wrapText="1"/>
    </xf>
    <xf numFmtId="0" fontId="23" fillId="6" borderId="38" xfId="0" applyFont="1" applyFill="1" applyBorder="1" applyAlignment="1">
      <alignment horizontal="centerContinuous" wrapText="1"/>
    </xf>
    <xf numFmtId="0" fontId="12" fillId="6" borderId="48" xfId="0" applyFont="1" applyFill="1" applyBorder="1" applyAlignment="1">
      <alignment horizontal="center" wrapText="1"/>
    </xf>
    <xf numFmtId="0" fontId="25" fillId="6" borderId="51" xfId="0" applyFont="1" applyFill="1" applyBorder="1" applyAlignment="1">
      <alignment wrapText="1"/>
    </xf>
    <xf numFmtId="0" fontId="23" fillId="6" borderId="52" xfId="0" applyFont="1" applyFill="1" applyBorder="1" applyAlignment="1">
      <alignment wrapText="1"/>
    </xf>
    <xf numFmtId="0" fontId="23" fillId="6" borderId="53" xfId="0" applyFont="1" applyFill="1" applyBorder="1" applyAlignment="1">
      <alignment wrapText="1"/>
    </xf>
    <xf numFmtId="0" fontId="25" fillId="6" borderId="53" xfId="0" applyFont="1" applyFill="1" applyBorder="1" applyAlignment="1">
      <alignment wrapText="1"/>
    </xf>
    <xf numFmtId="0" fontId="23" fillId="6" borderId="54" xfId="0" applyFont="1" applyFill="1" applyBorder="1" applyAlignment="1">
      <alignment wrapText="1"/>
    </xf>
    <xf numFmtId="0" fontId="0" fillId="0" borderId="55" xfId="0" applyBorder="1"/>
    <xf numFmtId="0" fontId="28" fillId="4" borderId="19" xfId="0" applyFont="1" applyFill="1" applyBorder="1"/>
    <xf numFmtId="0" fontId="28" fillId="4" borderId="21" xfId="0" applyFont="1" applyFill="1" applyBorder="1"/>
    <xf numFmtId="0" fontId="0" fillId="4" borderId="51" xfId="0" applyFill="1" applyBorder="1"/>
    <xf numFmtId="0" fontId="0" fillId="4" borderId="52" xfId="0" applyFill="1" applyBorder="1"/>
    <xf numFmtId="0" fontId="28" fillId="0" borderId="19" xfId="0" applyFont="1" applyBorder="1"/>
    <xf numFmtId="0" fontId="28" fillId="0" borderId="21" xfId="0" applyFont="1" applyBorder="1"/>
    <xf numFmtId="0" fontId="0" fillId="0" borderId="56" xfId="0" applyBorder="1"/>
    <xf numFmtId="0" fontId="29" fillId="8" borderId="29" xfId="0" applyFont="1" applyFill="1" applyBorder="1" applyAlignment="1">
      <alignment horizontal="right"/>
    </xf>
    <xf numFmtId="0" fontId="0" fillId="8" borderId="31" xfId="0" applyFont="1" applyFill="1" applyBorder="1" applyAlignment="1">
      <alignment horizontal="right"/>
    </xf>
    <xf numFmtId="0" fontId="0" fillId="8" borderId="34" xfId="0" applyFill="1" applyBorder="1"/>
    <xf numFmtId="0" fontId="0" fillId="8" borderId="31" xfId="0" applyFill="1" applyBorder="1"/>
    <xf numFmtId="0" fontId="0" fillId="8" borderId="35" xfId="0" applyFill="1" applyBorder="1"/>
    <xf numFmtId="0" fontId="0" fillId="0" borderId="0" xfId="0" applyBorder="1" applyAlignment="1"/>
    <xf numFmtId="0" fontId="15" fillId="0" borderId="0" xfId="0" applyFont="1" applyBorder="1" applyAlignment="1">
      <alignment horizontal="center" vertical="center" wrapText="1"/>
    </xf>
    <xf numFmtId="0" fontId="13" fillId="7" borderId="0" xfId="0" applyFont="1" applyFill="1" applyBorder="1" applyAlignment="1">
      <alignment horizontal="right" wrapText="1"/>
    </xf>
    <xf numFmtId="0" fontId="0" fillId="7" borderId="0" xfId="0" applyFont="1" applyFill="1" applyBorder="1" applyAlignment="1">
      <alignment horizontal="right" wrapText="1"/>
    </xf>
    <xf numFmtId="0" fontId="0" fillId="7" borderId="0" xfId="0" applyFill="1" applyBorder="1" applyAlignment="1">
      <alignment wrapText="1"/>
    </xf>
    <xf numFmtId="0" fontId="15" fillId="6" borderId="15" xfId="0" applyFont="1" applyFill="1" applyBorder="1" applyAlignment="1">
      <alignment wrapText="1"/>
    </xf>
    <xf numFmtId="0" fontId="15" fillId="6" borderId="11" xfId="0" applyFont="1" applyFill="1" applyBorder="1" applyAlignment="1">
      <alignment wrapText="1"/>
    </xf>
    <xf numFmtId="0" fontId="16" fillId="6" borderId="57" xfId="0" applyFont="1" applyFill="1" applyBorder="1" applyAlignment="1">
      <alignment wrapText="1"/>
    </xf>
    <xf numFmtId="0" fontId="25" fillId="6" borderId="58" xfId="0" applyFont="1" applyFill="1" applyBorder="1" applyAlignment="1">
      <alignment wrapText="1"/>
    </xf>
    <xf numFmtId="0" fontId="23" fillId="6" borderId="15" xfId="0" applyFont="1" applyFill="1" applyBorder="1" applyAlignment="1">
      <alignment wrapText="1"/>
    </xf>
    <xf numFmtId="0" fontId="23" fillId="6" borderId="59" xfId="0" applyFont="1" applyFill="1" applyBorder="1" applyAlignment="1">
      <alignment wrapText="1"/>
    </xf>
    <xf numFmtId="0" fontId="25" fillId="6" borderId="59" xfId="0" applyFont="1" applyFill="1" applyBorder="1" applyAlignment="1">
      <alignment wrapText="1"/>
    </xf>
    <xf numFmtId="0" fontId="23" fillId="6" borderId="60" xfId="0" applyFont="1" applyFill="1" applyBorder="1" applyAlignment="1">
      <alignment wrapText="1"/>
    </xf>
    <xf numFmtId="0" fontId="21" fillId="4" borderId="21" xfId="0" applyFont="1" applyFill="1" applyBorder="1"/>
    <xf numFmtId="0" fontId="0" fillId="8" borderId="61" xfId="0" applyFill="1" applyBorder="1"/>
    <xf numFmtId="0" fontId="0" fillId="4" borderId="53" xfId="0" applyFill="1" applyBorder="1"/>
    <xf numFmtId="0" fontId="0" fillId="4" borderId="54" xfId="0" applyFill="1" applyBorder="1"/>
    <xf numFmtId="0" fontId="21" fillId="0" borderId="21" xfId="0" applyFont="1" applyBorder="1"/>
    <xf numFmtId="0" fontId="13" fillId="8" borderId="29" xfId="0" applyFont="1" applyFill="1" applyBorder="1" applyAlignment="1">
      <alignment horizontal="right"/>
    </xf>
    <xf numFmtId="0" fontId="13" fillId="8" borderId="32" xfId="0" applyFont="1" applyFill="1" applyBorder="1" applyAlignment="1">
      <alignment horizontal="right"/>
    </xf>
    <xf numFmtId="0" fontId="13" fillId="8" borderId="34" xfId="0" applyFont="1" applyFill="1" applyBorder="1" applyAlignment="1">
      <alignment horizontal="right"/>
    </xf>
    <xf numFmtId="0" fontId="0" fillId="8" borderId="30" xfId="0" applyFill="1" applyBorder="1"/>
    <xf numFmtId="0" fontId="30" fillId="0" borderId="0" xfId="0" applyFont="1" applyBorder="1" applyAlignment="1"/>
    <xf numFmtId="0" fontId="13" fillId="7" borderId="0" xfId="0" applyFont="1" applyFill="1" applyBorder="1" applyAlignment="1">
      <alignment horizontal="right"/>
    </xf>
    <xf numFmtId="0" fontId="13" fillId="7" borderId="0" xfId="0" applyFont="1" applyFill="1" applyBorder="1"/>
    <xf numFmtId="0" fontId="11" fillId="9" borderId="0" xfId="0" applyFont="1" applyFill="1"/>
    <xf numFmtId="0" fontId="31" fillId="9" borderId="0" xfId="0" applyFont="1" applyFill="1"/>
    <xf numFmtId="0" fontId="31" fillId="0" borderId="0" xfId="0" applyFont="1" applyFill="1"/>
    <xf numFmtId="0" fontId="13" fillId="0" borderId="0" xfId="0" applyFont="1"/>
    <xf numFmtId="0" fontId="12" fillId="9" borderId="9" xfId="0" applyFont="1" applyFill="1" applyBorder="1" applyAlignment="1">
      <alignment wrapText="1"/>
    </xf>
    <xf numFmtId="0" fontId="32" fillId="9" borderId="10" xfId="0" applyFont="1" applyFill="1" applyBorder="1" applyAlignment="1">
      <alignment horizontal="center" wrapText="1"/>
    </xf>
    <xf numFmtId="0" fontId="15" fillId="9" borderId="11" xfId="0" applyFont="1" applyFill="1" applyBorder="1" applyAlignment="1">
      <alignment wrapText="1"/>
    </xf>
    <xf numFmtId="0" fontId="16" fillId="9" borderId="57" xfId="0" applyFont="1" applyFill="1" applyBorder="1" applyAlignment="1">
      <alignment wrapText="1"/>
    </xf>
    <xf numFmtId="0" fontId="15" fillId="9" borderId="62" xfId="0" applyFont="1" applyFill="1" applyBorder="1" applyAlignment="1">
      <alignment wrapText="1"/>
    </xf>
    <xf numFmtId="0" fontId="15" fillId="9" borderId="15" xfId="0" applyFont="1" applyFill="1" applyBorder="1" applyAlignment="1">
      <alignment wrapText="1"/>
    </xf>
    <xf numFmtId="0" fontId="15" fillId="9" borderId="16" xfId="0" applyFont="1" applyFill="1" applyBorder="1" applyAlignment="1">
      <alignment wrapText="1"/>
    </xf>
    <xf numFmtId="0" fontId="0" fillId="4" borderId="61" xfId="0" applyFill="1" applyBorder="1"/>
    <xf numFmtId="0" fontId="0" fillId="4" borderId="56" xfId="0" applyFill="1" applyBorder="1"/>
    <xf numFmtId="0" fontId="0" fillId="0" borderId="61" xfId="0" applyBorder="1"/>
    <xf numFmtId="0" fontId="13" fillId="8" borderId="63" xfId="0" applyFont="1" applyFill="1" applyBorder="1"/>
    <xf numFmtId="0" fontId="11" fillId="10" borderId="0" xfId="0" applyFont="1" applyFill="1"/>
    <xf numFmtId="0" fontId="0" fillId="10" borderId="0" xfId="0" applyFill="1"/>
    <xf numFmtId="0" fontId="0" fillId="7" borderId="0" xfId="0" applyFill="1"/>
    <xf numFmtId="0" fontId="11" fillId="0" borderId="0" xfId="0" applyFont="1" applyFill="1"/>
    <xf numFmtId="0" fontId="24" fillId="11" borderId="47" xfId="0" applyFont="1" applyFill="1" applyBorder="1" applyAlignment="1">
      <alignment horizontal="centerContinuous" wrapText="1"/>
    </xf>
    <xf numFmtId="0" fontId="24" fillId="11" borderId="13" xfId="0" applyFont="1" applyFill="1" applyBorder="1" applyAlignment="1">
      <alignment horizontal="centerContinuous" wrapText="1"/>
    </xf>
    <xf numFmtId="0" fontId="24" fillId="11" borderId="38" xfId="0" applyFont="1" applyFill="1" applyBorder="1" applyAlignment="1">
      <alignment horizontal="centerContinuous" wrapText="1"/>
    </xf>
    <xf numFmtId="0" fontId="0" fillId="7" borderId="0" xfId="0" applyFont="1" applyFill="1" applyBorder="1"/>
    <xf numFmtId="0" fontId="23" fillId="11" borderId="20" xfId="0" applyFont="1" applyFill="1" applyBorder="1" applyAlignment="1">
      <alignment wrapText="1"/>
    </xf>
    <xf numFmtId="0" fontId="23" fillId="11" borderId="21" xfId="0" applyFont="1" applyFill="1" applyBorder="1" applyAlignment="1">
      <alignment wrapText="1"/>
    </xf>
    <xf numFmtId="0" fontId="25" fillId="11" borderId="51" xfId="0" applyFont="1" applyFill="1" applyBorder="1" applyAlignment="1">
      <alignment wrapText="1"/>
    </xf>
    <xf numFmtId="0" fontId="34" fillId="11" borderId="52" xfId="0" applyFont="1" applyFill="1" applyBorder="1" applyAlignment="1">
      <alignment wrapText="1"/>
    </xf>
    <xf numFmtId="0" fontId="23" fillId="11" borderId="52" xfId="0" applyFont="1" applyFill="1" applyBorder="1" applyAlignment="1">
      <alignment wrapText="1"/>
    </xf>
    <xf numFmtId="0" fontId="23" fillId="11" borderId="53" xfId="0" applyFont="1" applyFill="1" applyBorder="1" applyAlignment="1">
      <alignment wrapText="1"/>
    </xf>
    <xf numFmtId="0" fontId="25" fillId="11" borderId="53" xfId="0" applyFont="1" applyFill="1" applyBorder="1" applyAlignment="1">
      <alignment wrapText="1"/>
    </xf>
    <xf numFmtId="0" fontId="23" fillId="11" borderId="54" xfId="0" applyFont="1" applyFill="1" applyBorder="1" applyAlignment="1">
      <alignment wrapText="1"/>
    </xf>
    <xf numFmtId="0" fontId="0" fillId="4" borderId="56" xfId="0" applyFont="1" applyFill="1" applyBorder="1"/>
    <xf numFmtId="0" fontId="0" fillId="4" borderId="21" xfId="0" applyFont="1" applyFill="1" applyBorder="1"/>
    <xf numFmtId="0" fontId="0" fillId="4" borderId="24" xfId="0" applyFont="1" applyFill="1" applyBorder="1"/>
    <xf numFmtId="0" fontId="0" fillId="0" borderId="56" xfId="0" applyFont="1" applyBorder="1"/>
    <xf numFmtId="0" fontId="0" fillId="0" borderId="21" xfId="0" applyFont="1" applyBorder="1"/>
    <xf numFmtId="0" fontId="0" fillId="0" borderId="24" xfId="0" applyFont="1" applyBorder="1"/>
    <xf numFmtId="0" fontId="0" fillId="8" borderId="34" xfId="0" applyFont="1" applyFill="1" applyBorder="1"/>
    <xf numFmtId="0" fontId="0" fillId="8" borderId="31" xfId="0" applyFont="1" applyFill="1" applyBorder="1"/>
    <xf numFmtId="0" fontId="0" fillId="8" borderId="35" xfId="0" applyFont="1" applyFill="1" applyBorder="1"/>
    <xf numFmtId="0" fontId="0" fillId="0" borderId="0" xfId="0" applyBorder="1" applyAlignment="1">
      <alignment horizontal="left" vertical="center" wrapText="1"/>
    </xf>
    <xf numFmtId="0" fontId="13" fillId="0" borderId="0" xfId="0" applyFont="1" applyBorder="1" applyAlignment="1">
      <alignment horizontal="right"/>
    </xf>
    <xf numFmtId="0" fontId="0" fillId="0" borderId="0" xfId="0" applyFont="1" applyBorder="1"/>
    <xf numFmtId="0" fontId="35" fillId="0" borderId="0" xfId="0" applyFont="1" applyFill="1"/>
    <xf numFmtId="0" fontId="24" fillId="0" borderId="0" xfId="0" applyFont="1" applyFill="1"/>
    <xf numFmtId="0" fontId="23" fillId="11" borderId="45" xfId="0" applyFont="1" applyFill="1" applyBorder="1" applyAlignment="1">
      <alignment horizontal="center" wrapText="1"/>
    </xf>
    <xf numFmtId="0" fontId="23" fillId="11" borderId="12" xfId="0" applyFont="1" applyFill="1" applyBorder="1" applyAlignment="1">
      <alignment horizontal="centerContinuous" wrapText="1"/>
    </xf>
    <xf numFmtId="0" fontId="23" fillId="11" borderId="13" xfId="0" applyFont="1" applyFill="1" applyBorder="1" applyAlignment="1">
      <alignment horizontal="centerContinuous" wrapText="1"/>
    </xf>
    <xf numFmtId="0" fontId="23" fillId="11" borderId="57" xfId="0" applyFont="1" applyFill="1" applyBorder="1" applyAlignment="1">
      <alignment horizontal="centerContinuous" wrapText="1"/>
    </xf>
    <xf numFmtId="0" fontId="23" fillId="11" borderId="49" xfId="0" applyFont="1" applyFill="1" applyBorder="1" applyAlignment="1">
      <alignment horizontal="center" wrapText="1"/>
    </xf>
    <xf numFmtId="0" fontId="15" fillId="11" borderId="21" xfId="0" applyFont="1" applyFill="1" applyBorder="1" applyAlignment="1">
      <alignment wrapText="1"/>
    </xf>
    <xf numFmtId="0" fontId="24" fillId="11" borderId="64" xfId="0" applyFont="1" applyFill="1" applyBorder="1" applyAlignment="1">
      <alignment wrapText="1"/>
    </xf>
    <xf numFmtId="0" fontId="28" fillId="0" borderId="19" xfId="0" applyFont="1" applyFill="1" applyBorder="1"/>
    <xf numFmtId="0" fontId="0" fillId="0" borderId="20" xfId="0" applyFill="1" applyBorder="1"/>
    <xf numFmtId="0" fontId="0" fillId="0" borderId="21" xfId="0" applyFill="1" applyBorder="1"/>
    <xf numFmtId="0" fontId="0" fillId="8" borderId="64" xfId="0" applyFont="1" applyFill="1" applyBorder="1"/>
    <xf numFmtId="0" fontId="29" fillId="8" borderId="65" xfId="0" applyFont="1" applyFill="1" applyBorder="1"/>
    <xf numFmtId="0" fontId="15" fillId="0" borderId="0" xfId="0" applyFont="1" applyBorder="1" applyAlignment="1">
      <alignment horizontal="left" vertical="center" wrapText="1"/>
    </xf>
    <xf numFmtId="0" fontId="0" fillId="0" borderId="0" xfId="0" applyBorder="1" applyAlignment="1">
      <alignment vertical="center" wrapText="1"/>
    </xf>
    <xf numFmtId="0" fontId="29" fillId="0" borderId="0" xfId="0" applyFont="1" applyFill="1" applyBorder="1" applyAlignment="1">
      <alignment horizontal="right"/>
    </xf>
    <xf numFmtId="0" fontId="29" fillId="0" borderId="0" xfId="0" applyFont="1" applyFill="1" applyBorder="1"/>
    <xf numFmtId="0" fontId="11" fillId="12" borderId="0" xfId="0" applyFont="1" applyFill="1"/>
    <xf numFmtId="0" fontId="0" fillId="12" borderId="0" xfId="0" applyFill="1"/>
    <xf numFmtId="0" fontId="15" fillId="0" borderId="0" xfId="0" applyFont="1" applyBorder="1" applyAlignment="1">
      <alignment horizontal="left"/>
    </xf>
    <xf numFmtId="0" fontId="23" fillId="12" borderId="66" xfId="0" applyFont="1" applyFill="1" applyBorder="1" applyAlignment="1">
      <alignment horizontal="centerContinuous" wrapText="1"/>
    </xf>
    <xf numFmtId="0" fontId="23" fillId="12" borderId="67" xfId="0" applyFont="1" applyFill="1" applyBorder="1" applyAlignment="1">
      <alignment horizontal="centerContinuous" wrapText="1"/>
    </xf>
    <xf numFmtId="0" fontId="23" fillId="12" borderId="68" xfId="0" applyFont="1" applyFill="1" applyBorder="1" applyAlignment="1">
      <alignment horizontal="centerContinuous" wrapText="1"/>
    </xf>
    <xf numFmtId="0" fontId="24" fillId="12" borderId="53" xfId="0" applyFont="1" applyFill="1" applyBorder="1" applyAlignment="1">
      <alignment wrapText="1"/>
    </xf>
    <xf numFmtId="0" fontId="25" fillId="12" borderId="53" xfId="0" applyFont="1" applyFill="1" applyBorder="1" applyAlignment="1">
      <alignment wrapText="1"/>
    </xf>
    <xf numFmtId="0" fontId="24" fillId="12" borderId="52" xfId="0" applyFont="1" applyFill="1" applyBorder="1" applyAlignment="1">
      <alignment wrapText="1"/>
    </xf>
    <xf numFmtId="0" fontId="24" fillId="12" borderId="49" xfId="0" applyFont="1" applyFill="1" applyBorder="1" applyAlignment="1">
      <alignment wrapText="1"/>
    </xf>
    <xf numFmtId="0" fontId="23" fillId="12" borderId="53" xfId="0" applyFont="1" applyFill="1" applyBorder="1" applyAlignment="1">
      <alignment wrapText="1"/>
    </xf>
    <xf numFmtId="0" fontId="34" fillId="12" borderId="49" xfId="0" applyFont="1" applyFill="1" applyBorder="1" applyAlignment="1">
      <alignment wrapText="1"/>
    </xf>
    <xf numFmtId="0" fontId="23" fillId="12" borderId="70" xfId="0" applyFont="1" applyFill="1" applyBorder="1" applyAlignment="1">
      <alignment wrapText="1"/>
    </xf>
    <xf numFmtId="0" fontId="0" fillId="8" borderId="19" xfId="0" applyFont="1" applyFill="1" applyBorder="1"/>
    <xf numFmtId="0" fontId="0" fillId="4" borderId="20" xfId="0" applyFont="1" applyFill="1" applyBorder="1"/>
    <xf numFmtId="0" fontId="0" fillId="4" borderId="19" xfId="0" applyFont="1" applyFill="1" applyBorder="1"/>
    <xf numFmtId="0" fontId="0" fillId="4" borderId="61" xfId="0" applyFont="1" applyFill="1" applyBorder="1"/>
    <xf numFmtId="0" fontId="0" fillId="0" borderId="20" xfId="0" applyFont="1" applyBorder="1"/>
    <xf numFmtId="0" fontId="0" fillId="0" borderId="19" xfId="0" applyFont="1" applyBorder="1"/>
    <xf numFmtId="0" fontId="0" fillId="0" borderId="61" xfId="0" applyFont="1" applyBorder="1"/>
    <xf numFmtId="0" fontId="0" fillId="8" borderId="29" xfId="0" applyFill="1" applyBorder="1"/>
    <xf numFmtId="0" fontId="0" fillId="8" borderId="30" xfId="0" applyFont="1" applyFill="1" applyBorder="1"/>
    <xf numFmtId="0" fontId="0" fillId="8" borderId="29" xfId="0" applyFont="1" applyFill="1" applyBorder="1"/>
    <xf numFmtId="0" fontId="0" fillId="8" borderId="63" xfId="0" applyFont="1" applyFill="1" applyBorder="1"/>
    <xf numFmtId="0" fontId="23" fillId="0" borderId="0" xfId="0" applyFont="1"/>
    <xf numFmtId="0" fontId="23" fillId="12" borderId="13" xfId="0" applyFont="1" applyFill="1" applyBorder="1" applyAlignment="1">
      <alignment horizontal="centerContinuous" wrapText="1"/>
    </xf>
    <xf numFmtId="0" fontId="23" fillId="12" borderId="72" xfId="0" applyFont="1" applyFill="1" applyBorder="1" applyAlignment="1">
      <alignment horizontal="centerContinuous" wrapText="1"/>
    </xf>
    <xf numFmtId="0" fontId="23" fillId="12" borderId="38" xfId="0" applyFont="1" applyFill="1" applyBorder="1" applyAlignment="1">
      <alignment horizontal="centerContinuous" wrapText="1"/>
    </xf>
    <xf numFmtId="0" fontId="23" fillId="12" borderId="20" xfId="0" applyFont="1" applyFill="1" applyBorder="1" applyAlignment="1">
      <alignment wrapText="1"/>
    </xf>
    <xf numFmtId="0" fontId="23" fillId="12" borderId="21" xfId="0" applyFont="1" applyFill="1" applyBorder="1" applyAlignment="1">
      <alignment wrapText="1"/>
    </xf>
    <xf numFmtId="0" fontId="23" fillId="12" borderId="22" xfId="0" applyFont="1" applyFill="1" applyBorder="1" applyAlignment="1">
      <alignment wrapText="1"/>
    </xf>
    <xf numFmtId="0" fontId="24" fillId="12" borderId="19" xfId="0" applyFont="1" applyFill="1" applyBorder="1" applyAlignment="1">
      <alignment wrapText="1"/>
    </xf>
    <xf numFmtId="0" fontId="23" fillId="12" borderId="24" xfId="0" applyFont="1" applyFill="1" applyBorder="1" applyAlignment="1">
      <alignment wrapText="1"/>
    </xf>
    <xf numFmtId="0" fontId="28" fillId="4" borderId="64" xfId="0" applyFont="1" applyFill="1" applyBorder="1"/>
    <xf numFmtId="0" fontId="28" fillId="0" borderId="64" xfId="0" applyFont="1" applyBorder="1"/>
    <xf numFmtId="0" fontId="29" fillId="8" borderId="65" xfId="0" applyFont="1" applyFill="1" applyBorder="1" applyAlignment="1">
      <alignment horizontal="right"/>
    </xf>
    <xf numFmtId="0" fontId="29" fillId="8" borderId="35" xfId="0" applyFont="1" applyFill="1" applyBorder="1"/>
    <xf numFmtId="0" fontId="23" fillId="0" borderId="0" xfId="0" applyFont="1" applyBorder="1" applyAlignment="1">
      <alignment horizontal="left"/>
    </xf>
    <xf numFmtId="0" fontId="23" fillId="0" borderId="0" xfId="0" applyFont="1" applyBorder="1" applyAlignment="1">
      <alignment horizontal="center" vertical="center" wrapText="1"/>
    </xf>
    <xf numFmtId="0" fontId="29" fillId="7" borderId="55" xfId="0" applyFont="1" applyFill="1" applyBorder="1" applyAlignment="1">
      <alignment horizontal="right"/>
    </xf>
    <xf numFmtId="0" fontId="0" fillId="7" borderId="40" xfId="0" applyFont="1" applyFill="1" applyBorder="1"/>
    <xf numFmtId="0" fontId="29" fillId="7" borderId="0" xfId="0" applyFont="1" applyFill="1" applyBorder="1"/>
    <xf numFmtId="0" fontId="0" fillId="0" borderId="74" xfId="0" applyBorder="1"/>
    <xf numFmtId="0" fontId="36" fillId="12" borderId="37" xfId="0" applyFont="1" applyFill="1" applyBorder="1" applyAlignment="1">
      <alignment horizontal="left" wrapText="1"/>
    </xf>
    <xf numFmtId="0" fontId="26" fillId="12" borderId="15" xfId="0" applyFont="1" applyFill="1" applyBorder="1" applyAlignment="1">
      <alignment horizontal="center" vertical="center" wrapText="1"/>
    </xf>
    <xf numFmtId="0" fontId="29" fillId="12" borderId="75" xfId="0" applyFont="1" applyFill="1" applyBorder="1" applyAlignment="1">
      <alignment horizontal="right"/>
    </xf>
    <xf numFmtId="0" fontId="0" fillId="12" borderId="15" xfId="0" applyFont="1" applyFill="1" applyBorder="1" applyAlignment="1">
      <alignment wrapText="1"/>
    </xf>
    <xf numFmtId="0" fontId="0" fillId="12" borderId="13" xfId="0" applyFont="1" applyFill="1" applyBorder="1" applyAlignment="1">
      <alignment wrapText="1"/>
    </xf>
    <xf numFmtId="0" fontId="0" fillId="12" borderId="16" xfId="0" applyFont="1" applyFill="1" applyBorder="1" applyAlignment="1">
      <alignment wrapText="1"/>
    </xf>
    <xf numFmtId="0" fontId="29" fillId="12" borderId="76" xfId="0" applyFont="1" applyFill="1" applyBorder="1" applyAlignment="1">
      <alignment wrapText="1"/>
    </xf>
    <xf numFmtId="0" fontId="0" fillId="0" borderId="25" xfId="0" applyBorder="1"/>
    <xf numFmtId="0" fontId="29" fillId="4" borderId="20" xfId="0" applyFont="1" applyFill="1" applyBorder="1" applyAlignment="1">
      <alignment horizontal="right"/>
    </xf>
    <xf numFmtId="0" fontId="29" fillId="4" borderId="78" xfId="0" applyFont="1" applyFill="1" applyBorder="1"/>
    <xf numFmtId="0" fontId="0" fillId="4" borderId="79" xfId="0" applyFill="1" applyBorder="1"/>
    <xf numFmtId="0" fontId="29" fillId="7" borderId="20" xfId="0" applyFont="1" applyFill="1" applyBorder="1" applyAlignment="1">
      <alignment horizontal="right"/>
    </xf>
    <xf numFmtId="0" fontId="0" fillId="7" borderId="21" xfId="0" applyFont="1" applyFill="1" applyBorder="1"/>
    <xf numFmtId="0" fontId="0" fillId="7" borderId="24" xfId="0" applyFont="1" applyFill="1" applyBorder="1"/>
    <xf numFmtId="0" fontId="29" fillId="8" borderId="78" xfId="0" applyFont="1" applyFill="1" applyBorder="1"/>
    <xf numFmtId="0" fontId="0" fillId="8" borderId="79" xfId="0" applyFill="1" applyBorder="1"/>
    <xf numFmtId="0" fontId="29" fillId="7" borderId="81" xfId="0" applyFont="1" applyFill="1" applyBorder="1" applyAlignment="1">
      <alignment horizontal="right"/>
    </xf>
    <xf numFmtId="0" fontId="0" fillId="7" borderId="81" xfId="0" applyFont="1" applyFill="1" applyBorder="1"/>
    <xf numFmtId="0" fontId="29" fillId="8" borderId="83" xfId="0" applyFont="1" applyFill="1" applyBorder="1" applyAlignment="1">
      <alignment horizontal="right"/>
    </xf>
    <xf numFmtId="0" fontId="0" fillId="8" borderId="32" xfId="0" applyFont="1" applyFill="1" applyBorder="1"/>
    <xf numFmtId="0" fontId="0" fillId="8" borderId="84" xfId="0" applyFont="1" applyFill="1" applyBorder="1"/>
    <xf numFmtId="0" fontId="15" fillId="0" borderId="0" xfId="0" applyFont="1" applyFill="1" applyBorder="1" applyAlignment="1">
      <alignment horizontal="left"/>
    </xf>
    <xf numFmtId="0" fontId="0" fillId="0" borderId="0" xfId="0" applyFont="1" applyFill="1" applyBorder="1"/>
    <xf numFmtId="0" fontId="13" fillId="0" borderId="0" xfId="0" applyFont="1" applyFill="1" applyBorder="1"/>
    <xf numFmtId="0" fontId="11" fillId="13" borderId="0" xfId="0" applyFont="1" applyFill="1"/>
    <xf numFmtId="0" fontId="0" fillId="13" borderId="0" xfId="0" applyFill="1"/>
    <xf numFmtId="0" fontId="11" fillId="0" borderId="0" xfId="0" applyFont="1"/>
    <xf numFmtId="0" fontId="23" fillId="13" borderId="12" xfId="0" applyFont="1" applyFill="1" applyBorder="1" applyAlignment="1">
      <alignment horizontal="centerContinuous" wrapText="1"/>
    </xf>
    <xf numFmtId="0" fontId="23" fillId="13" borderId="13" xfId="0" applyFont="1" applyFill="1" applyBorder="1" applyAlignment="1">
      <alignment horizontal="centerContinuous" wrapText="1"/>
    </xf>
    <xf numFmtId="0" fontId="23" fillId="13" borderId="72" xfId="0" applyFont="1" applyFill="1" applyBorder="1" applyAlignment="1">
      <alignment horizontal="centerContinuous" wrapText="1"/>
    </xf>
    <xf numFmtId="0" fontId="23" fillId="13" borderId="57" xfId="0" applyFont="1" applyFill="1" applyBorder="1" applyAlignment="1">
      <alignment wrapText="1"/>
    </xf>
    <xf numFmtId="0" fontId="23" fillId="13" borderId="53" xfId="0" applyFont="1" applyFill="1" applyBorder="1" applyAlignment="1">
      <alignment wrapText="1"/>
    </xf>
    <xf numFmtId="0" fontId="23" fillId="13" borderId="52" xfId="0" applyFont="1" applyFill="1" applyBorder="1" applyAlignment="1">
      <alignment wrapText="1"/>
    </xf>
    <xf numFmtId="0" fontId="24" fillId="13" borderId="19" xfId="0" applyFont="1" applyFill="1" applyBorder="1" applyAlignment="1">
      <alignment wrapText="1"/>
    </xf>
    <xf numFmtId="0" fontId="16" fillId="13" borderId="70" xfId="0" applyFont="1" applyFill="1" applyBorder="1" applyAlignment="1">
      <alignment wrapText="1"/>
    </xf>
    <xf numFmtId="0" fontId="15" fillId="13" borderId="62" xfId="0" applyFont="1" applyFill="1" applyBorder="1" applyAlignment="1">
      <alignment wrapText="1"/>
    </xf>
    <xf numFmtId="0" fontId="15" fillId="13" borderId="15" xfId="0" applyFont="1" applyFill="1" applyBorder="1" applyAlignment="1">
      <alignment wrapText="1"/>
    </xf>
    <xf numFmtId="0" fontId="15" fillId="13" borderId="16" xfId="0" applyFont="1" applyFill="1" applyBorder="1" applyAlignment="1">
      <alignment wrapText="1"/>
    </xf>
    <xf numFmtId="0" fontId="0" fillId="8" borderId="19" xfId="0" applyFill="1" applyBorder="1"/>
    <xf numFmtId="0" fontId="0" fillId="0" borderId="61" xfId="0" applyFill="1" applyBorder="1"/>
    <xf numFmtId="0" fontId="0" fillId="8" borderId="63" xfId="0" applyFill="1" applyBorder="1"/>
    <xf numFmtId="0" fontId="15" fillId="13" borderId="21" xfId="0" applyFont="1" applyFill="1" applyBorder="1" applyAlignment="1">
      <alignment wrapText="1"/>
    </xf>
    <xf numFmtId="0" fontId="16" fillId="13" borderId="64" xfId="0" applyFont="1" applyFill="1" applyBorder="1" applyAlignment="1">
      <alignment wrapText="1"/>
    </xf>
    <xf numFmtId="0" fontId="15" fillId="13" borderId="20" xfId="0" applyFont="1" applyFill="1" applyBorder="1" applyAlignment="1">
      <alignment wrapText="1"/>
    </xf>
    <xf numFmtId="0" fontId="15" fillId="13" borderId="24" xfId="0" applyFont="1" applyFill="1" applyBorder="1" applyAlignment="1">
      <alignment wrapText="1"/>
    </xf>
    <xf numFmtId="0" fontId="21" fillId="4" borderId="49" xfId="0" applyFont="1" applyFill="1" applyBorder="1"/>
    <xf numFmtId="0" fontId="0" fillId="8" borderId="73" xfId="0" applyFill="1" applyBorder="1"/>
    <xf numFmtId="0" fontId="0" fillId="14" borderId="56" xfId="0" applyFill="1" applyBorder="1"/>
    <xf numFmtId="0" fontId="0" fillId="14" borderId="21" xfId="0" applyFill="1" applyBorder="1"/>
    <xf numFmtId="0" fontId="0" fillId="14" borderId="24" xfId="0" applyFill="1" applyBorder="1"/>
    <xf numFmtId="0" fontId="0" fillId="8" borderId="65" xfId="0" applyFill="1" applyBorder="1"/>
    <xf numFmtId="0" fontId="11" fillId="15" borderId="0" xfId="0" applyFont="1" applyFill="1"/>
    <xf numFmtId="0" fontId="0" fillId="15" borderId="0" xfId="0" applyFill="1"/>
    <xf numFmtId="0" fontId="13" fillId="15" borderId="0" xfId="0" applyFont="1" applyFill="1"/>
    <xf numFmtId="0" fontId="12" fillId="15" borderId="9" xfId="0" applyFont="1" applyFill="1" applyBorder="1" applyAlignment="1">
      <alignment wrapText="1"/>
    </xf>
    <xf numFmtId="0" fontId="12" fillId="15" borderId="15" xfId="0" applyFont="1" applyFill="1" applyBorder="1" applyAlignment="1">
      <alignment horizontal="center" wrapText="1"/>
    </xf>
    <xf numFmtId="0" fontId="15" fillId="15" borderId="11" xfId="0" applyFont="1" applyFill="1" applyBorder="1" applyAlignment="1">
      <alignment wrapText="1"/>
    </xf>
    <xf numFmtId="0" fontId="15" fillId="15" borderId="39" xfId="0" applyFont="1" applyFill="1" applyBorder="1" applyAlignment="1">
      <alignment wrapText="1"/>
    </xf>
    <xf numFmtId="0" fontId="15" fillId="15" borderId="15" xfId="0" applyFont="1" applyFill="1" applyBorder="1" applyAlignment="1">
      <alignment wrapText="1"/>
    </xf>
    <xf numFmtId="0" fontId="15" fillId="15" borderId="13" xfId="0" applyFont="1" applyFill="1" applyBorder="1" applyAlignment="1">
      <alignment wrapText="1"/>
    </xf>
    <xf numFmtId="0" fontId="15" fillId="15" borderId="85" xfId="0" applyFont="1" applyFill="1" applyBorder="1" applyAlignment="1">
      <alignment wrapText="1"/>
    </xf>
    <xf numFmtId="0" fontId="15" fillId="15" borderId="86" xfId="0" applyFont="1" applyFill="1" applyBorder="1" applyAlignment="1">
      <alignment wrapText="1"/>
    </xf>
    <xf numFmtId="0" fontId="15" fillId="15" borderId="16" xfId="0" applyFont="1" applyFill="1" applyBorder="1" applyAlignment="1">
      <alignment wrapText="1"/>
    </xf>
    <xf numFmtId="0" fontId="0" fillId="4" borderId="87" xfId="0" applyFill="1" applyBorder="1"/>
    <xf numFmtId="0" fontId="0" fillId="4" borderId="88" xfId="0" applyFill="1" applyBorder="1"/>
    <xf numFmtId="0" fontId="0" fillId="4" borderId="89" xfId="0" applyFill="1" applyBorder="1"/>
    <xf numFmtId="0" fontId="0" fillId="0" borderId="87" xfId="0" applyBorder="1"/>
    <xf numFmtId="0" fontId="0" fillId="0" borderId="88" xfId="0" applyBorder="1"/>
    <xf numFmtId="0" fontId="0" fillId="0" borderId="89" xfId="0" applyBorder="1"/>
    <xf numFmtId="0" fontId="0" fillId="0" borderId="42" xfId="0" applyBorder="1"/>
    <xf numFmtId="0" fontId="0" fillId="0" borderId="48" xfId="0" applyBorder="1"/>
    <xf numFmtId="0" fontId="0" fillId="0" borderId="90" xfId="0" applyBorder="1"/>
    <xf numFmtId="0" fontId="0" fillId="0" borderId="81" xfId="0" applyBorder="1"/>
    <xf numFmtId="0" fontId="0" fillId="0" borderId="91" xfId="0" applyBorder="1"/>
    <xf numFmtId="0" fontId="0" fillId="0" borderId="92" xfId="0" applyBorder="1"/>
    <xf numFmtId="0" fontId="0" fillId="0" borderId="93" xfId="0" applyBorder="1"/>
    <xf numFmtId="0" fontId="12" fillId="11" borderId="9" xfId="0" applyFont="1" applyFill="1" applyBorder="1" applyAlignment="1">
      <alignment horizontal="left" vertical="center" wrapText="1"/>
    </xf>
    <xf numFmtId="0" fontId="41" fillId="11" borderId="15" xfId="0" applyFont="1" applyFill="1" applyBorder="1" applyAlignment="1">
      <alignment wrapText="1"/>
    </xf>
    <xf numFmtId="0" fontId="15" fillId="11" borderId="11" xfId="0" applyFont="1" applyFill="1" applyBorder="1" applyAlignment="1">
      <alignment wrapText="1"/>
    </xf>
    <xf numFmtId="0" fontId="15" fillId="11" borderId="15" xfId="0" applyFont="1" applyFill="1" applyBorder="1" applyAlignment="1">
      <alignment wrapText="1"/>
    </xf>
    <xf numFmtId="0" fontId="15" fillId="11" borderId="16" xfId="0" applyFont="1" applyFill="1" applyBorder="1" applyAlignment="1">
      <alignment wrapText="1"/>
    </xf>
    <xf numFmtId="4" fontId="14" fillId="0" borderId="21" xfId="0" applyNumberFormat="1" applyFont="1" applyBorder="1"/>
    <xf numFmtId="4" fontId="1" fillId="0" borderId="0" xfId="0" applyNumberFormat="1" applyFont="1"/>
    <xf numFmtId="0" fontId="42" fillId="0" borderId="21" xfId="0" applyFont="1" applyBorder="1"/>
    <xf numFmtId="0" fontId="42" fillId="0" borderId="24" xfId="0" applyFont="1" applyBorder="1"/>
    <xf numFmtId="4" fontId="0" fillId="0" borderId="0" xfId="0" applyNumberFormat="1"/>
    <xf numFmtId="4" fontId="21" fillId="0" borderId="21" xfId="0" applyNumberFormat="1" applyFont="1" applyBorder="1"/>
    <xf numFmtId="0" fontId="21" fillId="0" borderId="24" xfId="0" applyFont="1" applyBorder="1"/>
    <xf numFmtId="0" fontId="14" fillId="0" borderId="21" xfId="0" applyFont="1" applyBorder="1"/>
    <xf numFmtId="0" fontId="14" fillId="0" borderId="24" xfId="0" applyFont="1" applyBorder="1"/>
    <xf numFmtId="0" fontId="0" fillId="16" borderId="94" xfId="0" applyFont="1" applyFill="1" applyBorder="1" applyAlignment="1">
      <alignment wrapText="1"/>
    </xf>
    <xf numFmtId="4" fontId="13" fillId="5" borderId="31" xfId="0" applyNumberFormat="1" applyFont="1" applyFill="1" applyBorder="1" applyAlignment="1">
      <alignment horizontal="right"/>
    </xf>
    <xf numFmtId="4" fontId="13" fillId="17" borderId="31" xfId="0" applyNumberFormat="1" applyFont="1" applyFill="1" applyBorder="1" applyAlignment="1">
      <alignment horizontal="right"/>
    </xf>
    <xf numFmtId="0" fontId="13" fillId="5" borderId="31" xfId="0" applyFont="1" applyFill="1" applyBorder="1" applyAlignment="1">
      <alignment horizontal="right"/>
    </xf>
    <xf numFmtId="0" fontId="12" fillId="3" borderId="95" xfId="0" applyFont="1" applyFill="1" applyBorder="1" applyAlignment="1">
      <alignment wrapText="1"/>
    </xf>
    <xf numFmtId="3" fontId="0" fillId="0" borderId="23" xfId="0" applyNumberFormat="1" applyBorder="1"/>
    <xf numFmtId="3" fontId="0" fillId="5" borderId="24" xfId="0" applyNumberFormat="1" applyFill="1" applyBorder="1"/>
    <xf numFmtId="3" fontId="0" fillId="5" borderId="33" xfId="0" applyNumberFormat="1" applyFill="1" applyBorder="1"/>
    <xf numFmtId="3" fontId="0" fillId="5" borderId="31" xfId="0" applyNumberFormat="1" applyFill="1" applyBorder="1"/>
    <xf numFmtId="3" fontId="0" fillId="5" borderId="35" xfId="0" applyNumberFormat="1" applyFill="1" applyBorder="1"/>
    <xf numFmtId="4" fontId="0" fillId="0" borderId="20" xfId="0" applyNumberFormat="1" applyBorder="1"/>
    <xf numFmtId="4" fontId="0" fillId="0" borderId="19" xfId="0" applyNumberFormat="1" applyBorder="1"/>
    <xf numFmtId="4" fontId="0" fillId="0" borderId="19" xfId="0" applyNumberFormat="1" applyFill="1" applyBorder="1"/>
    <xf numFmtId="4" fontId="0" fillId="0" borderId="20" xfId="0" applyNumberFormat="1" applyFill="1" applyBorder="1"/>
    <xf numFmtId="3" fontId="0" fillId="5" borderId="30" xfId="0" applyNumberFormat="1" applyFill="1" applyBorder="1"/>
    <xf numFmtId="3" fontId="0" fillId="5" borderId="29" xfId="0" applyNumberFormat="1" applyFill="1" applyBorder="1"/>
    <xf numFmtId="0" fontId="15" fillId="0" borderId="0" xfId="0" applyFont="1" applyFill="1" applyBorder="1" applyAlignment="1">
      <alignment horizontal="left" vertical="center" wrapText="1"/>
    </xf>
    <xf numFmtId="0" fontId="12" fillId="15" borderId="10" xfId="0" applyFont="1" applyFill="1" applyBorder="1" applyAlignment="1">
      <alignment horizontal="center" wrapText="1"/>
    </xf>
    <xf numFmtId="4" fontId="21" fillId="0" borderId="21" xfId="0" applyNumberFormat="1" applyFont="1" applyBorder="1" applyAlignment="1">
      <alignment vertical="center"/>
    </xf>
    <xf numFmtId="0" fontId="0" fillId="0" borderId="28" xfId="0" applyBorder="1"/>
    <xf numFmtId="0" fontId="13" fillId="5" borderId="35" xfId="0" applyFont="1" applyFill="1" applyBorder="1" applyAlignment="1">
      <alignment horizontal="right"/>
    </xf>
    <xf numFmtId="0" fontId="23" fillId="11" borderId="49" xfId="0" applyFont="1" applyFill="1" applyBorder="1" applyAlignment="1">
      <alignment horizontal="center" wrapText="1"/>
    </xf>
    <xf numFmtId="0" fontId="2" fillId="0" borderId="0" xfId="0" applyFont="1" applyAlignment="1"/>
    <xf numFmtId="0" fontId="3" fillId="0" borderId="0" xfId="0" applyFont="1" applyAlignment="1"/>
    <xf numFmtId="0" fontId="5" fillId="2" borderId="101" xfId="0" applyFont="1" applyFill="1" applyBorder="1" applyAlignment="1">
      <alignment horizontal="centerContinuous"/>
    </xf>
    <xf numFmtId="0" fontId="0" fillId="2" borderId="102" xfId="0" applyFill="1" applyBorder="1" applyAlignment="1">
      <alignment horizontal="centerContinuous"/>
    </xf>
    <xf numFmtId="0" fontId="12" fillId="3" borderId="104" xfId="0" applyFont="1" applyFill="1" applyBorder="1" applyAlignment="1">
      <alignment wrapText="1"/>
    </xf>
    <xf numFmtId="0" fontId="12" fillId="3" borderId="105" xfId="0" applyFont="1" applyFill="1" applyBorder="1" applyAlignment="1">
      <alignment wrapText="1"/>
    </xf>
    <xf numFmtId="0" fontId="12" fillId="6" borderId="104" xfId="0" applyFont="1" applyFill="1" applyBorder="1"/>
    <xf numFmtId="0" fontId="12" fillId="6" borderId="105" xfId="0" applyFont="1" applyFill="1" applyBorder="1" applyAlignment="1">
      <alignment horizontal="center" wrapText="1"/>
    </xf>
    <xf numFmtId="0" fontId="12" fillId="6" borderId="105" xfId="0" applyFont="1" applyFill="1" applyBorder="1" applyAlignment="1">
      <alignment wrapText="1"/>
    </xf>
    <xf numFmtId="0" fontId="12" fillId="9" borderId="104" xfId="0" applyFont="1" applyFill="1" applyBorder="1" applyAlignment="1">
      <alignment wrapText="1"/>
    </xf>
    <xf numFmtId="0" fontId="32" fillId="9" borderId="105" xfId="0" applyFont="1" applyFill="1" applyBorder="1" applyAlignment="1">
      <alignment horizontal="center" wrapText="1"/>
    </xf>
    <xf numFmtId="0" fontId="23" fillId="11" borderId="107" xfId="0" applyFont="1" applyFill="1" applyBorder="1" applyAlignment="1">
      <alignment horizontal="center" wrapText="1"/>
    </xf>
    <xf numFmtId="0" fontId="23" fillId="12" borderId="108" xfId="0" applyFont="1" applyFill="1" applyBorder="1" applyAlignment="1">
      <alignment horizontal="centerContinuous" wrapText="1"/>
    </xf>
    <xf numFmtId="0" fontId="23" fillId="12" borderId="109" xfId="0" applyFont="1" applyFill="1" applyBorder="1" applyAlignment="1">
      <alignment horizontal="centerContinuous" wrapText="1"/>
    </xf>
    <xf numFmtId="0" fontId="23" fillId="12" borderId="110" xfId="0" applyFont="1" applyFill="1" applyBorder="1" applyAlignment="1">
      <alignment horizontal="centerContinuous" wrapText="1"/>
    </xf>
    <xf numFmtId="0" fontId="12" fillId="15" borderId="104" xfId="0" applyFont="1" applyFill="1" applyBorder="1" applyAlignment="1">
      <alignment wrapText="1"/>
    </xf>
    <xf numFmtId="0" fontId="12" fillId="11" borderId="104" xfId="0" applyFont="1" applyFill="1" applyBorder="1" applyAlignment="1">
      <alignment horizontal="left" vertical="center" wrapText="1"/>
    </xf>
    <xf numFmtId="0" fontId="45" fillId="0" borderId="21" xfId="0" applyFont="1" applyBorder="1"/>
    <xf numFmtId="0" fontId="46" fillId="5" borderId="31" xfId="0" applyFont="1" applyFill="1" applyBorder="1" applyAlignment="1">
      <alignment horizontal="right"/>
    </xf>
    <xf numFmtId="0" fontId="0" fillId="0" borderId="0" xfId="0" applyAlignment="1">
      <alignment horizontal="right"/>
    </xf>
    <xf numFmtId="2" fontId="13" fillId="5" borderId="31" xfId="0" applyNumberFormat="1" applyFont="1" applyFill="1" applyBorder="1" applyAlignment="1">
      <alignment horizontal="right"/>
    </xf>
    <xf numFmtId="0" fontId="47" fillId="4" borderId="19" xfId="0" applyFont="1" applyFill="1" applyBorder="1"/>
    <xf numFmtId="0" fontId="47" fillId="4" borderId="20" xfId="0" applyFont="1" applyFill="1" applyBorder="1"/>
    <xf numFmtId="0" fontId="47" fillId="4" borderId="21" xfId="0" applyFont="1" applyFill="1" applyBorder="1"/>
    <xf numFmtId="0" fontId="47" fillId="5" borderId="22" xfId="0" applyFont="1" applyFill="1" applyBorder="1"/>
    <xf numFmtId="0" fontId="47" fillId="4" borderId="23" xfId="0" applyFont="1" applyFill="1" applyBorder="1"/>
    <xf numFmtId="0" fontId="48" fillId="4" borderId="21" xfId="0" applyFont="1" applyFill="1" applyBorder="1"/>
    <xf numFmtId="0" fontId="48" fillId="4" borderId="24" xfId="0" applyFont="1" applyFill="1" applyBorder="1"/>
    <xf numFmtId="0" fontId="47" fillId="0" borderId="19" xfId="0" applyFont="1" applyBorder="1"/>
    <xf numFmtId="0" fontId="47" fillId="0" borderId="20" xfId="0" applyFont="1" applyBorder="1"/>
    <xf numFmtId="0" fontId="47" fillId="0" borderId="21" xfId="0" applyFont="1" applyBorder="1"/>
    <xf numFmtId="0" fontId="47" fillId="0" borderId="23" xfId="0" applyFont="1" applyBorder="1"/>
    <xf numFmtId="0" fontId="48" fillId="0" borderId="21" xfId="0" applyFont="1" applyBorder="1"/>
    <xf numFmtId="0" fontId="48" fillId="2" borderId="24" xfId="0" applyFont="1" applyFill="1" applyBorder="1"/>
    <xf numFmtId="0" fontId="47" fillId="0" borderId="19" xfId="0" applyFont="1" applyFill="1" applyBorder="1"/>
    <xf numFmtId="0" fontId="46" fillId="5" borderId="29" xfId="0" applyFont="1" applyFill="1" applyBorder="1" applyAlignment="1">
      <alignment horizontal="right"/>
    </xf>
    <xf numFmtId="0" fontId="47" fillId="5" borderId="30" xfId="0" applyFont="1" applyFill="1" applyBorder="1"/>
    <xf numFmtId="0" fontId="47" fillId="5" borderId="31" xfId="0" applyFont="1" applyFill="1" applyBorder="1"/>
    <xf numFmtId="0" fontId="47" fillId="5" borderId="32" xfId="0" applyFont="1" applyFill="1" applyBorder="1"/>
    <xf numFmtId="0" fontId="47" fillId="5" borderId="33" xfId="0" applyFont="1" applyFill="1" applyBorder="1"/>
    <xf numFmtId="0" fontId="47" fillId="5" borderId="34" xfId="0" applyFont="1" applyFill="1" applyBorder="1"/>
    <xf numFmtId="0" fontId="48" fillId="4" borderId="23" xfId="0" applyFont="1" applyFill="1" applyBorder="1"/>
    <xf numFmtId="0" fontId="47" fillId="5" borderId="24" xfId="0" applyFont="1" applyFill="1" applyBorder="1"/>
    <xf numFmtId="0" fontId="48" fillId="0" borderId="23" xfId="0" applyFont="1" applyBorder="1"/>
    <xf numFmtId="0" fontId="48" fillId="4" borderId="20" xfId="0" applyFont="1" applyFill="1" applyBorder="1"/>
    <xf numFmtId="0" fontId="48" fillId="4" borderId="19" xfId="0" applyFont="1" applyFill="1" applyBorder="1"/>
    <xf numFmtId="0" fontId="48" fillId="0" borderId="20" xfId="0" applyFont="1" applyBorder="1"/>
    <xf numFmtId="0" fontId="48" fillId="0" borderId="19" xfId="0" applyFont="1" applyBorder="1"/>
    <xf numFmtId="0" fontId="47" fillId="0" borderId="113" xfId="0" applyFont="1" applyBorder="1"/>
    <xf numFmtId="0" fontId="28" fillId="4" borderId="113" xfId="0" applyFont="1" applyFill="1" applyBorder="1"/>
    <xf numFmtId="0" fontId="48" fillId="4" borderId="51" xfId="0" applyFont="1" applyFill="1" applyBorder="1"/>
    <xf numFmtId="0" fontId="48" fillId="4" borderId="52" xfId="0" applyFont="1" applyFill="1" applyBorder="1"/>
    <xf numFmtId="0" fontId="28" fillId="0" borderId="113" xfId="0" applyFont="1" applyBorder="1"/>
    <xf numFmtId="0" fontId="48" fillId="0" borderId="56" xfId="0" applyFont="1" applyBorder="1"/>
    <xf numFmtId="0" fontId="48" fillId="0" borderId="24" xfId="0" applyFont="1" applyBorder="1"/>
    <xf numFmtId="0" fontId="47" fillId="0" borderId="56" xfId="0" applyFont="1" applyBorder="1"/>
    <xf numFmtId="0" fontId="47" fillId="0" borderId="24" xfId="0" applyFont="1" applyBorder="1"/>
    <xf numFmtId="0" fontId="29" fillId="8" borderId="117" xfId="0" applyFont="1" applyFill="1" applyBorder="1" applyAlignment="1">
      <alignment horizontal="right"/>
    </xf>
    <xf numFmtId="0" fontId="45" fillId="4" borderId="21" xfId="0" applyFont="1" applyFill="1" applyBorder="1"/>
    <xf numFmtId="0" fontId="47" fillId="8" borderId="61" xfId="0" applyFont="1" applyFill="1" applyBorder="1"/>
    <xf numFmtId="0" fontId="47" fillId="4" borderId="53" xfId="0" applyFont="1" applyFill="1" applyBorder="1"/>
    <xf numFmtId="0" fontId="47" fillId="4" borderId="52" xfId="0" applyFont="1" applyFill="1" applyBorder="1"/>
    <xf numFmtId="0" fontId="47" fillId="4" borderId="54" xfId="0" applyFont="1" applyFill="1" applyBorder="1"/>
    <xf numFmtId="0" fontId="47" fillId="8" borderId="31" xfId="0" applyFont="1" applyFill="1" applyBorder="1" applyAlignment="1">
      <alignment horizontal="right"/>
    </xf>
    <xf numFmtId="0" fontId="46" fillId="8" borderId="32" xfId="0" applyFont="1" applyFill="1" applyBorder="1" applyAlignment="1">
      <alignment horizontal="right"/>
    </xf>
    <xf numFmtId="0" fontId="46" fillId="8" borderId="34" xfId="0" applyFont="1" applyFill="1" applyBorder="1" applyAlignment="1">
      <alignment horizontal="right"/>
    </xf>
    <xf numFmtId="0" fontId="47" fillId="8" borderId="30" xfId="0" applyFont="1" applyFill="1" applyBorder="1"/>
    <xf numFmtId="0" fontId="47" fillId="8" borderId="31" xfId="0" applyFont="1" applyFill="1" applyBorder="1"/>
    <xf numFmtId="0" fontId="47" fillId="8" borderId="35" xfId="0" applyFont="1" applyFill="1" applyBorder="1"/>
    <xf numFmtId="0" fontId="50" fillId="0" borderId="21" xfId="0" applyFont="1" applyBorder="1"/>
    <xf numFmtId="0" fontId="50" fillId="0" borderId="24" xfId="0" applyFont="1" applyBorder="1"/>
    <xf numFmtId="0" fontId="34" fillId="0" borderId="18" xfId="0" applyFont="1" applyBorder="1" applyAlignment="1">
      <alignment vertical="center" wrapText="1"/>
    </xf>
    <xf numFmtId="164" fontId="50" fillId="0" borderId="21" xfId="0" applyNumberFormat="1" applyFont="1" applyBorder="1"/>
    <xf numFmtId="0" fontId="34" fillId="0" borderId="48" xfId="0" applyFont="1" applyBorder="1" applyAlignment="1">
      <alignment vertical="center" wrapText="1"/>
    </xf>
    <xf numFmtId="0" fontId="34" fillId="0" borderId="98" xfId="0" applyFont="1" applyBorder="1" applyAlignment="1">
      <alignment vertical="center" wrapText="1"/>
    </xf>
    <xf numFmtId="164" fontId="13" fillId="5" borderId="31" xfId="0" applyNumberFormat="1" applyFont="1" applyFill="1" applyBorder="1" applyAlignment="1">
      <alignment horizontal="right"/>
    </xf>
    <xf numFmtId="0" fontId="28" fillId="4" borderId="19" xfId="0" applyFont="1" applyFill="1" applyBorder="1" applyAlignment="1">
      <alignment vertical="top"/>
    </xf>
    <xf numFmtId="0" fontId="0" fillId="0" borderId="56" xfId="0" applyFill="1" applyBorder="1"/>
    <xf numFmtId="0" fontId="0" fillId="0" borderId="24" xfId="0" applyFill="1" applyBorder="1"/>
    <xf numFmtId="0" fontId="21" fillId="0" borderId="21" xfId="0" applyFont="1" applyFill="1" applyBorder="1"/>
    <xf numFmtId="0" fontId="0" fillId="0" borderId="20" xfId="0" applyNumberFormat="1" applyBorder="1"/>
    <xf numFmtId="4" fontId="21" fillId="0" borderId="21" xfId="0" applyNumberFormat="1" applyFont="1" applyFill="1" applyBorder="1"/>
    <xf numFmtId="3" fontId="0" fillId="0" borderId="20" xfId="0" applyNumberFormat="1" applyBorder="1"/>
    <xf numFmtId="0" fontId="10" fillId="3" borderId="95" xfId="0" applyFont="1" applyFill="1" applyBorder="1" applyAlignment="1">
      <alignment wrapText="1"/>
    </xf>
    <xf numFmtId="0" fontId="10" fillId="3" borderId="18" xfId="0" applyFont="1" applyFill="1" applyBorder="1" applyAlignment="1">
      <alignment horizontal="center" wrapText="1"/>
    </xf>
    <xf numFmtId="0" fontId="8" fillId="3" borderId="19" xfId="0" applyFont="1" applyFill="1" applyBorder="1" applyAlignment="1">
      <alignment wrapText="1"/>
    </xf>
    <xf numFmtId="0" fontId="8" fillId="3" borderId="20" xfId="0" applyFont="1" applyFill="1" applyBorder="1" applyAlignment="1">
      <alignment horizontal="center" wrapText="1"/>
    </xf>
    <xf numFmtId="0" fontId="8" fillId="3" borderId="21" xfId="0" applyFont="1" applyFill="1" applyBorder="1" applyAlignment="1">
      <alignment horizontal="center" wrapText="1"/>
    </xf>
    <xf numFmtId="0" fontId="10" fillId="3" borderId="22" xfId="0" applyFont="1" applyFill="1" applyBorder="1" applyAlignment="1">
      <alignment horizontal="center" wrapText="1"/>
    </xf>
    <xf numFmtId="0" fontId="51" fillId="3" borderId="23" xfId="0" applyFont="1" applyFill="1" applyBorder="1" applyAlignment="1">
      <alignment wrapText="1"/>
    </xf>
    <xf numFmtId="0" fontId="8" fillId="3" borderId="21" xfId="0" applyFont="1" applyFill="1" applyBorder="1" applyAlignment="1">
      <alignment wrapText="1"/>
    </xf>
    <xf numFmtId="0" fontId="51" fillId="3" borderId="21" xfId="0" applyFont="1" applyFill="1" applyBorder="1" applyAlignment="1">
      <alignment wrapText="1"/>
    </xf>
    <xf numFmtId="0" fontId="8" fillId="3" borderId="24" xfId="0" applyFont="1" applyFill="1" applyBorder="1" applyAlignment="1">
      <alignment wrapText="1"/>
    </xf>
    <xf numFmtId="0" fontId="29" fillId="11" borderId="47" xfId="0" applyFont="1" applyFill="1" applyBorder="1" applyAlignment="1">
      <alignment horizontal="centerContinuous" wrapText="1"/>
    </xf>
    <xf numFmtId="0" fontId="29" fillId="11" borderId="13" xfId="0" applyFont="1" applyFill="1" applyBorder="1" applyAlignment="1">
      <alignment horizontal="centerContinuous" wrapText="1"/>
    </xf>
    <xf numFmtId="0" fontId="29" fillId="11" borderId="38" xfId="0" applyFont="1" applyFill="1" applyBorder="1" applyAlignment="1">
      <alignment horizontal="centerContinuous" wrapText="1"/>
    </xf>
    <xf numFmtId="0" fontId="0" fillId="11" borderId="20" xfId="0" applyFont="1" applyFill="1" applyBorder="1" applyAlignment="1">
      <alignment wrapText="1"/>
    </xf>
    <xf numFmtId="0" fontId="0" fillId="11" borderId="21" xfId="0" applyFont="1" applyFill="1" applyBorder="1" applyAlignment="1">
      <alignment wrapText="1"/>
    </xf>
    <xf numFmtId="0" fontId="53" fillId="11" borderId="51" xfId="0" applyFont="1" applyFill="1" applyBorder="1" applyAlignment="1">
      <alignment wrapText="1"/>
    </xf>
    <xf numFmtId="0" fontId="0" fillId="11" borderId="52" xfId="0" applyFont="1" applyFill="1" applyBorder="1" applyAlignment="1">
      <alignment wrapText="1"/>
    </xf>
    <xf numFmtId="0" fontId="0" fillId="11" borderId="53" xfId="0" applyFont="1" applyFill="1" applyBorder="1" applyAlignment="1">
      <alignment wrapText="1"/>
    </xf>
    <xf numFmtId="0" fontId="53" fillId="11" borderId="53" xfId="0" applyFont="1" applyFill="1" applyBorder="1" applyAlignment="1">
      <alignment wrapText="1"/>
    </xf>
    <xf numFmtId="0" fontId="0" fillId="11" borderId="54" xfId="0" applyFont="1" applyFill="1" applyBorder="1" applyAlignment="1">
      <alignment wrapText="1"/>
    </xf>
    <xf numFmtId="2" fontId="21" fillId="0" borderId="21" xfId="0" applyNumberFormat="1" applyFont="1" applyBorder="1"/>
    <xf numFmtId="0" fontId="13" fillId="0" borderId="55" xfId="0" applyFont="1" applyFill="1" applyBorder="1" applyAlignment="1">
      <alignment horizontal="right"/>
    </xf>
    <xf numFmtId="0" fontId="0" fillId="7" borderId="20" xfId="0" applyFill="1" applyBorder="1"/>
    <xf numFmtId="0" fontId="0" fillId="7" borderId="23" xfId="0" applyFill="1" applyBorder="1"/>
    <xf numFmtId="0" fontId="0" fillId="7" borderId="21" xfId="0" applyFill="1" applyBorder="1"/>
    <xf numFmtId="0" fontId="28" fillId="7" borderId="19" xfId="0" applyFont="1" applyFill="1" applyBorder="1"/>
    <xf numFmtId="0" fontId="28" fillId="7" borderId="21" xfId="0" applyFont="1" applyFill="1" applyBorder="1"/>
    <xf numFmtId="0" fontId="0" fillId="7" borderId="56" xfId="0" applyFill="1" applyBorder="1"/>
    <xf numFmtId="0" fontId="0" fillId="7" borderId="24" xfId="0" applyFill="1" applyBorder="1"/>
    <xf numFmtId="8" fontId="21" fillId="0" borderId="21" xfId="0" applyNumberFormat="1" applyFont="1" applyBorder="1"/>
    <xf numFmtId="8" fontId="13" fillId="5" borderId="31" xfId="0" applyNumberFormat="1" applyFont="1" applyFill="1" applyBorder="1" applyAlignment="1">
      <alignment horizontal="right"/>
    </xf>
    <xf numFmtId="0" fontId="0" fillId="0" borderId="18" xfId="0" applyBorder="1" applyAlignment="1">
      <alignment horizontal="center" vertical="center" wrapText="1"/>
    </xf>
    <xf numFmtId="0" fontId="0" fillId="0" borderId="28" xfId="0" applyBorder="1" applyAlignment="1">
      <alignment wrapText="1"/>
    </xf>
    <xf numFmtId="0" fontId="23" fillId="11" borderId="49" xfId="0" applyFont="1" applyFill="1" applyBorder="1" applyAlignment="1">
      <alignment horizontal="center" wrapText="1"/>
    </xf>
    <xf numFmtId="0" fontId="23" fillId="11" borderId="107" xfId="0" applyFont="1" applyFill="1" applyBorder="1" applyAlignment="1">
      <alignment horizontal="center" wrapText="1"/>
    </xf>
    <xf numFmtId="0" fontId="12" fillId="3" borderId="119" xfId="0" applyFont="1" applyFill="1" applyBorder="1" applyAlignment="1">
      <alignment wrapText="1"/>
    </xf>
    <xf numFmtId="3" fontId="28" fillId="0" borderId="21" xfId="0" applyNumberFormat="1" applyFont="1" applyBorder="1"/>
    <xf numFmtId="3" fontId="0" fillId="0" borderId="56" xfId="0" applyNumberFormat="1" applyBorder="1"/>
    <xf numFmtId="0" fontId="0" fillId="0" borderId="119" xfId="0" applyBorder="1"/>
    <xf numFmtId="0" fontId="1" fillId="0" borderId="0" xfId="0" applyFont="1"/>
    <xf numFmtId="4" fontId="0" fillId="0" borderId="21" xfId="0" applyNumberFormat="1" applyBorder="1"/>
    <xf numFmtId="0" fontId="29" fillId="4" borderId="120" xfId="0" applyFont="1" applyFill="1" applyBorder="1"/>
    <xf numFmtId="0" fontId="29" fillId="8" borderId="120" xfId="0" applyFont="1" applyFill="1" applyBorder="1"/>
    <xf numFmtId="0" fontId="43" fillId="0" borderId="48" xfId="0" applyFont="1" applyBorder="1" applyAlignment="1">
      <alignment horizontal="center" vertical="center" wrapText="1"/>
    </xf>
    <xf numFmtId="4" fontId="21" fillId="0" borderId="21" xfId="0" applyNumberFormat="1" applyFont="1" applyBorder="1" applyAlignment="1">
      <alignment horizontal="right"/>
    </xf>
    <xf numFmtId="0" fontId="21" fillId="0" borderId="21" xfId="0" applyFont="1" applyBorder="1" applyAlignment="1">
      <alignment horizontal="right"/>
    </xf>
    <xf numFmtId="0" fontId="23" fillId="11" borderId="49" xfId="0" applyFont="1" applyFill="1" applyBorder="1" applyAlignment="1">
      <alignment horizontal="center" wrapText="1"/>
    </xf>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23" fillId="11" borderId="107" xfId="0" applyFont="1" applyFill="1" applyBorder="1" applyAlignment="1">
      <alignment horizontal="center" wrapText="1"/>
    </xf>
    <xf numFmtId="0" fontId="13" fillId="0" borderId="122" xfId="0" applyFont="1" applyFill="1" applyBorder="1" applyAlignment="1">
      <alignment horizontal="centerContinuous" wrapText="1"/>
    </xf>
    <xf numFmtId="0" fontId="14" fillId="0" borderId="123" xfId="0" applyFont="1" applyFill="1" applyBorder="1" applyAlignment="1">
      <alignment horizontal="centerContinuous" wrapText="1"/>
    </xf>
    <xf numFmtId="0" fontId="0" fillId="0" borderId="123" xfId="0" applyFill="1" applyBorder="1" applyAlignment="1">
      <alignment horizontal="centerContinuous" wrapText="1"/>
    </xf>
    <xf numFmtId="0" fontId="13" fillId="0" borderId="123" xfId="0" applyFont="1" applyFill="1" applyBorder="1" applyAlignment="1">
      <alignment horizontal="centerContinuous" wrapText="1"/>
    </xf>
    <xf numFmtId="0" fontId="0" fillId="0" borderId="122" xfId="0" applyBorder="1"/>
    <xf numFmtId="0" fontId="0" fillId="0" borderId="123" xfId="0" applyBorder="1"/>
    <xf numFmtId="0" fontId="48" fillId="7" borderId="123" xfId="0" applyFont="1" applyFill="1" applyBorder="1"/>
    <xf numFmtId="0" fontId="0" fillId="7" borderId="123" xfId="0" applyFill="1" applyBorder="1"/>
    <xf numFmtId="0" fontId="0" fillId="2" borderId="19" xfId="0" applyFill="1" applyBorder="1"/>
    <xf numFmtId="0" fontId="0" fillId="7" borderId="123" xfId="0" applyFill="1" applyBorder="1" applyAlignment="1">
      <alignment horizontal="left" vertical="center"/>
    </xf>
    <xf numFmtId="0" fontId="48" fillId="7" borderId="123" xfId="0" applyFont="1" applyFill="1" applyBorder="1" applyAlignment="1">
      <alignment horizontal="left" vertical="center"/>
    </xf>
    <xf numFmtId="0" fontId="13" fillId="7" borderId="123" xfId="0" applyFont="1" applyFill="1" applyBorder="1" applyAlignment="1">
      <alignment horizontal="centerContinuous" wrapText="1"/>
    </xf>
    <xf numFmtId="0" fontId="0" fillId="7" borderId="123" xfId="0" applyFill="1" applyBorder="1" applyAlignment="1">
      <alignment wrapText="1"/>
    </xf>
    <xf numFmtId="0" fontId="12" fillId="3" borderId="124" xfId="0" applyFont="1" applyFill="1" applyBorder="1" applyAlignment="1">
      <alignment wrapText="1"/>
    </xf>
    <xf numFmtId="0" fontId="16" fillId="3" borderId="19" xfId="0" applyFont="1" applyFill="1" applyBorder="1" applyAlignment="1">
      <alignment horizontal="center" wrapText="1"/>
    </xf>
    <xf numFmtId="0" fontId="15" fillId="0" borderId="125" xfId="0" applyFont="1" applyFill="1" applyBorder="1" applyAlignment="1">
      <alignment wrapText="1"/>
    </xf>
    <xf numFmtId="0" fontId="15" fillId="0" borderId="126" xfId="0" applyFont="1" applyFill="1" applyBorder="1" applyAlignment="1">
      <alignment wrapText="1"/>
    </xf>
    <xf numFmtId="0" fontId="15" fillId="0" borderId="127" xfId="0" applyFont="1" applyFill="1" applyBorder="1" applyAlignment="1">
      <alignment wrapText="1"/>
    </xf>
    <xf numFmtId="0" fontId="15" fillId="0" borderId="123" xfId="0" applyFont="1" applyFill="1" applyBorder="1" applyAlignment="1">
      <alignment wrapText="1"/>
    </xf>
    <xf numFmtId="0" fontId="0" fillId="0" borderId="123" xfId="0" applyBorder="1" applyAlignment="1">
      <alignment wrapText="1"/>
    </xf>
    <xf numFmtId="0" fontId="0" fillId="5" borderId="19" xfId="0" applyFill="1" applyBorder="1"/>
    <xf numFmtId="0" fontId="0" fillId="0" borderId="122" xfId="0" applyFill="1" applyBorder="1"/>
    <xf numFmtId="0" fontId="0" fillId="0" borderId="123" xfId="0" applyFill="1" applyBorder="1"/>
    <xf numFmtId="0" fontId="0" fillId="0" borderId="128" xfId="0" applyFill="1" applyBorder="1"/>
    <xf numFmtId="0" fontId="0" fillId="0" borderId="129" xfId="0" applyBorder="1"/>
    <xf numFmtId="0" fontId="0" fillId="0" borderId="130" xfId="0" applyBorder="1"/>
    <xf numFmtId="0" fontId="0" fillId="0" borderId="131" xfId="0" applyBorder="1"/>
    <xf numFmtId="0" fontId="0" fillId="0" borderId="125" xfId="0" applyBorder="1"/>
    <xf numFmtId="0" fontId="0" fillId="0" borderId="126" xfId="0" applyBorder="1"/>
    <xf numFmtId="0" fontId="0" fillId="0" borderId="127" xfId="0" applyBorder="1"/>
    <xf numFmtId="0" fontId="23" fillId="6" borderId="132" xfId="0" applyFont="1" applyFill="1" applyBorder="1" applyAlignment="1">
      <alignment wrapText="1"/>
    </xf>
    <xf numFmtId="0" fontId="0" fillId="0" borderId="128" xfId="0" applyBorder="1"/>
    <xf numFmtId="0" fontId="0" fillId="7" borderId="133" xfId="0" applyFill="1" applyBorder="1"/>
    <xf numFmtId="0" fontId="0" fillId="8" borderId="32" xfId="0" applyFill="1" applyBorder="1"/>
    <xf numFmtId="0" fontId="0" fillId="7" borderId="129" xfId="0" applyFill="1" applyBorder="1" applyAlignment="1">
      <alignment wrapText="1"/>
    </xf>
    <xf numFmtId="0" fontId="0" fillId="7" borderId="130" xfId="0" applyFill="1" applyBorder="1" applyAlignment="1">
      <alignment wrapText="1"/>
    </xf>
    <xf numFmtId="0" fontId="0" fillId="0" borderId="130" xfId="0" applyBorder="1" applyAlignment="1">
      <alignment wrapText="1"/>
    </xf>
    <xf numFmtId="0" fontId="0" fillId="0" borderId="124" xfId="0" applyBorder="1"/>
    <xf numFmtId="0" fontId="76" fillId="0" borderId="125" xfId="0" applyFont="1" applyBorder="1" applyAlignment="1">
      <alignment wrapText="1"/>
    </xf>
    <xf numFmtId="0" fontId="0" fillId="0" borderId="126" xfId="0" applyBorder="1" applyAlignment="1">
      <alignment wrapText="1"/>
    </xf>
    <xf numFmtId="0" fontId="0" fillId="0" borderId="127" xfId="0" applyBorder="1" applyAlignment="1">
      <alignment wrapText="1"/>
    </xf>
    <xf numFmtId="0" fontId="0" fillId="7" borderId="122" xfId="0" applyFill="1" applyBorder="1"/>
    <xf numFmtId="0" fontId="1" fillId="7" borderId="122" xfId="0" applyFont="1" applyFill="1" applyBorder="1" applyAlignment="1">
      <alignment vertical="center"/>
    </xf>
    <xf numFmtId="0" fontId="0" fillId="7" borderId="134" xfId="0" applyFill="1" applyBorder="1"/>
    <xf numFmtId="0" fontId="0" fillId="7" borderId="135" xfId="0" applyFill="1" applyBorder="1"/>
    <xf numFmtId="0" fontId="0" fillId="7" borderId="136" xfId="0" applyFill="1" applyBorder="1"/>
    <xf numFmtId="0" fontId="1" fillId="7" borderId="123" xfId="0" applyFont="1" applyFill="1" applyBorder="1"/>
    <xf numFmtId="0" fontId="15" fillId="11" borderId="36" xfId="0" applyFont="1" applyFill="1" applyBorder="1" applyAlignment="1">
      <alignment wrapText="1"/>
    </xf>
    <xf numFmtId="0" fontId="15" fillId="7" borderId="137" xfId="0" applyFont="1" applyFill="1" applyBorder="1" applyAlignment="1">
      <alignment wrapText="1"/>
    </xf>
    <xf numFmtId="0" fontId="15" fillId="7" borderId="138" xfId="0" applyFont="1" applyFill="1" applyBorder="1" applyAlignment="1">
      <alignment wrapText="1"/>
    </xf>
    <xf numFmtId="0" fontId="0" fillId="7" borderId="138" xfId="0" applyFill="1" applyBorder="1"/>
    <xf numFmtId="0" fontId="0" fillId="7" borderId="139" xfId="0" applyFill="1" applyBorder="1"/>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0" fillId="7" borderId="137" xfId="0" applyFill="1" applyBorder="1" applyAlignment="1">
      <alignment horizontal="center" vertical="center"/>
    </xf>
    <xf numFmtId="0" fontId="0" fillId="7" borderId="138" xfId="0" applyFill="1" applyBorder="1" applyAlignment="1">
      <alignment horizontal="center" vertical="center"/>
    </xf>
    <xf numFmtId="0" fontId="0" fillId="7" borderId="138" xfId="0" applyFill="1" applyBorder="1" applyAlignment="1">
      <alignment horizontal="center" vertical="center" wrapText="1"/>
    </xf>
    <xf numFmtId="0" fontId="0" fillId="0" borderId="0" xfId="0" applyAlignment="1">
      <alignment horizontal="center" vertical="center"/>
    </xf>
    <xf numFmtId="0" fontId="0" fillId="7" borderId="140" xfId="0" applyFill="1" applyBorder="1"/>
    <xf numFmtId="0" fontId="0" fillId="7" borderId="141" xfId="0" applyFill="1" applyBorder="1"/>
    <xf numFmtId="0" fontId="0" fillId="7" borderId="142" xfId="0" applyFill="1" applyBorder="1"/>
    <xf numFmtId="0" fontId="0" fillId="7" borderId="143" xfId="0" applyFill="1" applyBorder="1"/>
    <xf numFmtId="0" fontId="0" fillId="7" borderId="125" xfId="0" applyFill="1" applyBorder="1"/>
    <xf numFmtId="0" fontId="0" fillId="7" borderId="126" xfId="0" applyFill="1" applyBorder="1"/>
    <xf numFmtId="0" fontId="0" fillId="7" borderId="123" xfId="0" applyFill="1" applyBorder="1" applyAlignment="1">
      <alignment horizontal="right"/>
    </xf>
    <xf numFmtId="2" fontId="0" fillId="7" borderId="123" xfId="0" applyNumberFormat="1" applyFill="1" applyBorder="1"/>
    <xf numFmtId="0" fontId="0" fillId="7" borderId="123" xfId="0" applyFill="1" applyBorder="1" applyAlignment="1">
      <alignment horizontal="right" wrapText="1"/>
    </xf>
    <xf numFmtId="0" fontId="0" fillId="7" borderId="122" xfId="0" applyFill="1" applyBorder="1" applyAlignment="1">
      <alignment horizontal="center" vertical="center"/>
    </xf>
    <xf numFmtId="0" fontId="0" fillId="7" borderId="123" xfId="0" applyFill="1" applyBorder="1" applyAlignment="1">
      <alignment horizontal="right" vertical="center"/>
    </xf>
    <xf numFmtId="2" fontId="0" fillId="7" borderId="123" xfId="0" applyNumberFormat="1" applyFill="1" applyBorder="1" applyAlignment="1">
      <alignment horizontal="right" vertical="center"/>
    </xf>
    <xf numFmtId="0" fontId="0" fillId="7" borderId="123" xfId="0" applyFill="1" applyBorder="1" applyAlignment="1">
      <alignment horizontal="center" vertical="center"/>
    </xf>
    <xf numFmtId="0" fontId="0" fillId="7" borderId="122" xfId="0" applyFill="1" applyBorder="1" applyAlignment="1">
      <alignment horizontal="center" wrapText="1"/>
    </xf>
    <xf numFmtId="0" fontId="52" fillId="7" borderId="123" xfId="0" applyFont="1" applyFill="1" applyBorder="1" applyAlignment="1">
      <alignment horizontal="left" vertical="center"/>
    </xf>
    <xf numFmtId="2" fontId="1" fillId="7" borderId="123" xfId="0" applyNumberFormat="1" applyFont="1" applyFill="1" applyBorder="1" applyAlignment="1">
      <alignment horizontal="center" vertical="center"/>
    </xf>
    <xf numFmtId="0" fontId="32" fillId="0" borderId="0" xfId="0" applyFont="1"/>
    <xf numFmtId="4" fontId="45" fillId="0" borderId="21" xfId="0" applyNumberFormat="1" applyFont="1" applyBorder="1"/>
    <xf numFmtId="0" fontId="21" fillId="0" borderId="18" xfId="0" applyFont="1" applyFill="1" applyBorder="1"/>
    <xf numFmtId="4" fontId="43" fillId="0" borderId="0" xfId="0" applyNumberFormat="1" applyFont="1"/>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85" fillId="3" borderId="20" xfId="0" applyFont="1" applyFill="1" applyBorder="1" applyAlignment="1">
      <alignment horizontal="center" wrapText="1"/>
    </xf>
    <xf numFmtId="0" fontId="85" fillId="3" borderId="21" xfId="0" applyFont="1" applyFill="1" applyBorder="1" applyAlignment="1">
      <alignment horizontal="center" wrapText="1"/>
    </xf>
    <xf numFmtId="0" fontId="86" fillId="3" borderId="22" xfId="0" applyFont="1" applyFill="1" applyBorder="1" applyAlignment="1">
      <alignment horizontal="center" wrapText="1"/>
    </xf>
    <xf numFmtId="0" fontId="87" fillId="3" borderId="23" xfId="0" applyFont="1" applyFill="1" applyBorder="1" applyAlignment="1">
      <alignment wrapText="1"/>
    </xf>
    <xf numFmtId="0" fontId="85" fillId="3" borderId="21" xfId="0" applyFont="1" applyFill="1" applyBorder="1" applyAlignment="1">
      <alignment wrapText="1"/>
    </xf>
    <xf numFmtId="0" fontId="87" fillId="3" borderId="21" xfId="0" applyFont="1" applyFill="1" applyBorder="1" applyAlignment="1">
      <alignment wrapText="1"/>
    </xf>
    <xf numFmtId="0" fontId="47" fillId="2" borderId="24" xfId="0" applyFont="1" applyFill="1" applyBorder="1"/>
    <xf numFmtId="0" fontId="0" fillId="0" borderId="0" xfId="0" applyFont="1"/>
    <xf numFmtId="0" fontId="88" fillId="0" borderId="21" xfId="0" applyFont="1" applyBorder="1"/>
    <xf numFmtId="0" fontId="0" fillId="8" borderId="61" xfId="0" applyFont="1" applyFill="1" applyBorder="1"/>
    <xf numFmtId="0" fontId="88" fillId="0" borderId="19" xfId="0" applyFont="1" applyBorder="1"/>
    <xf numFmtId="0" fontId="0" fillId="0" borderId="61" xfId="0" applyFont="1" applyFill="1" applyBorder="1"/>
    <xf numFmtId="4" fontId="88" fillId="0" borderId="21" xfId="0" applyNumberFormat="1" applyFont="1" applyBorder="1"/>
    <xf numFmtId="4" fontId="1" fillId="18" borderId="145" xfId="0" applyNumberFormat="1" applyFont="1" applyFill="1" applyBorder="1"/>
    <xf numFmtId="0" fontId="13" fillId="5" borderId="30" xfId="0" applyFont="1" applyFill="1" applyBorder="1" applyAlignment="1">
      <alignment horizontal="right"/>
    </xf>
    <xf numFmtId="0" fontId="0" fillId="0" borderId="0" xfId="0" applyAlignment="1">
      <alignment wrapText="1"/>
    </xf>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43" fillId="0" borderId="23" xfId="0" applyFont="1" applyBorder="1"/>
    <xf numFmtId="0" fontId="0" fillId="2" borderId="24" xfId="0" applyFill="1" applyBorder="1" applyAlignment="1">
      <alignment horizontal="right"/>
    </xf>
    <xf numFmtId="3" fontId="0" fillId="0" borderId="23" xfId="0" applyNumberFormat="1" applyBorder="1" applyAlignment="1">
      <alignment horizontal="right"/>
    </xf>
    <xf numFmtId="3" fontId="0" fillId="0" borderId="21" xfId="0" applyNumberFormat="1" applyBorder="1" applyAlignment="1">
      <alignment horizontal="right"/>
    </xf>
    <xf numFmtId="3" fontId="47" fillId="0" borderId="20" xfId="0" applyNumberFormat="1" applyFont="1" applyBorder="1"/>
    <xf numFmtId="3" fontId="47" fillId="0" borderId="19" xfId="0" applyNumberFormat="1" applyFont="1" applyBorder="1"/>
    <xf numFmtId="3" fontId="0" fillId="0" borderId="19" xfId="0" applyNumberFormat="1" applyBorder="1"/>
    <xf numFmtId="0" fontId="0" fillId="0" borderId="20" xfId="0" applyBorder="1" applyAlignment="1">
      <alignment horizontal="right"/>
    </xf>
    <xf numFmtId="0" fontId="47" fillId="0" borderId="61" xfId="0" applyFont="1" applyFill="1" applyBorder="1"/>
    <xf numFmtId="0" fontId="0" fillId="0" borderId="21" xfId="0" applyBorder="1" applyAlignment="1">
      <alignment horizontal="right"/>
    </xf>
    <xf numFmtId="166" fontId="93" fillId="0" borderId="0" xfId="2" applyFont="1"/>
    <xf numFmtId="166" fontId="94" fillId="0" borderId="0" xfId="2" applyFont="1"/>
    <xf numFmtId="166" fontId="95" fillId="0" borderId="0" xfId="2" applyFont="1"/>
    <xf numFmtId="166" fontId="95" fillId="0" borderId="0" xfId="2" applyFont="1" applyBorder="1"/>
    <xf numFmtId="166" fontId="92" fillId="0" borderId="0" xfId="2"/>
    <xf numFmtId="166" fontId="101" fillId="20" borderId="0" xfId="2" applyFont="1" applyFill="1"/>
    <xf numFmtId="166" fontId="92" fillId="20" borderId="0" xfId="2" applyFill="1"/>
    <xf numFmtId="166" fontId="92" fillId="0" borderId="0" xfId="2" applyBorder="1"/>
    <xf numFmtId="166" fontId="102" fillId="20" borderId="149" xfId="2" applyFont="1" applyFill="1" applyBorder="1" applyAlignment="1">
      <alignment wrapText="1"/>
    </xf>
    <xf numFmtId="166" fontId="102" fillId="20" borderId="150" xfId="2" applyFont="1" applyFill="1" applyBorder="1" applyAlignment="1">
      <alignment wrapText="1"/>
    </xf>
    <xf numFmtId="166" fontId="94" fillId="20" borderId="151" xfId="2" applyFont="1" applyFill="1" applyBorder="1" applyAlignment="1">
      <alignment horizontal="center" wrapText="1"/>
    </xf>
    <xf numFmtId="166" fontId="94" fillId="20" borderId="151" xfId="2" applyFont="1" applyFill="1" applyBorder="1" applyAlignment="1">
      <alignment horizontal="center" vertical="center"/>
    </xf>
    <xf numFmtId="166" fontId="92" fillId="20" borderId="151" xfId="2" applyFill="1" applyBorder="1" applyAlignment="1">
      <alignment horizontal="center" wrapText="1"/>
    </xf>
    <xf numFmtId="166" fontId="94" fillId="0" borderId="0" xfId="2" applyFont="1" applyFill="1" applyBorder="1" applyAlignment="1">
      <alignment horizontal="center" wrapText="1"/>
    </xf>
    <xf numFmtId="166" fontId="92" fillId="0" borderId="0" xfId="2" applyFill="1" applyBorder="1" applyAlignment="1">
      <alignment horizontal="center" wrapText="1"/>
    </xf>
    <xf numFmtId="166" fontId="92" fillId="0" borderId="0" xfId="2" applyBorder="1" applyAlignment="1">
      <alignment wrapText="1"/>
    </xf>
    <xf numFmtId="166" fontId="102" fillId="20" borderId="153" xfId="2" applyFont="1" applyFill="1" applyBorder="1" applyAlignment="1">
      <alignment wrapText="1"/>
    </xf>
    <xf numFmtId="166" fontId="102" fillId="20" borderId="153" xfId="2" applyFont="1" applyFill="1" applyBorder="1" applyAlignment="1">
      <alignment horizontal="center" wrapText="1"/>
    </xf>
    <xf numFmtId="166" fontId="103" fillId="20" borderId="151" xfId="2" applyFont="1" applyFill="1" applyBorder="1" applyAlignment="1">
      <alignment wrapText="1"/>
    </xf>
    <xf numFmtId="166" fontId="103" fillId="20" borderId="154" xfId="2" applyFont="1" applyFill="1" applyBorder="1" applyAlignment="1">
      <alignment horizontal="center" wrapText="1"/>
    </xf>
    <xf numFmtId="166" fontId="103" fillId="20" borderId="151" xfId="2" applyFont="1" applyFill="1" applyBorder="1" applyAlignment="1">
      <alignment horizontal="center" wrapText="1"/>
    </xf>
    <xf numFmtId="166" fontId="104" fillId="20" borderId="152" xfId="2" applyFont="1" applyFill="1" applyBorder="1" applyAlignment="1">
      <alignment horizontal="center" wrapText="1"/>
    </xf>
    <xf numFmtId="166" fontId="105" fillId="20" borderId="151" xfId="2" applyFont="1" applyFill="1" applyBorder="1" applyAlignment="1">
      <alignment wrapText="1"/>
    </xf>
    <xf numFmtId="166" fontId="103" fillId="0" borderId="0" xfId="2" applyFont="1" applyFill="1" applyBorder="1" applyAlignment="1">
      <alignment wrapText="1"/>
    </xf>
    <xf numFmtId="166" fontId="92" fillId="0" borderId="0" xfId="2" applyAlignment="1">
      <alignment wrapText="1"/>
    </xf>
    <xf numFmtId="166" fontId="92" fillId="21" borderId="151" xfId="2" applyFill="1" applyBorder="1"/>
    <xf numFmtId="166" fontId="92" fillId="21" borderId="154" xfId="2" applyFill="1" applyBorder="1"/>
    <xf numFmtId="166" fontId="92" fillId="22" borderId="152" xfId="2" applyFill="1" applyBorder="1"/>
    <xf numFmtId="166" fontId="92" fillId="0" borderId="0" xfId="2" applyFill="1" applyBorder="1"/>
    <xf numFmtId="166" fontId="92" fillId="0" borderId="151" xfId="2" applyBorder="1"/>
    <xf numFmtId="166" fontId="92" fillId="7" borderId="154" xfId="2" applyFill="1" applyBorder="1"/>
    <xf numFmtId="166" fontId="92" fillId="23" borderId="151" xfId="2" applyFill="1" applyBorder="1"/>
    <xf numFmtId="166" fontId="92" fillId="0" borderId="154" xfId="2" applyBorder="1"/>
    <xf numFmtId="166" fontId="92" fillId="19" borderId="151" xfId="2" applyFill="1" applyBorder="1"/>
    <xf numFmtId="166" fontId="92" fillId="0" borderId="151" xfId="2" applyFill="1" applyBorder="1"/>
    <xf numFmtId="166" fontId="94" fillId="22" borderId="151" xfId="2" applyFont="1" applyFill="1" applyBorder="1" applyAlignment="1">
      <alignment horizontal="right"/>
    </xf>
    <xf numFmtId="166" fontId="92" fillId="22" borderId="154" xfId="2" applyFill="1" applyBorder="1"/>
    <xf numFmtId="166" fontId="92" fillId="22" borderId="151" xfId="2" applyFill="1" applyBorder="1"/>
    <xf numFmtId="166" fontId="92" fillId="22" borderId="158" xfId="2" applyFill="1" applyBorder="1"/>
    <xf numFmtId="166" fontId="94" fillId="0" borderId="0" xfId="2" applyFont="1" applyAlignment="1">
      <alignment horizontal="right"/>
    </xf>
    <xf numFmtId="166" fontId="94" fillId="20" borderId="152" xfId="2" applyFont="1" applyFill="1" applyBorder="1" applyAlignment="1">
      <alignment horizontal="center" wrapText="1"/>
    </xf>
    <xf numFmtId="166" fontId="102" fillId="20" borderId="155" xfId="2" applyFont="1" applyFill="1" applyBorder="1" applyAlignment="1">
      <alignment wrapText="1"/>
    </xf>
    <xf numFmtId="166" fontId="103" fillId="20" borderId="152" xfId="2" applyFont="1" applyFill="1" applyBorder="1" applyAlignment="1">
      <alignment wrapText="1"/>
    </xf>
    <xf numFmtId="166" fontId="104" fillId="20" borderId="151" xfId="2" applyFont="1" applyFill="1" applyBorder="1" applyAlignment="1">
      <alignment horizontal="center" wrapText="1"/>
    </xf>
    <xf numFmtId="166" fontId="92" fillId="21" borderId="152" xfId="2" applyFill="1" applyBorder="1"/>
    <xf numFmtId="166" fontId="92" fillId="0" borderId="152" xfId="2" applyBorder="1"/>
    <xf numFmtId="1" fontId="92" fillId="0" borderId="151" xfId="2" applyNumberFormat="1" applyBorder="1"/>
    <xf numFmtId="1" fontId="92" fillId="22" borderId="151" xfId="2" applyNumberFormat="1" applyFill="1" applyBorder="1"/>
    <xf numFmtId="1" fontId="92" fillId="0" borderId="151" xfId="2" applyNumberFormat="1" applyBorder="1" applyAlignment="1">
      <alignment horizontal="right"/>
    </xf>
    <xf numFmtId="1" fontId="92" fillId="22" borderId="151" xfId="2" applyNumberFormat="1" applyFill="1" applyBorder="1" applyAlignment="1">
      <alignment horizontal="right"/>
    </xf>
    <xf numFmtId="166" fontId="92" fillId="0" borderId="152" xfId="2" applyFill="1" applyBorder="1"/>
    <xf numFmtId="166" fontId="94" fillId="22" borderId="152" xfId="2" applyFont="1" applyFill="1" applyBorder="1" applyAlignment="1">
      <alignment horizontal="right"/>
    </xf>
    <xf numFmtId="166" fontId="92" fillId="0" borderId="0" xfId="2" applyAlignment="1">
      <alignment vertical="center" wrapText="1"/>
    </xf>
    <xf numFmtId="166" fontId="101" fillId="24" borderId="0" xfId="2" applyFont="1" applyFill="1"/>
    <xf numFmtId="166" fontId="92" fillId="24" borderId="0" xfId="2" applyFill="1"/>
    <xf numFmtId="166" fontId="92" fillId="0" borderId="0" xfId="2" applyFill="1"/>
    <xf numFmtId="166" fontId="102" fillId="24" borderId="149" xfId="2" applyFont="1" applyFill="1" applyBorder="1"/>
    <xf numFmtId="166" fontId="102" fillId="24" borderId="150" xfId="2" applyFont="1" applyFill="1" applyBorder="1" applyAlignment="1">
      <alignment horizontal="center" wrapText="1"/>
    </xf>
    <xf numFmtId="166" fontId="103" fillId="24" borderId="151" xfId="2" applyFont="1" applyFill="1" applyBorder="1"/>
    <xf numFmtId="166" fontId="103" fillId="24" borderId="154" xfId="2" applyFont="1" applyFill="1" applyBorder="1" applyAlignment="1">
      <alignment horizontal="center" wrapText="1"/>
    </xf>
    <xf numFmtId="166" fontId="103" fillId="24" borderId="151" xfId="2" applyFont="1" applyFill="1" applyBorder="1" applyAlignment="1">
      <alignment horizontal="center" wrapText="1"/>
    </xf>
    <xf numFmtId="166" fontId="103" fillId="19" borderId="0" xfId="2" applyFont="1" applyFill="1" applyBorder="1" applyAlignment="1">
      <alignment wrapText="1"/>
    </xf>
    <xf numFmtId="166" fontId="109" fillId="21" borderId="151" xfId="2" applyFont="1" applyFill="1" applyBorder="1"/>
    <xf numFmtId="166" fontId="109" fillId="0" borderId="151" xfId="2" applyFont="1" applyBorder="1"/>
    <xf numFmtId="0" fontId="92" fillId="0" borderId="154" xfId="2" applyNumberFormat="1" applyBorder="1"/>
    <xf numFmtId="0" fontId="92" fillId="0" borderId="151" xfId="2" applyNumberFormat="1" applyBorder="1"/>
    <xf numFmtId="3" fontId="92" fillId="0" borderId="154" xfId="2" applyNumberFormat="1" applyBorder="1"/>
    <xf numFmtId="3" fontId="92" fillId="0" borderId="151" xfId="2" applyNumberFormat="1" applyBorder="1"/>
    <xf numFmtId="166" fontId="92" fillId="19" borderId="0" xfId="2" applyFill="1" applyBorder="1"/>
    <xf numFmtId="166" fontId="103" fillId="0" borderId="160" xfId="2" applyFont="1" applyFill="1" applyBorder="1" applyAlignment="1">
      <alignment horizontal="left" vertical="center" wrapText="1"/>
    </xf>
    <xf numFmtId="166" fontId="103" fillId="0" borderId="0" xfId="2" applyFont="1" applyFill="1" applyBorder="1" applyAlignment="1">
      <alignment horizontal="center" vertical="center" wrapText="1"/>
    </xf>
    <xf numFmtId="166" fontId="94" fillId="0" borderId="0" xfId="2" applyFont="1" applyFill="1" applyBorder="1" applyAlignment="1">
      <alignment horizontal="right"/>
    </xf>
    <xf numFmtId="166" fontId="102" fillId="24" borderId="151" xfId="2" applyFont="1" applyFill="1" applyBorder="1"/>
    <xf numFmtId="166" fontId="103" fillId="24" borderId="151" xfId="2" applyFont="1" applyFill="1" applyBorder="1" applyAlignment="1">
      <alignment horizontal="left"/>
    </xf>
    <xf numFmtId="166" fontId="103" fillId="21" borderId="151" xfId="2" applyFont="1" applyFill="1" applyBorder="1"/>
    <xf numFmtId="166" fontId="92" fillId="0" borderId="153" xfId="2" applyBorder="1"/>
    <xf numFmtId="166" fontId="102" fillId="24" borderId="150" xfId="2" applyFont="1" applyFill="1" applyBorder="1" applyAlignment="1">
      <alignment wrapText="1"/>
    </xf>
    <xf numFmtId="166" fontId="105" fillId="24" borderId="162" xfId="2" applyFont="1" applyFill="1" applyBorder="1" applyAlignment="1">
      <alignment wrapText="1"/>
    </xf>
    <xf numFmtId="166" fontId="103" fillId="24" borderId="159" xfId="2" applyFont="1" applyFill="1" applyBorder="1" applyAlignment="1">
      <alignment wrapText="1"/>
    </xf>
    <xf numFmtId="166" fontId="103" fillId="24" borderId="157" xfId="2" applyFont="1" applyFill="1" applyBorder="1" applyAlignment="1">
      <alignment wrapText="1"/>
    </xf>
    <xf numFmtId="166" fontId="105" fillId="24" borderId="157" xfId="2" applyFont="1" applyFill="1" applyBorder="1" applyAlignment="1">
      <alignment wrapText="1"/>
    </xf>
    <xf numFmtId="166" fontId="92" fillId="0" borderId="155" xfId="2" applyBorder="1"/>
    <xf numFmtId="166" fontId="92" fillId="21" borderId="162" xfId="2" applyFill="1" applyBorder="1"/>
    <xf numFmtId="166" fontId="92" fillId="21" borderId="159" xfId="2" applyFill="1" applyBorder="1"/>
    <xf numFmtId="166" fontId="92" fillId="0" borderId="158" xfId="2" applyBorder="1"/>
    <xf numFmtId="166" fontId="63" fillId="0" borderId="151" xfId="2" applyFont="1" applyBorder="1"/>
    <xf numFmtId="166" fontId="110" fillId="0" borderId="151" xfId="2" applyFont="1" applyBorder="1"/>
    <xf numFmtId="166" fontId="94" fillId="25" borderId="151" xfId="2" applyFont="1" applyFill="1" applyBorder="1" applyAlignment="1">
      <alignment horizontal="right"/>
    </xf>
    <xf numFmtId="166" fontId="109" fillId="25" borderId="151" xfId="2" applyFont="1" applyFill="1" applyBorder="1" applyAlignment="1">
      <alignment horizontal="right"/>
    </xf>
    <xf numFmtId="166" fontId="92" fillId="25" borderId="158" xfId="2" applyFill="1" applyBorder="1"/>
    <xf numFmtId="166" fontId="92" fillId="25" borderId="151" xfId="2" applyFill="1" applyBorder="1"/>
    <xf numFmtId="166" fontId="92" fillId="0" borderId="0" xfId="2" applyBorder="1" applyAlignment="1"/>
    <xf numFmtId="166" fontId="103" fillId="0" borderId="0" xfId="2" applyFont="1" applyBorder="1" applyAlignment="1">
      <alignment horizontal="center" vertical="center" wrapText="1"/>
    </xf>
    <xf numFmtId="166" fontId="94" fillId="19" borderId="0" xfId="2" applyFont="1" applyFill="1" applyBorder="1" applyAlignment="1">
      <alignment horizontal="right" wrapText="1"/>
    </xf>
    <xf numFmtId="166" fontId="109" fillId="19" borderId="0" xfId="2" applyFont="1" applyFill="1" applyBorder="1" applyAlignment="1">
      <alignment horizontal="right" wrapText="1"/>
    </xf>
    <xf numFmtId="166" fontId="92" fillId="19" borderId="0" xfId="2" applyFill="1" applyBorder="1" applyAlignment="1">
      <alignment wrapText="1"/>
    </xf>
    <xf numFmtId="166" fontId="103" fillId="24" borderId="151" xfId="2" applyFont="1" applyFill="1" applyBorder="1" applyAlignment="1">
      <alignment wrapText="1"/>
    </xf>
    <xf numFmtId="166" fontId="104" fillId="24" borderId="163" xfId="2" applyFont="1" applyFill="1" applyBorder="1" applyAlignment="1">
      <alignment wrapText="1"/>
    </xf>
    <xf numFmtId="166" fontId="105" fillId="24" borderId="158" xfId="2" applyFont="1" applyFill="1" applyBorder="1" applyAlignment="1">
      <alignment wrapText="1"/>
    </xf>
    <xf numFmtId="166" fontId="105" fillId="24" borderId="151" xfId="2" applyFont="1" applyFill="1" applyBorder="1" applyAlignment="1">
      <alignment wrapText="1"/>
    </xf>
    <xf numFmtId="166" fontId="92" fillId="25" borderId="163" xfId="2" applyFill="1" applyBorder="1"/>
    <xf numFmtId="166" fontId="92" fillId="21" borderId="157" xfId="2" applyFill="1" applyBorder="1"/>
    <xf numFmtId="166" fontId="94" fillId="25" borderId="152" xfId="2" applyFont="1" applyFill="1" applyBorder="1" applyAlignment="1">
      <alignment horizontal="right"/>
    </xf>
    <xf numFmtId="166" fontId="94" fillId="25" borderId="158" xfId="2" applyFont="1" applyFill="1" applyBorder="1" applyAlignment="1">
      <alignment horizontal="right"/>
    </xf>
    <xf numFmtId="166" fontId="92" fillId="25" borderId="154" xfId="2" applyFill="1" applyBorder="1"/>
    <xf numFmtId="166" fontId="103" fillId="0" borderId="0" xfId="2" applyFont="1" applyBorder="1" applyAlignment="1"/>
    <xf numFmtId="166" fontId="94" fillId="19" borderId="0" xfId="2" applyFont="1" applyFill="1" applyBorder="1" applyAlignment="1">
      <alignment horizontal="right"/>
    </xf>
    <xf numFmtId="166" fontId="94" fillId="19" borderId="0" xfId="2" applyFont="1" applyFill="1" applyBorder="1"/>
    <xf numFmtId="166" fontId="101" fillId="26" borderId="0" xfId="2" applyFont="1" applyFill="1"/>
    <xf numFmtId="166" fontId="111" fillId="26" borderId="0" xfId="2" applyFont="1" applyFill="1"/>
    <xf numFmtId="166" fontId="111" fillId="0" borderId="0" xfId="2" applyFont="1" applyFill="1"/>
    <xf numFmtId="166" fontId="102" fillId="26" borderId="149" xfId="2" applyFont="1" applyFill="1" applyBorder="1" applyAlignment="1">
      <alignment wrapText="1"/>
    </xf>
    <xf numFmtId="166" fontId="100" fillId="26" borderId="150" xfId="2" applyFont="1" applyFill="1" applyBorder="1" applyAlignment="1">
      <alignment horizontal="center" wrapText="1"/>
    </xf>
    <xf numFmtId="166" fontId="103" fillId="26" borderId="151" xfId="2" applyFont="1" applyFill="1" applyBorder="1" applyAlignment="1">
      <alignment wrapText="1"/>
    </xf>
    <xf numFmtId="166" fontId="104" fillId="26" borderId="163" xfId="2" applyFont="1" applyFill="1" applyBorder="1" applyAlignment="1">
      <alignment wrapText="1"/>
    </xf>
    <xf numFmtId="166" fontId="103" fillId="26" borderId="158" xfId="2" applyFont="1" applyFill="1" applyBorder="1" applyAlignment="1">
      <alignment wrapText="1"/>
    </xf>
    <xf numFmtId="166" fontId="92" fillId="21" borderId="163" xfId="2" applyFill="1" applyBorder="1"/>
    <xf numFmtId="166" fontId="92" fillId="21" borderId="158" xfId="2" applyFill="1" applyBorder="1"/>
    <xf numFmtId="166" fontId="92" fillId="0" borderId="163" xfId="2" applyBorder="1"/>
    <xf numFmtId="166" fontId="110" fillId="0" borderId="158" xfId="2" applyFont="1" applyBorder="1"/>
    <xf numFmtId="166" fontId="94" fillId="25" borderId="163" xfId="2" applyFont="1" applyFill="1" applyBorder="1"/>
    <xf numFmtId="166" fontId="101" fillId="27" borderId="0" xfId="2" applyFont="1" applyFill="1"/>
    <xf numFmtId="166" fontId="92" fillId="27" borderId="0" xfId="2" applyFill="1"/>
    <xf numFmtId="166" fontId="92" fillId="19" borderId="0" xfId="2" applyFill="1"/>
    <xf numFmtId="166" fontId="101" fillId="0" borderId="0" xfId="2" applyFont="1" applyFill="1"/>
    <xf numFmtId="166" fontId="109" fillId="19" borderId="0" xfId="2" applyFont="1" applyFill="1" applyBorder="1"/>
    <xf numFmtId="166" fontId="103" fillId="28" borderId="154" xfId="2" applyFont="1" applyFill="1" applyBorder="1" applyAlignment="1">
      <alignment wrapText="1"/>
    </xf>
    <xf numFmtId="166" fontId="103" fillId="28" borderId="151" xfId="2" applyFont="1" applyFill="1" applyBorder="1" applyAlignment="1">
      <alignment wrapText="1"/>
    </xf>
    <xf numFmtId="166" fontId="105" fillId="28" borderId="162" xfId="2" applyFont="1" applyFill="1" applyBorder="1" applyAlignment="1">
      <alignment wrapText="1"/>
    </xf>
    <xf numFmtId="166" fontId="114" fillId="28" borderId="159" xfId="2" applyFont="1" applyFill="1" applyBorder="1" applyAlignment="1">
      <alignment wrapText="1"/>
    </xf>
    <xf numFmtId="166" fontId="103" fillId="28" borderId="159" xfId="2" applyFont="1" applyFill="1" applyBorder="1" applyAlignment="1">
      <alignment wrapText="1"/>
    </xf>
    <xf numFmtId="166" fontId="103" fillId="28" borderId="157" xfId="2" applyFont="1" applyFill="1" applyBorder="1" applyAlignment="1">
      <alignment wrapText="1"/>
    </xf>
    <xf numFmtId="166" fontId="105" fillId="28" borderId="157" xfId="2" applyFont="1" applyFill="1" applyBorder="1" applyAlignment="1">
      <alignment wrapText="1"/>
    </xf>
    <xf numFmtId="166" fontId="109" fillId="21" borderId="158" xfId="2" applyFont="1" applyFill="1" applyBorder="1"/>
    <xf numFmtId="166" fontId="92" fillId="7" borderId="151" xfId="2" applyFill="1" applyBorder="1"/>
    <xf numFmtId="166" fontId="109" fillId="0" borderId="158" xfId="2" applyFont="1" applyBorder="1"/>
    <xf numFmtId="166" fontId="109" fillId="25" borderId="158" xfId="2" applyFont="1" applyFill="1" applyBorder="1"/>
    <xf numFmtId="166" fontId="109" fillId="25" borderId="151" xfId="2" applyFont="1" applyFill="1" applyBorder="1"/>
    <xf numFmtId="166" fontId="92" fillId="0" borderId="0" xfId="2" applyBorder="1" applyAlignment="1">
      <alignment horizontal="left" vertical="center" wrapText="1"/>
    </xf>
    <xf numFmtId="166" fontId="94" fillId="0" borderId="0" xfId="2" applyFont="1" applyBorder="1" applyAlignment="1">
      <alignment horizontal="right"/>
    </xf>
    <xf numFmtId="166" fontId="109" fillId="0" borderId="0" xfId="2" applyFont="1" applyBorder="1"/>
    <xf numFmtId="166" fontId="104" fillId="0" borderId="0" xfId="2" applyFont="1" applyFill="1"/>
    <xf numFmtId="166" fontId="103" fillId="28" borderId="150" xfId="2" applyFont="1" applyFill="1" applyBorder="1" applyAlignment="1">
      <alignment horizontal="center" wrapText="1"/>
    </xf>
    <xf numFmtId="166" fontId="103" fillId="28" borderId="159" xfId="2" applyFont="1" applyFill="1" applyBorder="1" applyAlignment="1">
      <alignment horizontal="center" wrapText="1"/>
    </xf>
    <xf numFmtId="166" fontId="104" fillId="28" borderId="161" xfId="2" applyFont="1" applyFill="1" applyBorder="1" applyAlignment="1">
      <alignment wrapText="1"/>
    </xf>
    <xf numFmtId="166" fontId="92" fillId="29" borderId="154" xfId="2" applyFill="1" applyBorder="1"/>
    <xf numFmtId="166" fontId="92" fillId="29" borderId="151" xfId="2" applyFill="1" applyBorder="1"/>
    <xf numFmtId="166" fontId="109" fillId="30" borderId="161" xfId="2" applyFont="1" applyFill="1" applyBorder="1"/>
    <xf numFmtId="166" fontId="109" fillId="25" borderId="161" xfId="2" applyFont="1" applyFill="1" applyBorder="1"/>
    <xf numFmtId="166" fontId="94" fillId="25" borderId="161" xfId="2" applyFont="1" applyFill="1" applyBorder="1"/>
    <xf numFmtId="166" fontId="103" fillId="0" borderId="0" xfId="2" applyFont="1" applyFill="1" applyBorder="1" applyAlignment="1">
      <alignment horizontal="left" vertical="center" wrapText="1"/>
    </xf>
    <xf numFmtId="166" fontId="94" fillId="0" borderId="0" xfId="2" applyFont="1" applyFill="1" applyBorder="1"/>
    <xf numFmtId="166" fontId="109" fillId="0" borderId="0" xfId="2" applyFont="1" applyFill="1" applyBorder="1"/>
    <xf numFmtId="166" fontId="101" fillId="31" borderId="0" xfId="2" applyFont="1" applyFill="1"/>
    <xf numFmtId="166" fontId="92" fillId="31" borderId="0" xfId="2" applyFill="1"/>
    <xf numFmtId="166" fontId="103" fillId="0" borderId="0" xfId="2" applyFont="1" applyBorder="1" applyAlignment="1">
      <alignment horizontal="left"/>
    </xf>
    <xf numFmtId="166" fontId="104" fillId="31" borderId="157" xfId="2" applyFont="1" applyFill="1" applyBorder="1" applyAlignment="1">
      <alignment wrapText="1"/>
    </xf>
    <xf numFmtId="166" fontId="105" fillId="31" borderId="157" xfId="2" applyFont="1" applyFill="1" applyBorder="1" applyAlignment="1">
      <alignment wrapText="1"/>
    </xf>
    <xf numFmtId="166" fontId="104" fillId="31" borderId="159" xfId="2" applyFont="1" applyFill="1" applyBorder="1" applyAlignment="1">
      <alignment wrapText="1"/>
    </xf>
    <xf numFmtId="166" fontId="103" fillId="31" borderId="157" xfId="2" applyFont="1" applyFill="1" applyBorder="1" applyAlignment="1">
      <alignment wrapText="1"/>
    </xf>
    <xf numFmtId="166" fontId="114" fillId="31" borderId="159" xfId="2" applyFont="1" applyFill="1" applyBorder="1" applyAlignment="1">
      <alignment wrapText="1"/>
    </xf>
    <xf numFmtId="166" fontId="103" fillId="31" borderId="164" xfId="2" applyFont="1" applyFill="1" applyBorder="1" applyAlignment="1">
      <alignment wrapText="1"/>
    </xf>
    <xf numFmtId="166" fontId="109" fillId="21" borderId="154" xfId="2" applyFont="1" applyFill="1" applyBorder="1"/>
    <xf numFmtId="166" fontId="109" fillId="21" borderId="163" xfId="2" applyFont="1" applyFill="1" applyBorder="1"/>
    <xf numFmtId="166" fontId="109" fillId="0" borderId="154" xfId="2" applyFont="1" applyBorder="1"/>
    <xf numFmtId="166" fontId="109" fillId="0" borderId="163" xfId="2" applyFont="1" applyBorder="1"/>
    <xf numFmtId="166" fontId="109" fillId="25" borderId="154" xfId="2" applyFont="1" applyFill="1" applyBorder="1"/>
    <xf numFmtId="166" fontId="109" fillId="25" borderId="163" xfId="2" applyFont="1" applyFill="1" applyBorder="1"/>
    <xf numFmtId="166" fontId="103" fillId="0" borderId="0" xfId="2" applyFont="1"/>
    <xf numFmtId="166" fontId="103" fillId="31" borderId="154" xfId="2" applyFont="1" applyFill="1" applyBorder="1" applyAlignment="1">
      <alignment wrapText="1"/>
    </xf>
    <xf numFmtId="166" fontId="103" fillId="31" borderId="151" xfId="2" applyFont="1" applyFill="1" applyBorder="1" applyAlignment="1">
      <alignment wrapText="1"/>
    </xf>
    <xf numFmtId="166" fontId="103" fillId="31" borderId="152" xfId="2" applyFont="1" applyFill="1" applyBorder="1" applyAlignment="1">
      <alignment wrapText="1"/>
    </xf>
    <xf numFmtId="166" fontId="104" fillId="31" borderId="151" xfId="2" applyFont="1" applyFill="1" applyBorder="1" applyAlignment="1">
      <alignment wrapText="1"/>
    </xf>
    <xf numFmtId="166" fontId="109" fillId="21" borderId="161" xfId="2" applyFont="1" applyFill="1" applyBorder="1"/>
    <xf numFmtId="166" fontId="109" fillId="0" borderId="161" xfId="2" applyFont="1" applyBorder="1"/>
    <xf numFmtId="166" fontId="94" fillId="25" borderId="161" xfId="2" applyFont="1" applyFill="1" applyBorder="1" applyAlignment="1">
      <alignment horizontal="right"/>
    </xf>
    <xf numFmtId="166" fontId="94" fillId="25" borderId="151" xfId="2" applyFont="1" applyFill="1" applyBorder="1"/>
    <xf numFmtId="166" fontId="94" fillId="19" borderId="155" xfId="2" applyFont="1" applyFill="1" applyBorder="1" applyAlignment="1">
      <alignment horizontal="right"/>
    </xf>
    <xf numFmtId="166" fontId="109" fillId="19" borderId="160" xfId="2" applyFont="1" applyFill="1" applyBorder="1"/>
    <xf numFmtId="166" fontId="92" fillId="0" borderId="165" xfId="2" applyBorder="1"/>
    <xf numFmtId="166" fontId="102" fillId="31" borderId="152" xfId="2" applyFont="1" applyFill="1" applyBorder="1" applyAlignment="1">
      <alignment horizontal="left" wrapText="1"/>
    </xf>
    <xf numFmtId="166" fontId="103" fillId="31" borderId="151" xfId="2" applyFont="1" applyFill="1" applyBorder="1" applyAlignment="1">
      <alignment horizontal="center" vertical="center" wrapText="1"/>
    </xf>
    <xf numFmtId="166" fontId="94" fillId="31" borderId="166" xfId="2" applyFont="1" applyFill="1" applyBorder="1" applyAlignment="1">
      <alignment horizontal="right"/>
    </xf>
    <xf numFmtId="166" fontId="109" fillId="31" borderId="151" xfId="2" applyFont="1" applyFill="1" applyBorder="1" applyAlignment="1">
      <alignment wrapText="1"/>
    </xf>
    <xf numFmtId="166" fontId="109" fillId="31" borderId="160" xfId="2" applyFont="1" applyFill="1" applyBorder="1" applyAlignment="1">
      <alignment wrapText="1"/>
    </xf>
    <xf numFmtId="166" fontId="94" fillId="31" borderId="151" xfId="2" applyFont="1" applyFill="1" applyBorder="1" applyAlignment="1">
      <alignment wrapText="1"/>
    </xf>
    <xf numFmtId="166" fontId="94" fillId="21" borderId="154" xfId="2" applyFont="1" applyFill="1" applyBorder="1" applyAlignment="1">
      <alignment horizontal="right"/>
    </xf>
    <xf numFmtId="166" fontId="94" fillId="19" borderId="154" xfId="2" applyFont="1" applyFill="1" applyBorder="1" applyAlignment="1">
      <alignment horizontal="right"/>
    </xf>
    <xf numFmtId="166" fontId="109" fillId="19" borderId="151" xfId="2" applyFont="1" applyFill="1" applyBorder="1"/>
    <xf numFmtId="166" fontId="94" fillId="19" borderId="166" xfId="2" applyFont="1" applyFill="1" applyBorder="1" applyAlignment="1">
      <alignment horizontal="right"/>
    </xf>
    <xf numFmtId="166" fontId="109" fillId="19" borderId="166" xfId="2" applyFont="1" applyFill="1" applyBorder="1"/>
    <xf numFmtId="166" fontId="94" fillId="25" borderId="160" xfId="2" applyFont="1" applyFill="1" applyBorder="1" applyAlignment="1">
      <alignment horizontal="right"/>
    </xf>
    <xf numFmtId="166" fontId="109" fillId="25" borderId="152" xfId="2" applyFont="1" applyFill="1" applyBorder="1"/>
    <xf numFmtId="166" fontId="103" fillId="0" borderId="0" xfId="2" applyFont="1" applyFill="1" applyBorder="1" applyAlignment="1">
      <alignment horizontal="left"/>
    </xf>
    <xf numFmtId="166" fontId="101" fillId="32" borderId="0" xfId="2" applyFont="1" applyFill="1"/>
    <xf numFmtId="166" fontId="92" fillId="32" borderId="0" xfId="2" applyFill="1"/>
    <xf numFmtId="166" fontId="101" fillId="0" borderId="0" xfId="2" applyFont="1"/>
    <xf numFmtId="166" fontId="103" fillId="32" borderId="163" xfId="2" applyFont="1" applyFill="1" applyBorder="1" applyAlignment="1">
      <alignment wrapText="1"/>
    </xf>
    <xf numFmtId="166" fontId="103" fillId="32" borderId="157" xfId="2" applyFont="1" applyFill="1" applyBorder="1" applyAlignment="1">
      <alignment wrapText="1"/>
    </xf>
    <xf numFmtId="166" fontId="103" fillId="32" borderId="159" xfId="2" applyFont="1" applyFill="1" applyBorder="1" applyAlignment="1">
      <alignment wrapText="1"/>
    </xf>
    <xf numFmtId="166" fontId="104" fillId="32" borderId="151" xfId="2" applyFont="1" applyFill="1" applyBorder="1" applyAlignment="1">
      <alignment wrapText="1"/>
    </xf>
    <xf numFmtId="166" fontId="104" fillId="32" borderId="164" xfId="2" applyFont="1" applyFill="1" applyBorder="1" applyAlignment="1">
      <alignment wrapText="1"/>
    </xf>
    <xf numFmtId="166" fontId="103" fillId="32" borderId="158" xfId="2" applyFont="1" applyFill="1" applyBorder="1" applyAlignment="1">
      <alignment wrapText="1"/>
    </xf>
    <xf numFmtId="166" fontId="103" fillId="32" borderId="151" xfId="2" applyFont="1" applyFill="1" applyBorder="1" applyAlignment="1">
      <alignment wrapText="1"/>
    </xf>
    <xf numFmtId="166" fontId="92" fillId="0" borderId="163" xfId="2" applyFill="1" applyBorder="1"/>
    <xf numFmtId="166" fontId="104" fillId="32" borderId="161" xfId="2" applyFont="1" applyFill="1" applyBorder="1" applyAlignment="1">
      <alignment wrapText="1"/>
    </xf>
    <xf numFmtId="166" fontId="103" fillId="32" borderId="154" xfId="2" applyFont="1" applyFill="1" applyBorder="1" applyAlignment="1">
      <alignment wrapText="1"/>
    </xf>
    <xf numFmtId="166" fontId="109" fillId="21" borderId="159" xfId="2" applyFont="1" applyFill="1" applyBorder="1"/>
    <xf numFmtId="166" fontId="92" fillId="25" borderId="167" xfId="2" applyFill="1" applyBorder="1"/>
    <xf numFmtId="166" fontId="92" fillId="25" borderId="161" xfId="2" applyFill="1" applyBorder="1"/>
    <xf numFmtId="166" fontId="101" fillId="33" borderId="0" xfId="2" applyFont="1" applyFill="1"/>
    <xf numFmtId="166" fontId="92" fillId="33" borderId="0" xfId="2" applyFill="1"/>
    <xf numFmtId="166" fontId="94" fillId="33" borderId="0" xfId="2" applyFont="1" applyFill="1"/>
    <xf numFmtId="166" fontId="102" fillId="33" borderId="149" xfId="2" applyFont="1" applyFill="1" applyBorder="1" applyAlignment="1">
      <alignment wrapText="1"/>
    </xf>
    <xf numFmtId="166" fontId="102" fillId="33" borderId="151" xfId="2" applyFont="1" applyFill="1" applyBorder="1" applyAlignment="1">
      <alignment horizontal="center" wrapText="1"/>
    </xf>
    <xf numFmtId="166" fontId="103" fillId="33" borderId="151" xfId="2" applyFont="1" applyFill="1" applyBorder="1" applyAlignment="1">
      <alignment wrapText="1"/>
    </xf>
    <xf numFmtId="166" fontId="103" fillId="33" borderId="154" xfId="2" applyFont="1" applyFill="1" applyBorder="1" applyAlignment="1">
      <alignment wrapText="1"/>
    </xf>
    <xf numFmtId="166" fontId="103" fillId="33" borderId="160" xfId="2" applyFont="1" applyFill="1" applyBorder="1" applyAlignment="1">
      <alignment wrapText="1"/>
    </xf>
    <xf numFmtId="166" fontId="92" fillId="21" borderId="160" xfId="2" applyFill="1" applyBorder="1"/>
    <xf numFmtId="166" fontId="92" fillId="0" borderId="160" xfId="2" applyBorder="1"/>
    <xf numFmtId="166" fontId="92" fillId="0" borderId="168" xfId="2" applyBorder="1"/>
    <xf numFmtId="166" fontId="92" fillId="0" borderId="150" xfId="2" applyBorder="1"/>
    <xf numFmtId="166" fontId="92" fillId="0" borderId="166" xfId="2" applyBorder="1"/>
    <xf numFmtId="166" fontId="102" fillId="28" borderId="149" xfId="2" applyFont="1" applyFill="1" applyBorder="1" applyAlignment="1">
      <alignment horizontal="left" vertical="center" wrapText="1"/>
    </xf>
    <xf numFmtId="166" fontId="102" fillId="28" borderId="151" xfId="2" applyFont="1" applyFill="1" applyBorder="1" applyAlignment="1">
      <alignment wrapText="1"/>
    </xf>
    <xf numFmtId="165" fontId="94" fillId="0" borderId="151" xfId="2" applyNumberFormat="1" applyFont="1" applyBorder="1"/>
    <xf numFmtId="165" fontId="109" fillId="0" borderId="151" xfId="2" applyNumberFormat="1" applyFont="1" applyBorder="1"/>
    <xf numFmtId="165" fontId="120" fillId="0" borderId="151" xfId="2" applyNumberFormat="1" applyFont="1" applyBorder="1"/>
    <xf numFmtId="166" fontId="92" fillId="0" borderId="157" xfId="2" applyBorder="1"/>
    <xf numFmtId="165" fontId="94" fillId="22" borderId="151" xfId="2" applyNumberFormat="1" applyFont="1" applyFill="1" applyBorder="1" applyAlignment="1">
      <alignment horizontal="right"/>
    </xf>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2" fillId="0" borderId="0" xfId="0" applyFont="1" applyAlignment="1"/>
    <xf numFmtId="0" fontId="3" fillId="0" borderId="0" xfId="0" applyFont="1" applyAlignment="1"/>
    <xf numFmtId="0" fontId="0" fillId="0" borderId="0" xfId="0" applyAlignment="1">
      <alignment wrapText="1"/>
    </xf>
    <xf numFmtId="166" fontId="110" fillId="0" borderId="154" xfId="2" applyFont="1" applyBorder="1"/>
    <xf numFmtId="166" fontId="110" fillId="22" borderId="152" xfId="2" applyFont="1" applyFill="1" applyBorder="1"/>
    <xf numFmtId="166" fontId="110" fillId="19" borderId="151" xfId="2" applyFont="1" applyFill="1" applyBorder="1"/>
    <xf numFmtId="1" fontId="110" fillId="0" borderId="151" xfId="2" applyNumberFormat="1" applyFont="1" applyBorder="1" applyAlignment="1">
      <alignment horizontal="right"/>
    </xf>
    <xf numFmtId="1" fontId="110" fillId="22" borderId="151" xfId="2" applyNumberFormat="1" applyFont="1" applyFill="1" applyBorder="1" applyAlignment="1">
      <alignment horizontal="right"/>
    </xf>
    <xf numFmtId="3" fontId="110" fillId="0" borderId="154" xfId="2" applyNumberFormat="1" applyFont="1" applyBorder="1"/>
    <xf numFmtId="3" fontId="110" fillId="0" borderId="151" xfId="2" applyNumberFormat="1" applyFont="1" applyBorder="1"/>
    <xf numFmtId="166" fontId="110" fillId="25" borderId="163" xfId="2" applyFont="1" applyFill="1" applyBorder="1"/>
    <xf numFmtId="166" fontId="110" fillId="0" borderId="163" xfId="2" applyFont="1" applyBorder="1"/>
    <xf numFmtId="166" fontId="63" fillId="0" borderId="158" xfId="2" applyFont="1" applyBorder="1"/>
    <xf numFmtId="166" fontId="63" fillId="25" borderId="161" xfId="2" applyFont="1" applyFill="1" applyBorder="1"/>
    <xf numFmtId="165" fontId="62" fillId="0" borderId="151" xfId="2" applyNumberFormat="1" applyFont="1" applyBorder="1"/>
    <xf numFmtId="0" fontId="12" fillId="3" borderId="114" xfId="0" applyFont="1" applyFill="1" applyBorder="1" applyAlignment="1">
      <alignment wrapText="1"/>
    </xf>
    <xf numFmtId="0" fontId="13" fillId="3" borderId="145" xfId="0" applyFont="1" applyFill="1" applyBorder="1" applyAlignment="1">
      <alignment horizontal="centerContinuous" wrapText="1"/>
    </xf>
    <xf numFmtId="0" fontId="14" fillId="3" borderId="145" xfId="0" applyFont="1" applyFill="1" applyBorder="1" applyAlignment="1">
      <alignment horizontal="center" vertical="center"/>
    </xf>
    <xf numFmtId="0" fontId="0" fillId="3" borderId="145" xfId="0" applyFill="1" applyBorder="1" applyAlignment="1">
      <alignment horizontal="centerContinuous" wrapText="1"/>
    </xf>
    <xf numFmtId="0" fontId="12" fillId="3" borderId="115" xfId="0" applyFont="1" applyFill="1" applyBorder="1" applyAlignment="1">
      <alignment wrapText="1"/>
    </xf>
    <xf numFmtId="0" fontId="15" fillId="3" borderId="145" xfId="0" applyFont="1" applyFill="1" applyBorder="1" applyAlignment="1">
      <alignment horizontal="center" wrapText="1"/>
    </xf>
    <xf numFmtId="0" fontId="16" fillId="3" borderId="169" xfId="0" applyFont="1" applyFill="1" applyBorder="1" applyAlignment="1">
      <alignment horizontal="center" wrapText="1"/>
    </xf>
    <xf numFmtId="0" fontId="17" fillId="3" borderId="145" xfId="0" applyFont="1" applyFill="1" applyBorder="1" applyAlignment="1">
      <alignment wrapText="1"/>
    </xf>
    <xf numFmtId="0" fontId="15" fillId="3" borderId="145" xfId="0" applyFont="1" applyFill="1" applyBorder="1" applyAlignment="1">
      <alignment wrapText="1"/>
    </xf>
    <xf numFmtId="0" fontId="0" fillId="4" borderId="145" xfId="0" applyFill="1" applyBorder="1"/>
    <xf numFmtId="0" fontId="0" fillId="5" borderId="145" xfId="0" applyFill="1" applyBorder="1"/>
    <xf numFmtId="0" fontId="0" fillId="0" borderId="145" xfId="0" applyBorder="1"/>
    <xf numFmtId="0" fontId="0" fillId="7" borderId="145" xfId="0" applyFill="1" applyBorder="1"/>
    <xf numFmtId="0" fontId="0" fillId="2" borderId="145" xfId="0" applyFill="1" applyBorder="1"/>
    <xf numFmtId="0" fontId="15" fillId="7" borderId="80" xfId="0" applyFont="1" applyFill="1" applyBorder="1" applyAlignment="1">
      <alignment vertical="center" wrapText="1"/>
    </xf>
    <xf numFmtId="0" fontId="0" fillId="7" borderId="172" xfId="0" applyFill="1" applyBorder="1" applyAlignment="1">
      <alignment vertical="center" wrapText="1"/>
    </xf>
    <xf numFmtId="0" fontId="47" fillId="5" borderId="145" xfId="0" applyFont="1" applyFill="1" applyBorder="1"/>
    <xf numFmtId="0" fontId="52" fillId="0" borderId="145" xfId="0" applyFont="1" applyBorder="1"/>
    <xf numFmtId="0" fontId="18" fillId="7" borderId="80" xfId="0" applyFont="1" applyFill="1" applyBorder="1" applyAlignment="1">
      <alignment vertical="center" wrapText="1"/>
    </xf>
    <xf numFmtId="0" fontId="0" fillId="0" borderId="145" xfId="0" applyFill="1" applyBorder="1"/>
    <xf numFmtId="0" fontId="85" fillId="7" borderId="173" xfId="0" applyFont="1" applyFill="1" applyBorder="1" applyAlignment="1">
      <alignment vertical="center" wrapText="1"/>
    </xf>
    <xf numFmtId="0" fontId="0" fillId="7" borderId="174" xfId="0" applyFill="1" applyBorder="1" applyAlignment="1">
      <alignment vertical="center" wrapText="1"/>
    </xf>
    <xf numFmtId="0" fontId="13" fillId="5" borderId="145" xfId="0" applyFont="1" applyFill="1" applyBorder="1" applyAlignment="1">
      <alignment horizontal="right"/>
    </xf>
    <xf numFmtId="0" fontId="16" fillId="3" borderId="145" xfId="0" applyFont="1" applyFill="1" applyBorder="1" applyAlignment="1">
      <alignment horizontal="center" wrapText="1"/>
    </xf>
    <xf numFmtId="3" fontId="0" fillId="0" borderId="145" xfId="0" applyNumberFormat="1" applyBorder="1"/>
    <xf numFmtId="3" fontId="0" fillId="5" borderId="145" xfId="0" applyNumberFormat="1" applyFill="1" applyBorder="1"/>
    <xf numFmtId="3" fontId="0" fillId="7" borderId="145" xfId="0" applyNumberFormat="1" applyFill="1" applyBorder="1"/>
    <xf numFmtId="3" fontId="52" fillId="0" borderId="145" xfId="0" applyNumberFormat="1" applyFont="1" applyBorder="1"/>
    <xf numFmtId="0" fontId="12" fillId="6" borderId="145" xfId="0" applyFont="1" applyFill="1" applyBorder="1"/>
    <xf numFmtId="0" fontId="12" fillId="6" borderId="145" xfId="0" applyFont="1" applyFill="1" applyBorder="1" applyAlignment="1">
      <alignment horizontal="center" wrapText="1"/>
    </xf>
    <xf numFmtId="0" fontId="41" fillId="6" borderId="145" xfId="0" applyFont="1" applyFill="1" applyBorder="1" applyAlignment="1">
      <alignment horizontal="center"/>
    </xf>
    <xf numFmtId="0" fontId="15" fillId="6" borderId="145" xfId="0" applyFont="1" applyFill="1" applyBorder="1" applyAlignment="1">
      <alignment horizontal="center" wrapText="1"/>
    </xf>
    <xf numFmtId="0" fontId="21" fillId="4" borderId="145" xfId="0" applyFont="1" applyFill="1" applyBorder="1"/>
    <xf numFmtId="0" fontId="21" fillId="0" borderId="145" xfId="0" applyFont="1" applyBorder="1"/>
    <xf numFmtId="0" fontId="21" fillId="7" borderId="145" xfId="0" applyFont="1" applyFill="1" applyBorder="1"/>
    <xf numFmtId="0" fontId="18" fillId="0" borderId="80" xfId="0" applyFont="1" applyBorder="1" applyAlignment="1">
      <alignment vertical="top" wrapText="1"/>
    </xf>
    <xf numFmtId="0" fontId="0" fillId="0" borderId="172" xfId="0" applyBorder="1" applyAlignment="1">
      <alignment vertical="top" wrapText="1"/>
    </xf>
    <xf numFmtId="0" fontId="15" fillId="0" borderId="80" xfId="0" applyFont="1" applyBorder="1" applyAlignment="1">
      <alignment vertical="top" wrapText="1"/>
    </xf>
    <xf numFmtId="0" fontId="15" fillId="0" borderId="173" xfId="0" applyFont="1" applyBorder="1" applyAlignment="1">
      <alignment vertical="top" wrapText="1"/>
    </xf>
    <xf numFmtId="0" fontId="0" fillId="0" borderId="174" xfId="0" applyBorder="1" applyAlignment="1">
      <alignment vertical="top" wrapText="1"/>
    </xf>
    <xf numFmtId="0" fontId="12" fillId="6" borderId="114" xfId="0" applyFont="1" applyFill="1" applyBorder="1"/>
    <xf numFmtId="0" fontId="12" fillId="6" borderId="114" xfId="0" applyFont="1" applyFill="1" applyBorder="1" applyAlignment="1">
      <alignment horizontal="center" wrapText="1"/>
    </xf>
    <xf numFmtId="0" fontId="15" fillId="4" borderId="175" xfId="0" applyFont="1" applyFill="1" applyBorder="1"/>
    <xf numFmtId="0" fontId="21" fillId="0" borderId="175" xfId="0" applyFont="1" applyBorder="1"/>
    <xf numFmtId="0" fontId="47" fillId="0" borderId="145" xfId="0" applyFont="1" applyBorder="1"/>
    <xf numFmtId="0" fontId="13" fillId="5" borderId="175" xfId="0" applyFont="1" applyFill="1" applyBorder="1" applyAlignment="1">
      <alignment horizontal="right"/>
    </xf>
    <xf numFmtId="0" fontId="24" fillId="6" borderId="145" xfId="0" applyFont="1" applyFill="1" applyBorder="1" applyAlignment="1">
      <alignment horizontal="centerContinuous" wrapText="1"/>
    </xf>
    <xf numFmtId="0" fontId="23" fillId="6" borderId="145" xfId="0" applyFont="1" applyFill="1" applyBorder="1" applyAlignment="1">
      <alignment horizontal="centerContinuous" wrapText="1"/>
    </xf>
    <xf numFmtId="0" fontId="25" fillId="6" borderId="145" xfId="0" applyFont="1" applyFill="1" applyBorder="1" applyAlignment="1">
      <alignment wrapText="1"/>
    </xf>
    <xf numFmtId="0" fontId="23" fillId="6" borderId="145" xfId="0" applyFont="1" applyFill="1" applyBorder="1" applyAlignment="1">
      <alignment wrapText="1"/>
    </xf>
    <xf numFmtId="0" fontId="27" fillId="0" borderId="80" xfId="0" applyFont="1" applyBorder="1" applyAlignment="1">
      <alignment horizontal="left" vertical="center" wrapText="1"/>
    </xf>
    <xf numFmtId="0" fontId="0" fillId="0" borderId="0" xfId="0" applyBorder="1" applyAlignment="1">
      <alignment horizontal="left"/>
    </xf>
    <xf numFmtId="0" fontId="28" fillId="4" borderId="145" xfId="0" applyFont="1" applyFill="1" applyBorder="1"/>
    <xf numFmtId="0" fontId="28" fillId="0" borderId="145" xfId="0" applyFont="1" applyBorder="1"/>
    <xf numFmtId="0" fontId="28" fillId="7" borderId="145" xfId="0" applyFont="1" applyFill="1" applyBorder="1"/>
    <xf numFmtId="0" fontId="29" fillId="8" borderId="145" xfId="0" applyFont="1" applyFill="1" applyBorder="1" applyAlignment="1">
      <alignment horizontal="right"/>
    </xf>
    <xf numFmtId="0" fontId="0" fillId="8" borderId="145" xfId="0" applyFont="1" applyFill="1" applyBorder="1" applyAlignment="1">
      <alignment horizontal="right"/>
    </xf>
    <xf numFmtId="0" fontId="0" fillId="8" borderId="145" xfId="0" applyFill="1" applyBorder="1"/>
    <xf numFmtId="0" fontId="15" fillId="6" borderId="145" xfId="0" applyFont="1" applyFill="1" applyBorder="1" applyAlignment="1">
      <alignment wrapText="1"/>
    </xf>
    <xf numFmtId="0" fontId="16" fillId="6" borderId="145" xfId="0" applyFont="1" applyFill="1" applyBorder="1" applyAlignment="1">
      <alignment wrapText="1"/>
    </xf>
    <xf numFmtId="0" fontId="45" fillId="7" borderId="145" xfId="0" applyFont="1" applyFill="1" applyBorder="1"/>
    <xf numFmtId="0" fontId="13" fillId="8" borderId="145" xfId="0" applyFont="1" applyFill="1" applyBorder="1" applyAlignment="1">
      <alignment horizontal="right"/>
    </xf>
    <xf numFmtId="0" fontId="12" fillId="9" borderId="145" xfId="0" applyFont="1" applyFill="1" applyBorder="1" applyAlignment="1">
      <alignment wrapText="1"/>
    </xf>
    <xf numFmtId="0" fontId="32" fillId="9" borderId="145" xfId="0" applyFont="1" applyFill="1" applyBorder="1" applyAlignment="1">
      <alignment horizontal="center" wrapText="1"/>
    </xf>
    <xf numFmtId="0" fontId="41" fillId="9" borderId="145" xfId="0" applyFont="1" applyFill="1" applyBorder="1" applyAlignment="1">
      <alignment horizontal="center" wrapText="1"/>
    </xf>
    <xf numFmtId="0" fontId="16" fillId="9" borderId="145" xfId="0" applyFont="1" applyFill="1" applyBorder="1" applyAlignment="1">
      <alignment wrapText="1"/>
    </xf>
    <xf numFmtId="0" fontId="15" fillId="9" borderId="145" xfId="0" applyFont="1" applyFill="1" applyBorder="1" applyAlignment="1">
      <alignment wrapText="1"/>
    </xf>
    <xf numFmtId="0" fontId="13" fillId="8" borderId="145" xfId="0" applyFont="1" applyFill="1" applyBorder="1"/>
    <xf numFmtId="0" fontId="24" fillId="11" borderId="145" xfId="0" applyFont="1" applyFill="1" applyBorder="1" applyAlignment="1">
      <alignment horizontal="centerContinuous" wrapText="1"/>
    </xf>
    <xf numFmtId="0" fontId="23" fillId="11" borderId="145" xfId="0" applyFont="1" applyFill="1" applyBorder="1" applyAlignment="1">
      <alignment wrapText="1"/>
    </xf>
    <xf numFmtId="0" fontId="25" fillId="11" borderId="145" xfId="0" applyFont="1" applyFill="1" applyBorder="1" applyAlignment="1">
      <alignment wrapText="1"/>
    </xf>
    <xf numFmtId="0" fontId="34" fillId="11" borderId="145" xfId="0" applyFont="1" applyFill="1" applyBorder="1" applyAlignment="1">
      <alignment wrapText="1"/>
    </xf>
    <xf numFmtId="0" fontId="27" fillId="0" borderId="114" xfId="0" applyFont="1" applyBorder="1" applyAlignment="1">
      <alignment vertical="center" wrapText="1"/>
    </xf>
    <xf numFmtId="0" fontId="0" fillId="4" borderId="145" xfId="0" applyFont="1" applyFill="1" applyBorder="1"/>
    <xf numFmtId="0" fontId="23" fillId="0" borderId="115" xfId="0" applyFont="1" applyBorder="1" applyAlignment="1">
      <alignment vertical="center" wrapText="1"/>
    </xf>
    <xf numFmtId="0" fontId="0" fillId="0" borderId="145" xfId="0" applyFont="1" applyBorder="1"/>
    <xf numFmtId="0" fontId="23" fillId="7" borderId="115" xfId="0" applyFont="1" applyFill="1" applyBorder="1" applyAlignment="1">
      <alignment vertical="center" wrapText="1"/>
    </xf>
    <xf numFmtId="0" fontId="27" fillId="7" borderId="115" xfId="0" applyFont="1" applyFill="1" applyBorder="1" applyAlignment="1">
      <alignment vertical="center" wrapText="1"/>
    </xf>
    <xf numFmtId="0" fontId="26" fillId="0" borderId="115" xfId="0" applyFont="1" applyBorder="1" applyAlignment="1">
      <alignment vertical="center" wrapText="1"/>
    </xf>
    <xf numFmtId="0" fontId="26" fillId="7" borderId="116" xfId="0" applyFont="1" applyFill="1" applyBorder="1" applyAlignment="1"/>
    <xf numFmtId="0" fontId="0" fillId="8" borderId="145" xfId="0" applyFont="1" applyFill="1" applyBorder="1"/>
    <xf numFmtId="0" fontId="26" fillId="0" borderId="0" xfId="0" applyFont="1" applyBorder="1" applyAlignment="1">
      <alignment horizontal="left" vertical="center" wrapText="1"/>
    </xf>
    <xf numFmtId="0" fontId="23" fillId="11" borderId="145" xfId="0" applyFont="1" applyFill="1" applyBorder="1" applyAlignment="1">
      <alignment horizontal="centerContinuous" wrapText="1"/>
    </xf>
    <xf numFmtId="0" fontId="15" fillId="11" borderId="145" xfId="0" applyFont="1" applyFill="1" applyBorder="1" applyAlignment="1">
      <alignment wrapText="1"/>
    </xf>
    <xf numFmtId="0" fontId="24" fillId="11" borderId="145" xfId="0" applyFont="1" applyFill="1" applyBorder="1" applyAlignment="1">
      <alignment wrapText="1"/>
    </xf>
    <xf numFmtId="0" fontId="19" fillId="0" borderId="170" xfId="0" applyFont="1" applyBorder="1" applyAlignment="1">
      <alignment vertical="center" wrapText="1"/>
    </xf>
    <xf numFmtId="0" fontId="0" fillId="0" borderId="171" xfId="0" applyBorder="1" applyAlignment="1">
      <alignment vertical="center" wrapText="1"/>
    </xf>
    <xf numFmtId="0" fontId="0" fillId="0" borderId="172" xfId="0" applyBorder="1" applyAlignment="1">
      <alignment vertical="center" wrapText="1"/>
    </xf>
    <xf numFmtId="0" fontId="15" fillId="0" borderId="80" xfId="0" applyFont="1" applyBorder="1" applyAlignment="1">
      <alignment vertical="center" wrapText="1"/>
    </xf>
    <xf numFmtId="0" fontId="15" fillId="0" borderId="173" xfId="0" applyFont="1" applyBorder="1" applyAlignment="1">
      <alignment vertical="center" wrapText="1"/>
    </xf>
    <xf numFmtId="0" fontId="0" fillId="0" borderId="174" xfId="0" applyBorder="1" applyAlignment="1">
      <alignment vertical="center" wrapText="1"/>
    </xf>
    <xf numFmtId="0" fontId="29" fillId="8" borderId="145" xfId="0" applyFont="1" applyFill="1" applyBorder="1"/>
    <xf numFmtId="0" fontId="23" fillId="12" borderId="145" xfId="0" applyFont="1" applyFill="1" applyBorder="1" applyAlignment="1">
      <alignment horizontal="centerContinuous" wrapText="1"/>
    </xf>
    <xf numFmtId="0" fontId="24" fillId="12" borderId="145" xfId="0" applyFont="1" applyFill="1" applyBorder="1" applyAlignment="1">
      <alignment wrapText="1"/>
    </xf>
    <xf numFmtId="0" fontId="25" fillId="12" borderId="145" xfId="0" applyFont="1" applyFill="1" applyBorder="1" applyAlignment="1">
      <alignment wrapText="1"/>
    </xf>
    <xf numFmtId="0" fontId="23" fillId="12" borderId="145" xfId="0" applyFont="1" applyFill="1" applyBorder="1" applyAlignment="1">
      <alignment wrapText="1"/>
    </xf>
    <xf numFmtId="0" fontId="34" fillId="12" borderId="145" xfId="0" applyFont="1" applyFill="1" applyBorder="1" applyAlignment="1">
      <alignment wrapText="1"/>
    </xf>
    <xf numFmtId="0" fontId="36" fillId="12" borderId="145" xfId="0" applyFont="1" applyFill="1" applyBorder="1" applyAlignment="1">
      <alignment horizontal="left" wrapText="1"/>
    </xf>
    <xf numFmtId="0" fontId="26" fillId="12" borderId="145" xfId="0" applyFont="1" applyFill="1" applyBorder="1" applyAlignment="1">
      <alignment horizontal="center" vertical="center" wrapText="1"/>
    </xf>
    <xf numFmtId="0" fontId="29" fillId="12" borderId="145" xfId="0" applyFont="1" applyFill="1" applyBorder="1" applyAlignment="1">
      <alignment horizontal="right"/>
    </xf>
    <xf numFmtId="0" fontId="0" fillId="12" borderId="145" xfId="0" applyFont="1" applyFill="1" applyBorder="1" applyAlignment="1">
      <alignment wrapText="1"/>
    </xf>
    <xf numFmtId="0" fontId="29" fillId="12" borderId="145" xfId="0" applyFont="1" applyFill="1" applyBorder="1" applyAlignment="1">
      <alignment wrapText="1"/>
    </xf>
    <xf numFmtId="0" fontId="29" fillId="4" borderId="145" xfId="0" applyFont="1" applyFill="1" applyBorder="1" applyAlignment="1">
      <alignment horizontal="right"/>
    </xf>
    <xf numFmtId="0" fontId="29" fillId="4" borderId="145" xfId="0" applyFont="1" applyFill="1" applyBorder="1"/>
    <xf numFmtId="0" fontId="29" fillId="7" borderId="145" xfId="0" applyFont="1" applyFill="1" applyBorder="1" applyAlignment="1">
      <alignment horizontal="right"/>
    </xf>
    <xf numFmtId="0" fontId="0" fillId="7" borderId="145" xfId="0" applyFont="1" applyFill="1" applyBorder="1"/>
    <xf numFmtId="0" fontId="23" fillId="13" borderId="145" xfId="0" applyFont="1" applyFill="1" applyBorder="1" applyAlignment="1">
      <alignment horizontal="centerContinuous" wrapText="1"/>
    </xf>
    <xf numFmtId="0" fontId="23" fillId="13" borderId="145" xfId="0" applyFont="1" applyFill="1" applyBorder="1" applyAlignment="1">
      <alignment wrapText="1"/>
    </xf>
    <xf numFmtId="0" fontId="24" fillId="13" borderId="145" xfId="0" applyFont="1" applyFill="1" applyBorder="1" applyAlignment="1">
      <alignment wrapText="1"/>
    </xf>
    <xf numFmtId="0" fontId="16" fillId="13" borderId="145" xfId="0" applyFont="1" applyFill="1" applyBorder="1" applyAlignment="1">
      <alignment wrapText="1"/>
    </xf>
    <xf numFmtId="0" fontId="15" fillId="13" borderId="145" xfId="0" applyFont="1" applyFill="1" applyBorder="1" applyAlignment="1">
      <alignment wrapText="1"/>
    </xf>
    <xf numFmtId="0" fontId="27" fillId="0" borderId="170" xfId="0" applyFont="1" applyBorder="1" applyAlignment="1">
      <alignment vertical="center" wrapText="1"/>
    </xf>
    <xf numFmtId="0" fontId="0" fillId="0" borderId="171" xfId="0" applyBorder="1" applyAlignment="1"/>
    <xf numFmtId="0" fontId="23" fillId="0" borderId="80" xfId="0" applyFont="1" applyBorder="1" applyAlignment="1">
      <alignment vertical="center" wrapText="1"/>
    </xf>
    <xf numFmtId="0" fontId="0" fillId="0" borderId="172" xfId="0" applyBorder="1" applyAlignment="1"/>
    <xf numFmtId="0" fontId="27" fillId="0" borderId="80" xfId="0" applyFont="1" applyBorder="1" applyAlignment="1">
      <alignment vertical="center" wrapText="1"/>
    </xf>
    <xf numFmtId="0" fontId="19" fillId="0" borderId="124" xfId="0" applyFont="1" applyBorder="1" applyAlignment="1">
      <alignment vertical="center" wrapText="1"/>
    </xf>
    <xf numFmtId="0" fontId="18" fillId="0" borderId="124" xfId="0" applyFont="1" applyBorder="1" applyAlignment="1">
      <alignment vertical="center" wrapText="1"/>
    </xf>
    <xf numFmtId="0" fontId="16" fillId="0" borderId="124" xfId="0" applyFont="1" applyBorder="1" applyAlignment="1">
      <alignment vertical="center" wrapText="1"/>
    </xf>
    <xf numFmtId="0" fontId="16" fillId="0" borderId="27" xfId="0" applyFont="1" applyBorder="1" applyAlignment="1">
      <alignment vertical="center" wrapText="1"/>
    </xf>
    <xf numFmtId="0" fontId="0" fillId="0" borderId="74" xfId="0" applyBorder="1" applyAlignment="1">
      <alignment vertical="center" wrapText="1"/>
    </xf>
    <xf numFmtId="0" fontId="11" fillId="15" borderId="0" xfId="0" applyFont="1" applyFill="1" applyBorder="1"/>
    <xf numFmtId="0" fontId="0" fillId="15" borderId="0" xfId="0" applyFill="1" applyBorder="1"/>
    <xf numFmtId="0" fontId="13" fillId="7" borderId="0" xfId="0" applyFont="1" applyFill="1"/>
    <xf numFmtId="0" fontId="12" fillId="15" borderId="145" xfId="0" applyFont="1" applyFill="1" applyBorder="1" applyAlignment="1">
      <alignment wrapText="1"/>
    </xf>
    <xf numFmtId="0" fontId="12" fillId="15" borderId="145" xfId="0" applyFont="1" applyFill="1" applyBorder="1" applyAlignment="1">
      <alignment horizontal="center" wrapText="1"/>
    </xf>
    <xf numFmtId="0" fontId="15" fillId="15" borderId="145" xfId="0" applyFont="1" applyFill="1" applyBorder="1" applyAlignment="1">
      <alignment wrapText="1"/>
    </xf>
    <xf numFmtId="0" fontId="12" fillId="11" borderId="145" xfId="0" applyFont="1" applyFill="1" applyBorder="1" applyAlignment="1">
      <alignment horizontal="left" vertical="center" wrapText="1"/>
    </xf>
    <xf numFmtId="0" fontId="41" fillId="11" borderId="145" xfId="0" applyFont="1" applyFill="1" applyBorder="1" applyAlignment="1">
      <alignment wrapText="1"/>
    </xf>
    <xf numFmtId="0" fontId="0" fillId="7" borderId="145" xfId="0" applyFont="1" applyFill="1" applyBorder="1" applyAlignment="1">
      <alignment vertical="center" wrapText="1"/>
    </xf>
    <xf numFmtId="4" fontId="21" fillId="7" borderId="145" xfId="0" applyNumberFormat="1" applyFont="1" applyFill="1" applyBorder="1"/>
    <xf numFmtId="4" fontId="21" fillId="0" borderId="145" xfId="0" applyNumberFormat="1" applyFont="1" applyBorder="1"/>
    <xf numFmtId="0" fontId="0" fillId="7" borderId="145" xfId="0" applyFill="1" applyBorder="1" applyAlignment="1">
      <alignment vertical="center" wrapText="1"/>
    </xf>
    <xf numFmtId="0" fontId="43" fillId="7" borderId="114" xfId="0" applyFont="1" applyFill="1" applyBorder="1" applyAlignment="1">
      <alignment vertical="center" wrapText="1"/>
    </xf>
    <xf numFmtId="0" fontId="0" fillId="7" borderId="114" xfId="0" applyFill="1" applyBorder="1" applyAlignment="1">
      <alignment vertical="center" wrapText="1"/>
    </xf>
    <xf numFmtId="0" fontId="0" fillId="7" borderId="115" xfId="0" applyFill="1" applyBorder="1" applyAlignment="1">
      <alignment vertical="center" wrapText="1"/>
    </xf>
    <xf numFmtId="0" fontId="0" fillId="7" borderId="116" xfId="0" applyFill="1" applyBorder="1" applyAlignment="1">
      <alignment vertical="center" wrapText="1"/>
    </xf>
    <xf numFmtId="4" fontId="13" fillId="5" borderId="145" xfId="0" applyNumberFormat="1" applyFont="1" applyFill="1" applyBorder="1" applyAlignment="1">
      <alignment horizontal="right"/>
    </xf>
    <xf numFmtId="0" fontId="0" fillId="7" borderId="0" xfId="0" applyFill="1" applyBorder="1" applyAlignment="1">
      <alignment vertical="center" wrapText="1"/>
    </xf>
    <xf numFmtId="0" fontId="12" fillId="3" borderId="95" xfId="0" applyFont="1" applyFill="1" applyBorder="1" applyAlignment="1">
      <alignment vertical="center" wrapText="1"/>
    </xf>
    <xf numFmtId="0" fontId="12"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0" fillId="4" borderId="19" xfId="0" applyFill="1" applyBorder="1" applyAlignment="1">
      <alignment horizontal="center" vertical="center"/>
    </xf>
    <xf numFmtId="0" fontId="0" fillId="5" borderId="22" xfId="0" applyFill="1" applyBorder="1" applyAlignment="1">
      <alignment horizontal="center"/>
    </xf>
    <xf numFmtId="0" fontId="0" fillId="0" borderId="19" xfId="0" applyBorder="1" applyAlignment="1">
      <alignment horizontal="center" vertical="center"/>
    </xf>
    <xf numFmtId="0" fontId="121" fillId="0" borderId="20" xfId="0" applyFont="1" applyBorder="1" applyAlignment="1">
      <alignment horizontal="center" vertical="center"/>
    </xf>
    <xf numFmtId="0" fontId="121" fillId="0" borderId="21" xfId="0" applyFont="1" applyBorder="1" applyAlignment="1">
      <alignment horizontal="center" vertical="center"/>
    </xf>
    <xf numFmtId="0" fontId="52" fillId="0" borderId="21" xfId="0" applyFont="1" applyBorder="1" applyAlignment="1">
      <alignment horizontal="center" vertical="center"/>
    </xf>
    <xf numFmtId="0" fontId="52" fillId="5" borderId="22" xfId="0" applyFont="1" applyFill="1" applyBorder="1" applyAlignment="1">
      <alignment horizontal="center" vertical="center"/>
    </xf>
    <xf numFmtId="0" fontId="121" fillId="0" borderId="23" xfId="0" applyFont="1" applyBorder="1" applyAlignment="1">
      <alignment horizontal="center" vertical="center"/>
    </xf>
    <xf numFmtId="0" fontId="121" fillId="2"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23" xfId="0" applyFont="1" applyBorder="1" applyAlignment="1">
      <alignment horizontal="center" vertical="center"/>
    </xf>
    <xf numFmtId="0" fontId="52" fillId="2" borderId="24"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5" borderId="22" xfId="0" applyFill="1"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center" vertical="center"/>
    </xf>
    <xf numFmtId="0" fontId="0" fillId="0" borderId="19" xfId="0" applyFill="1" applyBorder="1" applyAlignment="1">
      <alignment horizontal="center" vertical="center"/>
    </xf>
    <xf numFmtId="0" fontId="13"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5" xfId="0" applyFont="1" applyFill="1" applyBorder="1" applyAlignment="1">
      <alignment horizontal="center" vertical="center"/>
    </xf>
    <xf numFmtId="0" fontId="12" fillId="3" borderId="105" xfId="0" applyFont="1" applyFill="1" applyBorder="1" applyAlignment="1">
      <alignment horizontal="center" wrapText="1"/>
    </xf>
    <xf numFmtId="0" fontId="13" fillId="3" borderId="36" xfId="0" applyFont="1" applyFill="1" applyBorder="1" applyAlignment="1">
      <alignment horizontal="center" wrapText="1"/>
    </xf>
    <xf numFmtId="0" fontId="12" fillId="3" borderId="124" xfId="0" applyFont="1" applyFill="1" applyBorder="1" applyAlignment="1">
      <alignment vertical="center" wrapText="1"/>
    </xf>
    <xf numFmtId="0" fontId="15" fillId="3" borderId="22" xfId="0" applyFont="1" applyFill="1" applyBorder="1" applyAlignment="1">
      <alignment horizontal="center" wrapText="1"/>
    </xf>
    <xf numFmtId="0" fontId="0" fillId="4" borderId="22" xfId="0" applyFill="1" applyBorder="1" applyAlignment="1">
      <alignment horizontal="center"/>
    </xf>
    <xf numFmtId="0" fontId="0" fillId="4" borderId="23" xfId="0" applyFill="1" applyBorder="1" applyAlignment="1">
      <alignment horizontal="center"/>
    </xf>
    <xf numFmtId="0" fontId="0" fillId="4" borderId="21" xfId="0" applyFill="1" applyBorder="1" applyAlignment="1">
      <alignment horizontal="center"/>
    </xf>
    <xf numFmtId="0" fontId="0" fillId="5" borderId="24" xfId="0" applyFill="1" applyBorder="1" applyAlignment="1">
      <alignment horizontal="center"/>
    </xf>
    <xf numFmtId="0" fontId="0" fillId="0" borderId="22" xfId="0" applyBorder="1" applyAlignment="1">
      <alignment horizontal="center"/>
    </xf>
    <xf numFmtId="0" fontId="121" fillId="0" borderId="23" xfId="0" applyFont="1" applyBorder="1" applyAlignment="1">
      <alignment horizontal="center"/>
    </xf>
    <xf numFmtId="0" fontId="121" fillId="0" borderId="21" xfId="0" applyFont="1" applyBorder="1" applyAlignment="1">
      <alignment horizontal="center"/>
    </xf>
    <xf numFmtId="3" fontId="52" fillId="0" borderId="23" xfId="0" applyNumberFormat="1" applyFont="1" applyBorder="1" applyAlignment="1">
      <alignment horizontal="center"/>
    </xf>
    <xf numFmtId="3" fontId="52" fillId="0" borderId="21" xfId="0" applyNumberFormat="1" applyFont="1" applyBorder="1" applyAlignment="1">
      <alignment horizontal="center"/>
    </xf>
    <xf numFmtId="0" fontId="0" fillId="0" borderId="23" xfId="0" applyBorder="1" applyAlignment="1">
      <alignment horizontal="center"/>
    </xf>
    <xf numFmtId="3" fontId="0" fillId="0" borderId="21" xfId="0" applyNumberFormat="1" applyBorder="1" applyAlignment="1">
      <alignment horizontal="center"/>
    </xf>
    <xf numFmtId="0" fontId="0" fillId="0" borderId="21" xfId="0" applyBorder="1" applyAlignment="1">
      <alignment horizontal="center"/>
    </xf>
    <xf numFmtId="3" fontId="0" fillId="5" borderId="24" xfId="0" applyNumberFormat="1" applyFill="1" applyBorder="1" applyAlignment="1">
      <alignment horizontal="center"/>
    </xf>
    <xf numFmtId="0" fontId="0" fillId="0" borderId="22" xfId="0" applyFill="1" applyBorder="1" applyAlignment="1">
      <alignment horizontal="center"/>
    </xf>
    <xf numFmtId="0" fontId="13" fillId="5" borderId="32" xfId="0" applyFont="1" applyFill="1" applyBorder="1" applyAlignment="1">
      <alignment horizontal="center"/>
    </xf>
    <xf numFmtId="3" fontId="1" fillId="5" borderId="33" xfId="0" applyNumberFormat="1" applyFont="1" applyFill="1" applyBorder="1" applyAlignment="1">
      <alignment horizontal="center"/>
    </xf>
    <xf numFmtId="3" fontId="1" fillId="5" borderId="31" xfId="0" applyNumberFormat="1" applyFont="1" applyFill="1" applyBorder="1" applyAlignment="1">
      <alignment horizontal="center"/>
    </xf>
    <xf numFmtId="3" fontId="1" fillId="5" borderId="35" xfId="0" applyNumberFormat="1" applyFont="1" applyFill="1" applyBorder="1" applyAlignment="1">
      <alignment horizontal="center"/>
    </xf>
    <xf numFmtId="0" fontId="12" fillId="6" borderId="104" xfId="0" applyFont="1" applyFill="1" applyBorder="1" applyAlignment="1">
      <alignment vertical="center"/>
    </xf>
    <xf numFmtId="0" fontId="12" fillId="6" borderId="10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9"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21" fillId="4" borderId="19" xfId="0" applyFont="1" applyFill="1" applyBorder="1" applyAlignment="1">
      <alignment horizontal="center"/>
    </xf>
    <xf numFmtId="0" fontId="21" fillId="0" borderId="19" xfId="0" applyFont="1" applyBorder="1" applyAlignment="1">
      <alignment horizontal="center"/>
    </xf>
    <xf numFmtId="0" fontId="121" fillId="0" borderId="20" xfId="0" applyFont="1" applyFill="1" applyBorder="1" applyAlignment="1">
      <alignment horizontal="center"/>
    </xf>
    <xf numFmtId="0" fontId="121" fillId="0" borderId="22" xfId="0" applyFont="1" applyFill="1" applyBorder="1" applyAlignment="1">
      <alignment horizontal="center"/>
    </xf>
    <xf numFmtId="3" fontId="0" fillId="0" borderId="0" xfId="0" applyNumberFormat="1" applyAlignment="1">
      <alignment horizontal="center"/>
    </xf>
    <xf numFmtId="3" fontId="52" fillId="0" borderId="20" xfId="0" applyNumberFormat="1" applyFont="1" applyFill="1" applyBorder="1" applyAlignment="1">
      <alignment horizontal="center" vertical="center"/>
    </xf>
    <xf numFmtId="3" fontId="52" fillId="0" borderId="22" xfId="0" applyNumberFormat="1" applyFont="1" applyFill="1" applyBorder="1" applyAlignment="1">
      <alignment horizontal="center" vertical="center"/>
    </xf>
    <xf numFmtId="3" fontId="0" fillId="0" borderId="20" xfId="0" applyNumberFormat="1" applyBorder="1" applyAlignment="1">
      <alignment horizontal="center"/>
    </xf>
    <xf numFmtId="3" fontId="0" fillId="0" borderId="22" xfId="0" applyNumberFormat="1" applyBorder="1" applyAlignment="1">
      <alignment horizontal="center"/>
    </xf>
    <xf numFmtId="0" fontId="13" fillId="5" borderId="29" xfId="0" applyFont="1" applyFill="1" applyBorder="1" applyAlignment="1">
      <alignment horizontal="center"/>
    </xf>
    <xf numFmtId="3" fontId="1" fillId="5" borderId="30" xfId="0" applyNumberFormat="1" applyFont="1" applyFill="1" applyBorder="1" applyAlignment="1">
      <alignment horizontal="center"/>
    </xf>
    <xf numFmtId="3" fontId="1" fillId="5" borderId="32" xfId="0" applyNumberFormat="1" applyFont="1" applyFill="1" applyBorder="1" applyAlignment="1">
      <alignment horizontal="center"/>
    </xf>
    <xf numFmtId="0" fontId="12" fillId="6" borderId="14" xfId="0" applyFont="1" applyFill="1" applyBorder="1" applyAlignment="1">
      <alignment vertical="center"/>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19" xfId="0" applyFont="1" applyFill="1" applyBorder="1" applyAlignment="1">
      <alignment horizontal="center"/>
    </xf>
    <xf numFmtId="0" fontId="121" fillId="0" borderId="21" xfId="0" applyFont="1" applyFill="1" applyBorder="1" applyAlignment="1">
      <alignment horizontal="center" vertical="center"/>
    </xf>
    <xf numFmtId="0" fontId="121" fillId="0" borderId="24" xfId="0" applyFont="1" applyFill="1" applyBorder="1" applyAlignment="1">
      <alignment horizontal="center" vertical="center"/>
    </xf>
    <xf numFmtId="0" fontId="0" fillId="0" borderId="20" xfId="0" applyFill="1" applyBorder="1" applyAlignment="1">
      <alignment horizont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52" fillId="0" borderId="20"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24" xfId="0" applyFont="1" applyFill="1" applyBorder="1" applyAlignment="1">
      <alignment horizontal="center" vertical="center"/>
    </xf>
    <xf numFmtId="0" fontId="1" fillId="5" borderId="30" xfId="0" applyFont="1" applyFill="1" applyBorder="1" applyAlignment="1">
      <alignment horizontal="center"/>
    </xf>
    <xf numFmtId="0" fontId="1" fillId="5" borderId="31" xfId="0" applyFont="1" applyFill="1" applyBorder="1" applyAlignment="1">
      <alignment horizontal="center"/>
    </xf>
    <xf numFmtId="0" fontId="1" fillId="5" borderId="35" xfId="0" applyFont="1" applyFill="1" applyBorder="1" applyAlignment="1">
      <alignment horizontal="center"/>
    </xf>
    <xf numFmtId="0" fontId="24" fillId="6" borderId="4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25" fillId="6" borderId="51" xfId="0" applyFont="1" applyFill="1" applyBorder="1" applyAlignment="1">
      <alignment horizontal="center" vertical="center" wrapText="1"/>
    </xf>
    <xf numFmtId="0" fontId="23" fillId="6" borderId="52" xfId="0" applyFont="1" applyFill="1" applyBorder="1" applyAlignment="1">
      <alignment horizontal="center" vertical="center" wrapText="1"/>
    </xf>
    <xf numFmtId="0" fontId="23" fillId="6" borderId="53" xfId="0" applyFont="1" applyFill="1" applyBorder="1" applyAlignment="1">
      <alignment horizontal="center" vertical="center" wrapText="1"/>
    </xf>
    <xf numFmtId="0" fontId="25" fillId="6" borderId="53" xfId="0" applyFont="1" applyFill="1" applyBorder="1" applyAlignment="1">
      <alignment horizontal="center" vertical="center" wrapText="1"/>
    </xf>
    <xf numFmtId="0" fontId="23" fillId="6" borderId="54" xfId="0" applyFont="1" applyFill="1" applyBorder="1" applyAlignment="1">
      <alignment horizontal="center" vertical="center" wrapText="1"/>
    </xf>
    <xf numFmtId="0" fontId="28" fillId="4" borderId="19" xfId="0" applyFont="1" applyFill="1" applyBorder="1" applyAlignment="1">
      <alignment horizontal="center"/>
    </xf>
    <xf numFmtId="0" fontId="28" fillId="0" borderId="19" xfId="0" applyFont="1" applyBorder="1" applyAlignment="1">
      <alignment horizontal="center"/>
    </xf>
    <xf numFmtId="0" fontId="28" fillId="0" borderId="21" xfId="0" applyFont="1" applyBorder="1" applyAlignment="1">
      <alignment horizontal="center"/>
    </xf>
    <xf numFmtId="0" fontId="0" fillId="0" borderId="56" xfId="0" applyBorder="1" applyAlignment="1">
      <alignment horizontal="center"/>
    </xf>
    <xf numFmtId="0" fontId="0" fillId="0" borderId="24" xfId="0" applyBorder="1" applyAlignment="1">
      <alignment horizontal="center"/>
    </xf>
    <xf numFmtId="0" fontId="29" fillId="8" borderId="29" xfId="0" applyFont="1" applyFill="1" applyBorder="1" applyAlignment="1">
      <alignment horizontal="center"/>
    </xf>
    <xf numFmtId="0" fontId="1" fillId="8" borderId="31" xfId="0" applyFont="1" applyFill="1" applyBorder="1" applyAlignment="1">
      <alignment horizontal="center"/>
    </xf>
    <xf numFmtId="0" fontId="1" fillId="8" borderId="34" xfId="0" applyFont="1" applyFill="1" applyBorder="1" applyAlignment="1">
      <alignment horizontal="center"/>
    </xf>
    <xf numFmtId="0" fontId="1" fillId="8" borderId="35" xfId="0" applyFont="1" applyFill="1" applyBorder="1" applyAlignment="1">
      <alignment horizontal="center"/>
    </xf>
    <xf numFmtId="0" fontId="12" fillId="6" borderId="104" xfId="0" applyFont="1" applyFill="1" applyBorder="1" applyAlignment="1">
      <alignment horizontal="left" vertical="center"/>
    </xf>
    <xf numFmtId="0" fontId="15" fillId="6" borderId="11"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25" fillId="6" borderId="58"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59" xfId="0" applyFont="1" applyFill="1" applyBorder="1" applyAlignment="1">
      <alignment horizontal="center" vertical="center" wrapText="1"/>
    </xf>
    <xf numFmtId="0" fontId="25" fillId="6" borderId="59" xfId="0" applyFont="1" applyFill="1" applyBorder="1" applyAlignment="1">
      <alignment horizontal="center" vertical="center" wrapText="1"/>
    </xf>
    <xf numFmtId="0" fontId="0" fillId="8" borderId="61" xfId="0" applyFill="1" applyBorder="1" applyAlignment="1">
      <alignment horizontal="center"/>
    </xf>
    <xf numFmtId="0" fontId="0" fillId="0" borderId="20" xfId="0" applyFill="1" applyBorder="1" applyAlignment="1">
      <alignment horizontal="center" vertical="center"/>
    </xf>
    <xf numFmtId="0" fontId="21" fillId="0" borderId="21" xfId="0" applyFont="1" applyBorder="1" applyAlignment="1">
      <alignment horizontal="center"/>
    </xf>
    <xf numFmtId="0" fontId="0" fillId="0" borderId="20" xfId="0" applyBorder="1" applyAlignment="1">
      <alignment horizontal="center"/>
    </xf>
    <xf numFmtId="0" fontId="1" fillId="8" borderId="31" xfId="0" applyFont="1" applyFill="1" applyBorder="1" applyAlignment="1">
      <alignment horizontal="center" vertical="center"/>
    </xf>
    <xf numFmtId="0" fontId="14" fillId="8" borderId="32" xfId="0" applyFont="1" applyFill="1" applyBorder="1" applyAlignment="1">
      <alignment horizontal="center" vertical="center"/>
    </xf>
    <xf numFmtId="0" fontId="14" fillId="8" borderId="34"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35" xfId="0" applyFont="1" applyFill="1" applyBorder="1" applyAlignment="1">
      <alignment horizontal="center" vertical="center"/>
    </xf>
    <xf numFmtId="0" fontId="12" fillId="9" borderId="104" xfId="0" applyFont="1" applyFill="1" applyBorder="1" applyAlignment="1">
      <alignment horizontal="center" vertical="center" wrapText="1"/>
    </xf>
    <xf numFmtId="0" fontId="32" fillId="9" borderId="105"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6" fillId="9" borderId="57" xfId="0" applyFont="1" applyFill="1" applyBorder="1" applyAlignment="1">
      <alignment horizontal="center" vertical="center" wrapText="1"/>
    </xf>
    <xf numFmtId="0" fontId="15" fillId="9" borderId="62"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3" fillId="8" borderId="29" xfId="0" applyFont="1" applyFill="1" applyBorder="1" applyAlignment="1">
      <alignment horizontal="center"/>
    </xf>
    <xf numFmtId="0" fontId="14" fillId="8" borderId="63" xfId="0" applyFont="1" applyFill="1" applyBorder="1" applyAlignment="1">
      <alignment horizontal="center" vertical="center"/>
    </xf>
    <xf numFmtId="0" fontId="1" fillId="8" borderId="34" xfId="0" applyFont="1" applyFill="1" applyBorder="1" applyAlignment="1">
      <alignment horizontal="center" vertical="center"/>
    </xf>
    <xf numFmtId="0" fontId="121" fillId="0" borderId="56" xfId="0" applyFont="1" applyBorder="1" applyAlignment="1">
      <alignment horizontal="center"/>
    </xf>
    <xf numFmtId="0" fontId="121" fillId="0" borderId="24" xfId="0" applyFont="1" applyBorder="1" applyAlignment="1">
      <alignment horizontal="center"/>
    </xf>
    <xf numFmtId="0" fontId="0" fillId="0" borderId="56"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52" fillId="0" borderId="56" xfId="0" applyFont="1" applyBorder="1" applyAlignment="1">
      <alignment horizontal="center"/>
    </xf>
    <xf numFmtId="0" fontId="52" fillId="0" borderId="21" xfId="0" applyFont="1" applyBorder="1" applyAlignment="1">
      <alignment horizontal="center"/>
    </xf>
    <xf numFmtId="0" fontId="52" fillId="0" borderId="24" xfId="0" applyFont="1" applyBorder="1" applyAlignment="1">
      <alignment horizontal="center"/>
    </xf>
    <xf numFmtId="0" fontId="28" fillId="4" borderId="19" xfId="0" applyFont="1" applyFill="1" applyBorder="1" applyAlignment="1">
      <alignment horizontal="center" vertical="center"/>
    </xf>
    <xf numFmtId="0" fontId="28" fillId="0" borderId="19" xfId="0" applyFont="1" applyBorder="1" applyAlignment="1">
      <alignment horizontal="center" vertical="center"/>
    </xf>
    <xf numFmtId="0" fontId="29" fillId="8" borderId="29" xfId="0" applyFont="1" applyFill="1" applyBorder="1" applyAlignment="1">
      <alignment horizontal="center" vertical="center"/>
    </xf>
    <xf numFmtId="0" fontId="121" fillId="0" borderId="20" xfId="0" applyFont="1" applyFill="1" applyBorder="1" applyAlignment="1">
      <alignment horizontal="center" vertical="center"/>
    </xf>
    <xf numFmtId="0" fontId="0" fillId="8" borderId="64" xfId="0" applyFont="1" applyFill="1" applyBorder="1" applyAlignment="1">
      <alignment horizontal="center" vertical="center"/>
    </xf>
    <xf numFmtId="0" fontId="0" fillId="0" borderId="0" xfId="0" applyAlignment="1">
      <alignment horizontal="center"/>
    </xf>
    <xf numFmtId="0" fontId="52" fillId="7" borderId="20" xfId="0" applyFont="1" applyFill="1" applyBorder="1" applyAlignment="1">
      <alignment horizontal="center" vertical="center"/>
    </xf>
    <xf numFmtId="0" fontId="1" fillId="8" borderId="65" xfId="0" applyFont="1" applyFill="1" applyBorder="1" applyAlignment="1">
      <alignment horizontal="center" vertical="center"/>
    </xf>
    <xf numFmtId="0" fontId="0" fillId="8" borderId="19" xfId="0" applyFill="1" applyBorder="1" applyAlignment="1">
      <alignment horizontal="center"/>
    </xf>
    <xf numFmtId="0" fontId="121" fillId="0" borderId="20" xfId="0" applyFont="1" applyBorder="1" applyAlignment="1">
      <alignment horizontal="center"/>
    </xf>
    <xf numFmtId="0" fontId="52" fillId="8" borderId="19" xfId="0" applyFont="1" applyFill="1" applyBorder="1" applyAlignment="1">
      <alignment horizontal="center" vertical="center"/>
    </xf>
    <xf numFmtId="0" fontId="121"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61" xfId="0" applyFill="1" applyBorder="1" applyAlignment="1">
      <alignment horizontal="center"/>
    </xf>
    <xf numFmtId="0" fontId="1" fillId="8" borderId="29" xfId="0" applyFont="1" applyFill="1" applyBorder="1" applyAlignment="1">
      <alignment horizontal="center" vertical="center"/>
    </xf>
    <xf numFmtId="0" fontId="1" fillId="8" borderId="63" xfId="0" applyFont="1" applyFill="1" applyBorder="1" applyAlignment="1">
      <alignment horizontal="center" vertical="center"/>
    </xf>
    <xf numFmtId="0" fontId="21" fillId="4" borderId="49" xfId="0" applyFont="1" applyFill="1" applyBorder="1" applyAlignment="1">
      <alignment horizontal="center"/>
    </xf>
    <xf numFmtId="0" fontId="52" fillId="8" borderId="73" xfId="0" applyFont="1" applyFill="1" applyBorder="1" applyAlignment="1">
      <alignment horizontal="center"/>
    </xf>
    <xf numFmtId="0" fontId="0" fillId="0" borderId="24" xfId="0" applyBorder="1" applyAlignment="1">
      <alignment horizontal="center" vertical="center"/>
    </xf>
    <xf numFmtId="0" fontId="13" fillId="8" borderId="29" xfId="0" applyFont="1" applyFill="1" applyBorder="1" applyAlignment="1">
      <alignment horizontal="center" vertical="center"/>
    </xf>
    <xf numFmtId="0" fontId="76" fillId="8" borderId="65" xfId="0" applyFont="1" applyFill="1" applyBorder="1" applyAlignment="1">
      <alignment horizontal="center" vertical="center"/>
    </xf>
    <xf numFmtId="0" fontId="12" fillId="15" borderId="104" xfId="0" applyFont="1" applyFill="1" applyBorder="1" applyAlignment="1">
      <alignment vertical="center" wrapText="1"/>
    </xf>
    <xf numFmtId="0" fontId="12" fillId="15" borderId="15" xfId="0" applyFont="1" applyFill="1" applyBorder="1" applyAlignment="1">
      <alignment horizontal="center" vertical="center" wrapText="1"/>
    </xf>
    <xf numFmtId="0" fontId="15" fillId="15" borderId="11" xfId="0" applyFont="1" applyFill="1" applyBorder="1" applyAlignment="1">
      <alignment horizontal="center" vertical="center" wrapText="1"/>
    </xf>
    <xf numFmtId="0" fontId="21" fillId="4" borderId="19" xfId="0" applyFont="1" applyFill="1" applyBorder="1" applyAlignment="1">
      <alignment horizontal="center" vertical="center"/>
    </xf>
    <xf numFmtId="0" fontId="21" fillId="0" borderId="19" xfId="0" applyFont="1" applyBorder="1" applyAlignment="1">
      <alignment horizontal="center" vertical="center"/>
    </xf>
    <xf numFmtId="0" fontId="121" fillId="0" borderId="19" xfId="0" applyFont="1" applyBorder="1" applyAlignment="1">
      <alignment horizontal="center" vertical="center"/>
    </xf>
    <xf numFmtId="0" fontId="121" fillId="0" borderId="87" xfId="0" applyFont="1" applyBorder="1" applyAlignment="1">
      <alignment horizontal="center" vertical="center"/>
    </xf>
    <xf numFmtId="0" fontId="121" fillId="0" borderId="88" xfId="0" applyFont="1" applyBorder="1" applyAlignment="1">
      <alignment horizontal="center" vertical="center"/>
    </xf>
    <xf numFmtId="0" fontId="121" fillId="0" borderId="89" xfId="0" applyFont="1" applyBorder="1" applyAlignment="1">
      <alignment horizontal="center" vertical="center"/>
    </xf>
    <xf numFmtId="0" fontId="121" fillId="0" borderId="24"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52" fillId="0" borderId="19" xfId="0" applyFont="1" applyBorder="1" applyAlignment="1">
      <alignment horizontal="center" vertical="center"/>
    </xf>
    <xf numFmtId="0" fontId="52" fillId="0" borderId="87" xfId="0" applyFont="1" applyBorder="1" applyAlignment="1">
      <alignment horizontal="center"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52" fillId="0" borderId="24" xfId="0" applyFont="1" applyBorder="1" applyAlignment="1">
      <alignment horizontal="center" vertical="center"/>
    </xf>
    <xf numFmtId="0" fontId="1" fillId="8" borderId="30" xfId="0" applyFont="1" applyFill="1" applyBorder="1" applyAlignment="1">
      <alignment horizontal="center"/>
    </xf>
    <xf numFmtId="0" fontId="41" fillId="11" borderId="15"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15" fillId="11" borderId="16" xfId="0" applyFont="1" applyFill="1" applyBorder="1" applyAlignment="1">
      <alignment horizontal="center" vertical="center" wrapText="1"/>
    </xf>
    <xf numFmtId="44" fontId="62" fillId="7" borderId="21" xfId="0" applyNumberFormat="1" applyFont="1" applyFill="1" applyBorder="1" applyAlignment="1">
      <alignment horizontal="center" vertical="center"/>
    </xf>
    <xf numFmtId="44" fontId="63" fillId="7" borderId="21" xfId="0" applyNumberFormat="1" applyFont="1" applyFill="1" applyBorder="1" applyAlignment="1">
      <alignment horizontal="center" vertical="center"/>
    </xf>
    <xf numFmtId="44" fontId="21" fillId="0" borderId="21" xfId="3" applyNumberFormat="1" applyFont="1" applyFill="1" applyBorder="1"/>
    <xf numFmtId="44" fontId="21" fillId="0" borderId="21" xfId="0" applyNumberFormat="1" applyFont="1" applyBorder="1"/>
    <xf numFmtId="44" fontId="21" fillId="0" borderId="21" xfId="3" applyNumberFormat="1" applyFont="1" applyBorder="1"/>
    <xf numFmtId="44" fontId="63" fillId="0" borderId="21" xfId="0" applyNumberFormat="1" applyFont="1" applyFill="1" applyBorder="1" applyAlignment="1">
      <alignment horizontal="center" vertical="center"/>
    </xf>
    <xf numFmtId="44" fontId="21" fillId="7" borderId="21" xfId="0" applyNumberFormat="1" applyFont="1" applyFill="1" applyBorder="1" applyAlignment="1">
      <alignment horizontal="center" vertical="center"/>
    </xf>
    <xf numFmtId="44" fontId="13" fillId="5" borderId="31" xfId="0" applyNumberFormat="1" applyFont="1" applyFill="1" applyBorder="1" applyAlignment="1">
      <alignment horizontal="center" vertical="center"/>
    </xf>
    <xf numFmtId="0" fontId="13" fillId="5" borderId="31" xfId="0" applyFont="1" applyFill="1" applyBorder="1" applyAlignment="1">
      <alignment horizontal="center" vertical="center"/>
    </xf>
    <xf numFmtId="2" fontId="0" fillId="0" borderId="0" xfId="0" applyNumberFormat="1"/>
    <xf numFmtId="44" fontId="0" fillId="0" borderId="0" xfId="0" applyNumberFormat="1"/>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23" fillId="0" borderId="27" xfId="0" applyFont="1" applyBorder="1" applyAlignment="1"/>
    <xf numFmtId="0" fontId="0" fillId="0" borderId="0" xfId="0" applyAlignment="1">
      <alignment wrapText="1"/>
    </xf>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0" fillId="0" borderId="0" xfId="0" applyAlignment="1">
      <alignment wrapText="1"/>
    </xf>
    <xf numFmtId="0" fontId="127" fillId="0" borderId="0" xfId="0" applyFont="1"/>
    <xf numFmtId="0" fontId="129" fillId="2" borderId="101" xfId="0" applyFont="1" applyFill="1" applyBorder="1" applyAlignment="1">
      <alignment horizontal="centerContinuous"/>
    </xf>
    <xf numFmtId="0" fontId="128" fillId="2" borderId="102" xfId="0" applyFont="1" applyFill="1" applyBorder="1" applyAlignment="1">
      <alignment horizontal="centerContinuous"/>
    </xf>
    <xf numFmtId="0" fontId="127" fillId="0" borderId="0" xfId="0" applyFont="1" applyBorder="1"/>
    <xf numFmtId="0" fontId="127" fillId="3" borderId="0" xfId="0" applyFont="1" applyFill="1"/>
    <xf numFmtId="0" fontId="128" fillId="3" borderId="0" xfId="0" applyFont="1" applyFill="1"/>
    <xf numFmtId="0" fontId="128" fillId="0" borderId="0" xfId="0" applyFont="1"/>
    <xf numFmtId="0" fontId="128" fillId="0" borderId="0" xfId="0" applyFont="1" applyBorder="1"/>
    <xf numFmtId="0" fontId="127" fillId="3" borderId="104" xfId="0" applyFont="1" applyFill="1" applyBorder="1" applyAlignment="1">
      <alignment wrapText="1"/>
    </xf>
    <xf numFmtId="0" fontId="127" fillId="3" borderId="105" xfId="0" applyFont="1" applyFill="1" applyBorder="1" applyAlignment="1">
      <alignment wrapText="1"/>
    </xf>
    <xf numFmtId="0" fontId="127" fillId="3" borderId="11" xfId="0" applyFont="1" applyFill="1" applyBorder="1" applyAlignment="1">
      <alignment horizontal="centerContinuous" wrapText="1"/>
    </xf>
    <xf numFmtId="0" fontId="127" fillId="3" borderId="14" xfId="0" applyFont="1" applyFill="1" applyBorder="1" applyAlignment="1">
      <alignment horizontal="centerContinuous" wrapText="1"/>
    </xf>
    <xf numFmtId="0" fontId="127" fillId="3" borderId="15" xfId="0" applyFont="1" applyFill="1" applyBorder="1" applyAlignment="1">
      <alignment horizontal="center" vertical="center"/>
    </xf>
    <xf numFmtId="0" fontId="128" fillId="3" borderId="15" xfId="0" applyFont="1" applyFill="1" applyBorder="1" applyAlignment="1">
      <alignment horizontal="centerContinuous" wrapText="1"/>
    </xf>
    <xf numFmtId="0" fontId="127" fillId="3" borderId="16" xfId="0" applyFont="1" applyFill="1" applyBorder="1" applyAlignment="1">
      <alignment horizontal="centerContinuous" wrapText="1"/>
    </xf>
    <xf numFmtId="0" fontId="127" fillId="0" borderId="0" xfId="0" applyFont="1" applyFill="1" applyBorder="1" applyAlignment="1">
      <alignment horizontal="centerContinuous" wrapText="1"/>
    </xf>
    <xf numFmtId="0" fontId="128" fillId="0" borderId="0" xfId="0" applyFont="1" applyFill="1" applyBorder="1" applyAlignment="1">
      <alignment horizontal="centerContinuous" wrapText="1"/>
    </xf>
    <xf numFmtId="0" fontId="128" fillId="0" borderId="0" xfId="0" applyFont="1" applyBorder="1" applyAlignment="1">
      <alignment wrapText="1"/>
    </xf>
    <xf numFmtId="0" fontId="127" fillId="3" borderId="95" xfId="0" applyFont="1" applyFill="1" applyBorder="1" applyAlignment="1">
      <alignment wrapText="1"/>
    </xf>
    <xf numFmtId="0" fontId="127" fillId="3" borderId="18" xfId="0" applyFont="1" applyFill="1" applyBorder="1" applyAlignment="1">
      <alignment horizontal="center" wrapText="1"/>
    </xf>
    <xf numFmtId="0" fontId="130" fillId="3" borderId="19" xfId="0" applyFont="1" applyFill="1" applyBorder="1" applyAlignment="1">
      <alignment wrapText="1"/>
    </xf>
    <xf numFmtId="0" fontId="130" fillId="3" borderId="20" xfId="0" applyFont="1" applyFill="1" applyBorder="1" applyAlignment="1">
      <alignment horizontal="center" wrapText="1"/>
    </xf>
    <xf numFmtId="0" fontId="130" fillId="3" borderId="21" xfId="0" applyFont="1" applyFill="1" applyBorder="1" applyAlignment="1">
      <alignment horizontal="center" wrapText="1"/>
    </xf>
    <xf numFmtId="0" fontId="127" fillId="3" borderId="22" xfId="0" applyFont="1" applyFill="1" applyBorder="1" applyAlignment="1">
      <alignment horizontal="center" wrapText="1"/>
    </xf>
    <xf numFmtId="0" fontId="131" fillId="3" borderId="23" xfId="0" applyFont="1" applyFill="1" applyBorder="1" applyAlignment="1">
      <alignment wrapText="1"/>
    </xf>
    <xf numFmtId="0" fontId="130" fillId="3" borderId="21" xfId="0" applyFont="1" applyFill="1" applyBorder="1" applyAlignment="1">
      <alignment wrapText="1"/>
    </xf>
    <xf numFmtId="0" fontId="131" fillId="3" borderId="21" xfId="0" applyFont="1" applyFill="1" applyBorder="1" applyAlignment="1">
      <alignment wrapText="1"/>
    </xf>
    <xf numFmtId="0" fontId="130" fillId="3" borderId="24" xfId="0" applyFont="1" applyFill="1" applyBorder="1" applyAlignment="1">
      <alignment wrapText="1"/>
    </xf>
    <xf numFmtId="0" fontId="130" fillId="0" borderId="0" xfId="0" applyFont="1" applyFill="1" applyBorder="1" applyAlignment="1">
      <alignment wrapText="1"/>
    </xf>
    <xf numFmtId="0" fontId="128" fillId="0" borderId="0" xfId="0" applyFont="1" applyAlignment="1">
      <alignment wrapText="1"/>
    </xf>
    <xf numFmtId="0" fontId="128" fillId="4" borderId="19" xfId="0" applyFont="1" applyFill="1" applyBorder="1"/>
    <xf numFmtId="0" fontId="128" fillId="4" borderId="20" xfId="0" applyFont="1" applyFill="1" applyBorder="1"/>
    <xf numFmtId="0" fontId="128" fillId="4" borderId="21" xfId="0" applyFont="1" applyFill="1" applyBorder="1"/>
    <xf numFmtId="0" fontId="128" fillId="5" borderId="22" xfId="0" applyFont="1" applyFill="1" applyBorder="1"/>
    <xf numFmtId="0" fontId="128" fillId="4" borderId="23" xfId="0" applyFont="1" applyFill="1" applyBorder="1"/>
    <xf numFmtId="0" fontId="128" fillId="4" borderId="24" xfId="0" applyFont="1" applyFill="1" applyBorder="1"/>
    <xf numFmtId="0" fontId="128" fillId="0" borderId="0" xfId="0" applyFont="1" applyFill="1" applyBorder="1"/>
    <xf numFmtId="0" fontId="128" fillId="0" borderId="19" xfId="0" applyFont="1" applyBorder="1"/>
    <xf numFmtId="0" fontId="128" fillId="0" borderId="20" xfId="0" applyFont="1" applyBorder="1"/>
    <xf numFmtId="0" fontId="128" fillId="0" borderId="21" xfId="0" applyFont="1" applyBorder="1"/>
    <xf numFmtId="0" fontId="128" fillId="0" borderId="23" xfId="0" applyFont="1" applyBorder="1"/>
    <xf numFmtId="0" fontId="128" fillId="2" borderId="24" xfId="0" applyFont="1" applyFill="1" applyBorder="1"/>
    <xf numFmtId="0" fontId="128" fillId="0" borderId="19" xfId="0" applyFont="1" applyFill="1" applyBorder="1"/>
    <xf numFmtId="0" fontId="127" fillId="5" borderId="29" xfId="0" applyFont="1" applyFill="1" applyBorder="1" applyAlignment="1">
      <alignment horizontal="right"/>
    </xf>
    <xf numFmtId="0" fontId="128" fillId="5" borderId="30" xfId="0" applyFont="1" applyFill="1" applyBorder="1"/>
    <xf numFmtId="0" fontId="128" fillId="5" borderId="31" xfId="0" applyFont="1" applyFill="1" applyBorder="1"/>
    <xf numFmtId="0" fontId="128" fillId="5" borderId="32" xfId="0" applyFont="1" applyFill="1" applyBorder="1"/>
    <xf numFmtId="0" fontId="128" fillId="5" borderId="33" xfId="0" applyFont="1" applyFill="1" applyBorder="1"/>
    <xf numFmtId="0" fontId="128" fillId="5" borderId="34" xfId="0" applyFont="1" applyFill="1" applyBorder="1"/>
    <xf numFmtId="0" fontId="128" fillId="5" borderId="35" xfId="0" applyFont="1" applyFill="1" applyBorder="1"/>
    <xf numFmtId="0" fontId="127" fillId="0" borderId="0" xfId="0" applyFont="1" applyAlignment="1">
      <alignment horizontal="right"/>
    </xf>
    <xf numFmtId="0" fontId="127" fillId="3" borderId="36" xfId="0" applyFont="1" applyFill="1" applyBorder="1" applyAlignment="1">
      <alignment horizontal="centerContinuous" wrapText="1"/>
    </xf>
    <xf numFmtId="0" fontId="127" fillId="3" borderId="124" xfId="0" applyFont="1" applyFill="1" applyBorder="1" applyAlignment="1">
      <alignment wrapText="1"/>
    </xf>
    <xf numFmtId="0" fontId="130" fillId="3" borderId="22" xfId="0" applyFont="1" applyFill="1" applyBorder="1" applyAlignment="1">
      <alignment wrapText="1"/>
    </xf>
    <xf numFmtId="0" fontId="130" fillId="3" borderId="23" xfId="0" applyFont="1" applyFill="1" applyBorder="1" applyAlignment="1">
      <alignment horizontal="center" wrapText="1"/>
    </xf>
    <xf numFmtId="0" fontId="127" fillId="3" borderId="24" xfId="0" applyFont="1" applyFill="1" applyBorder="1" applyAlignment="1">
      <alignment horizontal="center" wrapText="1"/>
    </xf>
    <xf numFmtId="0" fontId="128" fillId="4" borderId="22" xfId="0" applyFont="1" applyFill="1" applyBorder="1"/>
    <xf numFmtId="0" fontId="128" fillId="5" borderId="24" xfId="0" applyFont="1" applyFill="1" applyBorder="1"/>
    <xf numFmtId="0" fontId="128" fillId="0" borderId="22" xfId="0" applyFont="1" applyBorder="1"/>
    <xf numFmtId="0" fontId="128" fillId="0" borderId="22" xfId="0" applyFont="1" applyFill="1" applyBorder="1"/>
    <xf numFmtId="0" fontId="127" fillId="5" borderId="32" xfId="0" applyFont="1" applyFill="1" applyBorder="1" applyAlignment="1">
      <alignment horizontal="right"/>
    </xf>
    <xf numFmtId="0" fontId="128" fillId="0" borderId="0" xfId="0" applyFont="1" applyAlignment="1">
      <alignment vertical="center" wrapText="1"/>
    </xf>
    <xf numFmtId="0" fontId="127" fillId="6" borderId="0" xfId="0" applyFont="1" applyFill="1"/>
    <xf numFmtId="0" fontId="128" fillId="6" borderId="0" xfId="0" applyFont="1" applyFill="1"/>
    <xf numFmtId="0" fontId="128" fillId="0" borderId="0" xfId="0" applyFont="1" applyFill="1"/>
    <xf numFmtId="0" fontId="127" fillId="6" borderId="104" xfId="0" applyFont="1" applyFill="1" applyBorder="1"/>
    <xf numFmtId="0" fontId="127" fillId="6" borderId="105" xfId="0" applyFont="1" applyFill="1" applyBorder="1" applyAlignment="1">
      <alignment horizontal="center" wrapText="1"/>
    </xf>
    <xf numFmtId="0" fontId="130" fillId="6" borderId="11" xfId="0" applyFont="1" applyFill="1" applyBorder="1"/>
    <xf numFmtId="0" fontId="130" fillId="6" borderId="39" xfId="0" applyFont="1" applyFill="1" applyBorder="1" applyAlignment="1">
      <alignment horizontal="center" wrapText="1"/>
    </xf>
    <xf numFmtId="0" fontId="130" fillId="6" borderId="11" xfId="0" applyFont="1" applyFill="1" applyBorder="1" applyAlignment="1">
      <alignment horizontal="center" wrapText="1"/>
    </xf>
    <xf numFmtId="0" fontId="130" fillId="7" borderId="0" xfId="0" applyFont="1" applyFill="1" applyBorder="1" applyAlignment="1">
      <alignment wrapText="1"/>
    </xf>
    <xf numFmtId="0" fontId="130" fillId="4" borderId="19" xfId="0" applyFont="1" applyFill="1" applyBorder="1"/>
    <xf numFmtId="0" fontId="130" fillId="0" borderId="19" xfId="0" applyFont="1" applyBorder="1"/>
    <xf numFmtId="0" fontId="128" fillId="0" borderId="19" xfId="0" applyFont="1" applyBorder="1" applyAlignment="1">
      <alignment horizontal="right"/>
    </xf>
    <xf numFmtId="0" fontId="133" fillId="0" borderId="0" xfId="0" applyFont="1"/>
    <xf numFmtId="0" fontId="128" fillId="0" borderId="113" xfId="0" applyFont="1" applyBorder="1" applyAlignment="1">
      <alignment vertical="center"/>
    </xf>
    <xf numFmtId="0" fontId="133" fillId="0" borderId="20" xfId="0" applyFont="1" applyFill="1" applyBorder="1"/>
    <xf numFmtId="0" fontId="133" fillId="0" borderId="19" xfId="0" applyFont="1" applyFill="1" applyBorder="1"/>
    <xf numFmtId="0" fontId="128" fillId="5" borderId="29" xfId="0" applyFont="1" applyFill="1" applyBorder="1"/>
    <xf numFmtId="0" fontId="128" fillId="7" borderId="0" xfId="0" applyFont="1" applyFill="1" applyBorder="1"/>
    <xf numFmtId="0" fontId="130" fillId="0" borderId="40" xfId="0" applyFont="1" applyFill="1" applyBorder="1" applyAlignment="1">
      <alignment horizontal="left" vertical="center" wrapText="1"/>
    </xf>
    <xf numFmtId="0" fontId="130" fillId="0" borderId="0" xfId="0" applyFont="1" applyFill="1" applyBorder="1" applyAlignment="1">
      <alignment horizontal="center" vertical="center" wrapText="1"/>
    </xf>
    <xf numFmtId="0" fontId="127" fillId="0" borderId="0" xfId="0" applyFont="1" applyFill="1" applyBorder="1" applyAlignment="1">
      <alignment horizontal="right"/>
    </xf>
    <xf numFmtId="0" fontId="127" fillId="6" borderId="14" xfId="0" applyFont="1" applyFill="1" applyBorder="1"/>
    <xf numFmtId="0" fontId="130" fillId="6" borderId="11" xfId="0" applyFont="1" applyFill="1" applyBorder="1" applyAlignment="1">
      <alignment horizontal="left"/>
    </xf>
    <xf numFmtId="0" fontId="130" fillId="6" borderId="15" xfId="0" applyFont="1" applyFill="1" applyBorder="1" applyAlignment="1">
      <alignment horizontal="center" wrapText="1"/>
    </xf>
    <xf numFmtId="0" fontId="130" fillId="6" borderId="16" xfId="0" applyFont="1" applyFill="1" applyBorder="1" applyAlignment="1">
      <alignment horizontal="center" wrapText="1"/>
    </xf>
    <xf numFmtId="0" fontId="128" fillId="0" borderId="24" xfId="0" applyFont="1" applyBorder="1"/>
    <xf numFmtId="0" fontId="128" fillId="0" borderId="21" xfId="0" applyFont="1" applyFill="1" applyBorder="1"/>
    <xf numFmtId="0" fontId="128" fillId="0" borderId="43" xfId="0" applyFont="1" applyBorder="1"/>
    <xf numFmtId="0" fontId="127" fillId="6" borderId="105" xfId="0" applyFont="1" applyFill="1" applyBorder="1" applyAlignment="1">
      <alignment wrapText="1"/>
    </xf>
    <xf numFmtId="0" fontId="134" fillId="6" borderId="47" xfId="0" applyFont="1" applyFill="1" applyBorder="1" applyAlignment="1">
      <alignment horizontal="centerContinuous" wrapText="1"/>
    </xf>
    <xf numFmtId="0" fontId="128" fillId="6" borderId="13" xfId="0" applyFont="1" applyFill="1" applyBorder="1" applyAlignment="1">
      <alignment horizontal="centerContinuous" wrapText="1"/>
    </xf>
    <xf numFmtId="0" fontId="128" fillId="6" borderId="38" xfId="0" applyFont="1" applyFill="1" applyBorder="1" applyAlignment="1">
      <alignment horizontal="centerContinuous" wrapText="1"/>
    </xf>
    <xf numFmtId="0" fontId="127" fillId="6" borderId="48" xfId="0" applyFont="1" applyFill="1" applyBorder="1" applyAlignment="1">
      <alignment horizontal="center" wrapText="1"/>
    </xf>
    <xf numFmtId="0" fontId="135" fillId="6" borderId="51" xfId="0" applyFont="1" applyFill="1" applyBorder="1" applyAlignment="1">
      <alignment wrapText="1"/>
    </xf>
    <xf numFmtId="0" fontId="128" fillId="6" borderId="52" xfId="0" applyFont="1" applyFill="1" applyBorder="1" applyAlignment="1">
      <alignment wrapText="1"/>
    </xf>
    <xf numFmtId="0" fontId="128" fillId="6" borderId="53" xfId="0" applyFont="1" applyFill="1" applyBorder="1" applyAlignment="1">
      <alignment wrapText="1"/>
    </xf>
    <xf numFmtId="0" fontId="135" fillId="6" borderId="53" xfId="0" applyFont="1" applyFill="1" applyBorder="1" applyAlignment="1">
      <alignment wrapText="1"/>
    </xf>
    <xf numFmtId="0" fontId="128" fillId="6" borderId="54" xfId="0" applyFont="1" applyFill="1" applyBorder="1" applyAlignment="1">
      <alignment wrapText="1"/>
    </xf>
    <xf numFmtId="0" fontId="128" fillId="0" borderId="55" xfId="0" applyFont="1" applyBorder="1"/>
    <xf numFmtId="0" fontId="136" fillId="4" borderId="19" xfId="0" applyFont="1" applyFill="1" applyBorder="1"/>
    <xf numFmtId="0" fontId="136" fillId="4" borderId="21" xfId="0" applyFont="1" applyFill="1" applyBorder="1"/>
    <xf numFmtId="0" fontId="128" fillId="4" borderId="51" xfId="0" applyFont="1" applyFill="1" applyBorder="1"/>
    <xf numFmtId="0" fontId="128" fillId="4" borderId="52" xfId="0" applyFont="1" applyFill="1" applyBorder="1"/>
    <xf numFmtId="0" fontId="136" fillId="0" borderId="19" xfId="0" applyFont="1" applyBorder="1"/>
    <xf numFmtId="0" fontId="136" fillId="0" borderId="21" xfId="0" applyFont="1" applyBorder="1"/>
    <xf numFmtId="0" fontId="128" fillId="0" borderId="56" xfId="0" applyFont="1" applyBorder="1"/>
    <xf numFmtId="0" fontId="134" fillId="8" borderId="29" xfId="0" applyFont="1" applyFill="1" applyBorder="1" applyAlignment="1">
      <alignment horizontal="right"/>
    </xf>
    <xf numFmtId="0" fontId="128" fillId="8" borderId="31" xfId="0" applyFont="1" applyFill="1" applyBorder="1" applyAlignment="1">
      <alignment horizontal="right"/>
    </xf>
    <xf numFmtId="0" fontId="128" fillId="8" borderId="34" xfId="0" applyFont="1" applyFill="1" applyBorder="1"/>
    <xf numFmtId="0" fontId="128" fillId="8" borderId="31" xfId="0" applyFont="1" applyFill="1" applyBorder="1"/>
    <xf numFmtId="0" fontId="128" fillId="8" borderId="35" xfId="0" applyFont="1" applyFill="1" applyBorder="1"/>
    <xf numFmtId="0" fontId="128" fillId="0" borderId="0" xfId="0" applyFont="1" applyBorder="1" applyAlignment="1"/>
    <xf numFmtId="0" fontId="130" fillId="0" borderId="0" xfId="0" applyFont="1" applyBorder="1" applyAlignment="1">
      <alignment horizontal="center" vertical="center" wrapText="1"/>
    </xf>
    <xf numFmtId="0" fontId="127" fillId="7" borderId="0" xfId="0" applyFont="1" applyFill="1" applyBorder="1" applyAlignment="1">
      <alignment horizontal="right" wrapText="1"/>
    </xf>
    <xf numFmtId="0" fontId="128" fillId="7" borderId="0" xfId="0" applyFont="1" applyFill="1" applyBorder="1" applyAlignment="1">
      <alignment horizontal="right" wrapText="1"/>
    </xf>
    <xf numFmtId="0" fontId="128" fillId="7" borderId="0" xfId="0" applyFont="1" applyFill="1" applyBorder="1" applyAlignment="1">
      <alignment wrapText="1"/>
    </xf>
    <xf numFmtId="0" fontId="130" fillId="6" borderId="15" xfId="0" applyFont="1" applyFill="1" applyBorder="1" applyAlignment="1">
      <alignment wrapText="1"/>
    </xf>
    <xf numFmtId="0" fontId="130" fillId="6" borderId="11" xfId="0" applyFont="1" applyFill="1" applyBorder="1" applyAlignment="1">
      <alignment wrapText="1"/>
    </xf>
    <xf numFmtId="0" fontId="127" fillId="6" borderId="57" xfId="0" applyFont="1" applyFill="1" applyBorder="1" applyAlignment="1">
      <alignment wrapText="1"/>
    </xf>
    <xf numFmtId="0" fontId="135" fillId="6" borderId="58" xfId="0" applyFont="1" applyFill="1" applyBorder="1" applyAlignment="1">
      <alignment wrapText="1"/>
    </xf>
    <xf numFmtId="0" fontId="128" fillId="6" borderId="15" xfId="0" applyFont="1" applyFill="1" applyBorder="1" applyAlignment="1">
      <alignment wrapText="1"/>
    </xf>
    <xf numFmtId="0" fontId="128" fillId="6" borderId="59" xfId="0" applyFont="1" applyFill="1" applyBorder="1" applyAlignment="1">
      <alignment wrapText="1"/>
    </xf>
    <xf numFmtId="0" fontId="135" fillId="6" borderId="59" xfId="0" applyFont="1" applyFill="1" applyBorder="1" applyAlignment="1">
      <alignment wrapText="1"/>
    </xf>
    <xf numFmtId="0" fontId="128" fillId="6" borderId="60" xfId="0" applyFont="1" applyFill="1" applyBorder="1" applyAlignment="1">
      <alignment wrapText="1"/>
    </xf>
    <xf numFmtId="0" fontId="130" fillId="4" borderId="21" xfId="0" applyFont="1" applyFill="1" applyBorder="1"/>
    <xf numFmtId="0" fontId="128" fillId="8" borderId="61" xfId="0" applyFont="1" applyFill="1" applyBorder="1"/>
    <xf numFmtId="0" fontId="128" fillId="4" borderId="53" xfId="0" applyFont="1" applyFill="1" applyBorder="1"/>
    <xf numFmtId="0" fontId="128" fillId="4" borderId="54" xfId="0" applyFont="1" applyFill="1" applyBorder="1"/>
    <xf numFmtId="0" fontId="130" fillId="0" borderId="21" xfId="0" applyFont="1" applyBorder="1"/>
    <xf numFmtId="0" fontId="133" fillId="0" borderId="21" xfId="0" applyFont="1" applyBorder="1"/>
    <xf numFmtId="0" fontId="133" fillId="0" borderId="20" xfId="0" applyFont="1" applyBorder="1"/>
    <xf numFmtId="0" fontId="127" fillId="8" borderId="29" xfId="0" applyFont="1" applyFill="1" applyBorder="1" applyAlignment="1">
      <alignment horizontal="right"/>
    </xf>
    <xf numFmtId="0" fontId="127" fillId="8" borderId="32" xfId="0" applyFont="1" applyFill="1" applyBorder="1" applyAlignment="1">
      <alignment horizontal="right"/>
    </xf>
    <xf numFmtId="0" fontId="127" fillId="8" borderId="34" xfId="0" applyFont="1" applyFill="1" applyBorder="1" applyAlignment="1">
      <alignment horizontal="right"/>
    </xf>
    <xf numFmtId="0" fontId="128" fillId="8" borderId="30" xfId="0" applyFont="1" applyFill="1" applyBorder="1"/>
    <xf numFmtId="0" fontId="133" fillId="0" borderId="0" xfId="0" applyFont="1" applyBorder="1" applyAlignment="1"/>
    <xf numFmtId="0" fontId="127" fillId="7" borderId="0" xfId="0" applyFont="1" applyFill="1" applyBorder="1" applyAlignment="1">
      <alignment horizontal="right"/>
    </xf>
    <xf numFmtId="0" fontId="127" fillId="7" borderId="0" xfId="0" applyFont="1" applyFill="1" applyBorder="1"/>
    <xf numFmtId="0" fontId="127" fillId="9" borderId="0" xfId="0" applyFont="1" applyFill="1"/>
    <xf numFmtId="0" fontId="130" fillId="9" borderId="0" xfId="0" applyFont="1" applyFill="1"/>
    <xf numFmtId="0" fontId="130" fillId="0" borderId="0" xfId="0" applyFont="1" applyFill="1"/>
    <xf numFmtId="0" fontId="127" fillId="9" borderId="104" xfId="0" applyFont="1" applyFill="1" applyBorder="1" applyAlignment="1">
      <alignment wrapText="1"/>
    </xf>
    <xf numFmtId="0" fontId="127" fillId="9" borderId="105" xfId="0" applyFont="1" applyFill="1" applyBorder="1" applyAlignment="1">
      <alignment horizontal="center" wrapText="1"/>
    </xf>
    <xf numFmtId="0" fontId="130" fillId="9" borderId="11" xfId="0" applyFont="1" applyFill="1" applyBorder="1" applyAlignment="1">
      <alignment wrapText="1"/>
    </xf>
    <xf numFmtId="0" fontId="127" fillId="9" borderId="57" xfId="0" applyFont="1" applyFill="1" applyBorder="1" applyAlignment="1">
      <alignment wrapText="1"/>
    </xf>
    <xf numFmtId="0" fontId="130" fillId="9" borderId="62" xfId="0" applyFont="1" applyFill="1" applyBorder="1" applyAlignment="1">
      <alignment wrapText="1"/>
    </xf>
    <xf numFmtId="0" fontId="130" fillId="9" borderId="15" xfId="0" applyFont="1" applyFill="1" applyBorder="1" applyAlignment="1">
      <alignment wrapText="1"/>
    </xf>
    <xf numFmtId="0" fontId="130" fillId="9" borderId="16" xfId="0" applyFont="1" applyFill="1" applyBorder="1" applyAlignment="1">
      <alignment wrapText="1"/>
    </xf>
    <xf numFmtId="0" fontId="128" fillId="4" borderId="61" xfId="0" applyFont="1" applyFill="1" applyBorder="1"/>
    <xf numFmtId="0" fontId="128" fillId="4" borderId="56" xfId="0" applyFont="1" applyFill="1" applyBorder="1"/>
    <xf numFmtId="0" fontId="128" fillId="0" borderId="61" xfId="0" applyFont="1" applyBorder="1"/>
    <xf numFmtId="0" fontId="127" fillId="8" borderId="63" xfId="0" applyFont="1" applyFill="1" applyBorder="1"/>
    <xf numFmtId="0" fontId="127" fillId="10" borderId="0" xfId="0" applyFont="1" applyFill="1"/>
    <xf numFmtId="0" fontId="128" fillId="10" borderId="0" xfId="0" applyFont="1" applyFill="1"/>
    <xf numFmtId="0" fontId="128" fillId="7" borderId="0" xfId="0" applyFont="1" applyFill="1"/>
    <xf numFmtId="0" fontId="127" fillId="0" borderId="0" xfId="0" applyFont="1" applyFill="1"/>
    <xf numFmtId="0" fontId="134" fillId="11" borderId="47" xfId="0" applyFont="1" applyFill="1" applyBorder="1" applyAlignment="1">
      <alignment horizontal="centerContinuous" wrapText="1"/>
    </xf>
    <xf numFmtId="0" fontId="134" fillId="11" borderId="13" xfId="0" applyFont="1" applyFill="1" applyBorder="1" applyAlignment="1">
      <alignment horizontal="centerContinuous" wrapText="1"/>
    </xf>
    <xf numFmtId="0" fontId="134" fillId="11" borderId="38" xfId="0" applyFont="1" applyFill="1" applyBorder="1" applyAlignment="1">
      <alignment horizontal="centerContinuous" wrapText="1"/>
    </xf>
    <xf numFmtId="0" fontId="128" fillId="11" borderId="20" xfId="0" applyFont="1" applyFill="1" applyBorder="1" applyAlignment="1">
      <alignment wrapText="1"/>
    </xf>
    <xf numFmtId="0" fontId="128" fillId="11" borderId="21" xfId="0" applyFont="1" applyFill="1" applyBorder="1" applyAlignment="1">
      <alignment wrapText="1"/>
    </xf>
    <xf numFmtId="0" fontId="135" fillId="11" borderId="51" xfId="0" applyFont="1" applyFill="1" applyBorder="1" applyAlignment="1">
      <alignment wrapText="1"/>
    </xf>
    <xf numFmtId="0" fontId="128" fillId="11" borderId="52" xfId="0" applyFont="1" applyFill="1" applyBorder="1" applyAlignment="1">
      <alignment wrapText="1"/>
    </xf>
    <xf numFmtId="0" fontId="128" fillId="11" borderId="53" xfId="0" applyFont="1" applyFill="1" applyBorder="1" applyAlignment="1">
      <alignment wrapText="1"/>
    </xf>
    <xf numFmtId="0" fontId="135" fillId="11" borderId="53" xfId="0" applyFont="1" applyFill="1" applyBorder="1" applyAlignment="1">
      <alignment wrapText="1"/>
    </xf>
    <xf numFmtId="0" fontId="128" fillId="11" borderId="54" xfId="0" applyFont="1" applyFill="1" applyBorder="1" applyAlignment="1">
      <alignment wrapText="1"/>
    </xf>
    <xf numFmtId="0" fontId="128" fillId="0" borderId="0" xfId="0" applyFont="1" applyBorder="1" applyAlignment="1">
      <alignment horizontal="left" vertical="center" wrapText="1"/>
    </xf>
    <xf numFmtId="0" fontId="127" fillId="0" borderId="0" xfId="0" applyFont="1" applyBorder="1" applyAlignment="1">
      <alignment horizontal="right"/>
    </xf>
    <xf numFmtId="0" fontId="134" fillId="0" borderId="0" xfId="0" applyFont="1" applyFill="1"/>
    <xf numFmtId="0" fontId="128" fillId="11" borderId="107" xfId="0" applyFont="1" applyFill="1" applyBorder="1" applyAlignment="1">
      <alignment horizontal="center" wrapText="1"/>
    </xf>
    <xf numFmtId="0" fontId="128" fillId="11" borderId="12" xfId="0" applyFont="1" applyFill="1" applyBorder="1" applyAlignment="1">
      <alignment horizontal="centerContinuous" wrapText="1"/>
    </xf>
    <xf numFmtId="0" fontId="128" fillId="11" borderId="13" xfId="0" applyFont="1" applyFill="1" applyBorder="1" applyAlignment="1">
      <alignment horizontal="centerContinuous" wrapText="1"/>
    </xf>
    <xf numFmtId="0" fontId="128" fillId="11" borderId="57" xfId="0" applyFont="1" applyFill="1" applyBorder="1" applyAlignment="1">
      <alignment horizontal="centerContinuous" wrapText="1"/>
    </xf>
    <xf numFmtId="0" fontId="128" fillId="11" borderId="49" xfId="0" applyFont="1" applyFill="1" applyBorder="1" applyAlignment="1">
      <alignment horizontal="center" wrapText="1"/>
    </xf>
    <xf numFmtId="0" fontId="130" fillId="11" borderId="21" xfId="0" applyFont="1" applyFill="1" applyBorder="1" applyAlignment="1">
      <alignment wrapText="1"/>
    </xf>
    <xf numFmtId="0" fontId="134" fillId="11" borderId="64" xfId="0" applyFont="1" applyFill="1" applyBorder="1" applyAlignment="1">
      <alignment wrapText="1"/>
    </xf>
    <xf numFmtId="0" fontId="128" fillId="8" borderId="64" xfId="0" applyFont="1" applyFill="1" applyBorder="1"/>
    <xf numFmtId="0" fontId="128" fillId="0" borderId="20" xfId="0" applyFont="1" applyFill="1" applyBorder="1"/>
    <xf numFmtId="0" fontId="134" fillId="8" borderId="65" xfId="0" applyFont="1" applyFill="1" applyBorder="1"/>
    <xf numFmtId="0" fontId="130" fillId="0" borderId="0" xfId="0" applyFont="1" applyFill="1" applyBorder="1" applyAlignment="1">
      <alignment horizontal="left" vertical="center" wrapText="1"/>
    </xf>
    <xf numFmtId="0" fontId="127" fillId="0" borderId="0" xfId="0" applyFont="1" applyFill="1" applyBorder="1"/>
    <xf numFmtId="0" fontId="127" fillId="12" borderId="0" xfId="0" applyFont="1" applyFill="1"/>
    <xf numFmtId="0" fontId="128" fillId="12" borderId="0" xfId="0" applyFont="1" applyFill="1"/>
    <xf numFmtId="0" fontId="130" fillId="0" borderId="0" xfId="0" applyFont="1" applyBorder="1" applyAlignment="1">
      <alignment horizontal="left"/>
    </xf>
    <xf numFmtId="0" fontId="128" fillId="12" borderId="108" xfId="0" applyFont="1" applyFill="1" applyBorder="1" applyAlignment="1">
      <alignment horizontal="centerContinuous" wrapText="1"/>
    </xf>
    <xf numFmtId="0" fontId="128" fillId="12" borderId="109" xfId="0" applyFont="1" applyFill="1" applyBorder="1" applyAlignment="1">
      <alignment horizontal="centerContinuous" wrapText="1"/>
    </xf>
    <xf numFmtId="0" fontId="128" fillId="12" borderId="110" xfId="0" applyFont="1" applyFill="1" applyBorder="1" applyAlignment="1">
      <alignment horizontal="centerContinuous" wrapText="1"/>
    </xf>
    <xf numFmtId="0" fontId="134" fillId="12" borderId="53" xfId="0" applyFont="1" applyFill="1" applyBorder="1" applyAlignment="1">
      <alignment wrapText="1"/>
    </xf>
    <xf numFmtId="0" fontId="135" fillId="12" borderId="53" xfId="0" applyFont="1" applyFill="1" applyBorder="1" applyAlignment="1">
      <alignment wrapText="1"/>
    </xf>
    <xf numFmtId="0" fontId="134" fillId="12" borderId="52" xfId="0" applyFont="1" applyFill="1" applyBorder="1" applyAlignment="1">
      <alignment wrapText="1"/>
    </xf>
    <xf numFmtId="0" fontId="134" fillId="12" borderId="49" xfId="0" applyFont="1" applyFill="1" applyBorder="1" applyAlignment="1">
      <alignment wrapText="1"/>
    </xf>
    <xf numFmtId="0" fontId="128" fillId="12" borderId="53" xfId="0" applyFont="1" applyFill="1" applyBorder="1" applyAlignment="1">
      <alignment wrapText="1"/>
    </xf>
    <xf numFmtId="0" fontId="128" fillId="12" borderId="49" xfId="0" applyFont="1" applyFill="1" applyBorder="1" applyAlignment="1">
      <alignment wrapText="1"/>
    </xf>
    <xf numFmtId="0" fontId="128" fillId="12" borderId="70" xfId="0" applyFont="1" applyFill="1" applyBorder="1" applyAlignment="1">
      <alignment wrapText="1"/>
    </xf>
    <xf numFmtId="0" fontId="128" fillId="8" borderId="19" xfId="0" applyFont="1" applyFill="1" applyBorder="1"/>
    <xf numFmtId="0" fontId="128" fillId="8" borderId="29" xfId="0" applyFont="1" applyFill="1" applyBorder="1"/>
    <xf numFmtId="0" fontId="128" fillId="8" borderId="63" xfId="0" applyFont="1" applyFill="1" applyBorder="1"/>
    <xf numFmtId="0" fontId="128" fillId="12" borderId="13" xfId="0" applyFont="1" applyFill="1" applyBorder="1" applyAlignment="1">
      <alignment horizontal="centerContinuous" wrapText="1"/>
    </xf>
    <xf numFmtId="0" fontId="128" fillId="12" borderId="72" xfId="0" applyFont="1" applyFill="1" applyBorder="1" applyAlignment="1">
      <alignment horizontal="centerContinuous" wrapText="1"/>
    </xf>
    <xf numFmtId="0" fontId="128" fillId="12" borderId="38" xfId="0" applyFont="1" applyFill="1" applyBorder="1" applyAlignment="1">
      <alignment horizontal="centerContinuous" wrapText="1"/>
    </xf>
    <xf numFmtId="0" fontId="128" fillId="12" borderId="20" xfId="0" applyFont="1" applyFill="1" applyBorder="1" applyAlignment="1">
      <alignment wrapText="1"/>
    </xf>
    <xf numFmtId="0" fontId="128" fillId="12" borderId="21" xfId="0" applyFont="1" applyFill="1" applyBorder="1" applyAlignment="1">
      <alignment wrapText="1"/>
    </xf>
    <xf numFmtId="0" fontId="128" fillId="12" borderId="22" xfId="0" applyFont="1" applyFill="1" applyBorder="1" applyAlignment="1">
      <alignment wrapText="1"/>
    </xf>
    <xf numFmtId="0" fontId="134" fillId="12" borderId="19" xfId="0" applyFont="1" applyFill="1" applyBorder="1" applyAlignment="1">
      <alignment wrapText="1"/>
    </xf>
    <xf numFmtId="0" fontId="128" fillId="12" borderId="24" xfId="0" applyFont="1" applyFill="1" applyBorder="1" applyAlignment="1">
      <alignment wrapText="1"/>
    </xf>
    <xf numFmtId="0" fontId="136" fillId="4" borderId="64" xfId="0" applyFont="1" applyFill="1" applyBorder="1"/>
    <xf numFmtId="0" fontId="136" fillId="0" borderId="64" xfId="0" applyFont="1" applyBorder="1"/>
    <xf numFmtId="0" fontId="134" fillId="8" borderId="65" xfId="0" applyFont="1" applyFill="1" applyBorder="1" applyAlignment="1">
      <alignment horizontal="right"/>
    </xf>
    <xf numFmtId="0" fontId="134" fillId="8" borderId="35" xfId="0" applyFont="1" applyFill="1" applyBorder="1"/>
    <xf numFmtId="0" fontId="128" fillId="0" borderId="0" xfId="0" applyFont="1" applyBorder="1" applyAlignment="1">
      <alignment horizontal="left"/>
    </xf>
    <xf numFmtId="0" fontId="128" fillId="0" borderId="0" xfId="0" applyFont="1" applyBorder="1" applyAlignment="1">
      <alignment horizontal="center" vertical="center" wrapText="1"/>
    </xf>
    <xf numFmtId="0" fontId="134" fillId="7" borderId="55" xfId="0" applyFont="1" applyFill="1" applyBorder="1" applyAlignment="1">
      <alignment horizontal="right"/>
    </xf>
    <xf numFmtId="0" fontId="128" fillId="7" borderId="40" xfId="0" applyFont="1" applyFill="1" applyBorder="1"/>
    <xf numFmtId="0" fontId="134" fillId="7" borderId="0" xfId="0" applyFont="1" applyFill="1" applyBorder="1"/>
    <xf numFmtId="0" fontId="128" fillId="0" borderId="74" xfId="0" applyFont="1" applyBorder="1"/>
    <xf numFmtId="0" fontId="134" fillId="12" borderId="37" xfId="0" applyFont="1" applyFill="1" applyBorder="1" applyAlignment="1">
      <alignment horizontal="left" wrapText="1"/>
    </xf>
    <xf numFmtId="0" fontId="128" fillId="12" borderId="15" xfId="0" applyFont="1" applyFill="1" applyBorder="1" applyAlignment="1">
      <alignment horizontal="center" vertical="center" wrapText="1"/>
    </xf>
    <xf numFmtId="0" fontId="134" fillId="12" borderId="75" xfId="0" applyFont="1" applyFill="1" applyBorder="1" applyAlignment="1">
      <alignment horizontal="right"/>
    </xf>
    <xf numFmtId="0" fontId="128" fillId="12" borderId="15" xfId="0" applyFont="1" applyFill="1" applyBorder="1" applyAlignment="1">
      <alignment wrapText="1"/>
    </xf>
    <xf numFmtId="0" fontId="128" fillId="12" borderId="13" xfId="0" applyFont="1" applyFill="1" applyBorder="1" applyAlignment="1">
      <alignment wrapText="1"/>
    </xf>
    <xf numFmtId="0" fontId="128" fillId="12" borderId="16" xfId="0" applyFont="1" applyFill="1" applyBorder="1" applyAlignment="1">
      <alignment wrapText="1"/>
    </xf>
    <xf numFmtId="0" fontId="134" fillId="12" borderId="76" xfId="0" applyFont="1" applyFill="1" applyBorder="1" applyAlignment="1">
      <alignment wrapText="1"/>
    </xf>
    <xf numFmtId="0" fontId="128" fillId="0" borderId="124" xfId="0" applyFont="1" applyBorder="1"/>
    <xf numFmtId="0" fontId="134" fillId="4" borderId="20" xfId="0" applyFont="1" applyFill="1" applyBorder="1" applyAlignment="1">
      <alignment horizontal="right"/>
    </xf>
    <xf numFmtId="0" fontId="134" fillId="4" borderId="120" xfId="0" applyFont="1" applyFill="1" applyBorder="1"/>
    <xf numFmtId="0" fontId="128" fillId="4" borderId="79" xfId="0" applyFont="1" applyFill="1" applyBorder="1"/>
    <xf numFmtId="0" fontId="134" fillId="7" borderId="20" xfId="0" applyFont="1" applyFill="1" applyBorder="1" applyAlignment="1">
      <alignment horizontal="right"/>
    </xf>
    <xf numFmtId="0" fontId="128" fillId="7" borderId="21" xfId="0" applyFont="1" applyFill="1" applyBorder="1"/>
    <xf numFmtId="0" fontId="128" fillId="7" borderId="24" xfId="0" applyFont="1" applyFill="1" applyBorder="1"/>
    <xf numFmtId="0" fontId="134" fillId="8" borderId="120" xfId="0" applyFont="1" applyFill="1" applyBorder="1"/>
    <xf numFmtId="0" fontId="128" fillId="8" borderId="79" xfId="0" applyFont="1" applyFill="1" applyBorder="1"/>
    <xf numFmtId="0" fontId="134" fillId="7" borderId="81" xfId="0" applyFont="1" applyFill="1" applyBorder="1" applyAlignment="1">
      <alignment horizontal="right"/>
    </xf>
    <xf numFmtId="0" fontId="128" fillId="7" borderId="81" xfId="0" applyFont="1" applyFill="1" applyBorder="1"/>
    <xf numFmtId="0" fontId="134" fillId="8" borderId="83" xfId="0" applyFont="1" applyFill="1" applyBorder="1" applyAlignment="1">
      <alignment horizontal="right"/>
    </xf>
    <xf numFmtId="0" fontId="128" fillId="8" borderId="32" xfId="0" applyFont="1" applyFill="1" applyBorder="1"/>
    <xf numFmtId="0" fontId="128" fillId="8" borderId="84" xfId="0" applyFont="1" applyFill="1" applyBorder="1"/>
    <xf numFmtId="0" fontId="130" fillId="0" borderId="0" xfId="0" applyFont="1" applyFill="1" applyBorder="1" applyAlignment="1">
      <alignment horizontal="left"/>
    </xf>
    <xf numFmtId="0" fontId="127" fillId="13" borderId="0" xfId="0" applyFont="1" applyFill="1"/>
    <xf numFmtId="0" fontId="128" fillId="13" borderId="0" xfId="0" applyFont="1" applyFill="1"/>
    <xf numFmtId="0" fontId="128" fillId="13" borderId="12" xfId="0" applyFont="1" applyFill="1" applyBorder="1" applyAlignment="1">
      <alignment horizontal="centerContinuous" wrapText="1"/>
    </xf>
    <xf numFmtId="0" fontId="128" fillId="13" borderId="13" xfId="0" applyFont="1" applyFill="1" applyBorder="1" applyAlignment="1">
      <alignment horizontal="centerContinuous" wrapText="1"/>
    </xf>
    <xf numFmtId="0" fontId="128" fillId="13" borderId="72" xfId="0" applyFont="1" applyFill="1" applyBorder="1" applyAlignment="1">
      <alignment horizontal="centerContinuous" wrapText="1"/>
    </xf>
    <xf numFmtId="0" fontId="128" fillId="13" borderId="57" xfId="0" applyFont="1" applyFill="1" applyBorder="1" applyAlignment="1">
      <alignment wrapText="1"/>
    </xf>
    <xf numFmtId="0" fontId="128" fillId="13" borderId="53" xfId="0" applyFont="1" applyFill="1" applyBorder="1" applyAlignment="1">
      <alignment wrapText="1"/>
    </xf>
    <xf numFmtId="0" fontId="128" fillId="13" borderId="52" xfId="0" applyFont="1" applyFill="1" applyBorder="1" applyAlignment="1">
      <alignment wrapText="1"/>
    </xf>
    <xf numFmtId="0" fontId="134" fillId="13" borderId="19" xfId="0" applyFont="1" applyFill="1" applyBorder="1" applyAlignment="1">
      <alignment wrapText="1"/>
    </xf>
    <xf numFmtId="0" fontId="127" fillId="13" borderId="70" xfId="0" applyFont="1" applyFill="1" applyBorder="1" applyAlignment="1">
      <alignment wrapText="1"/>
    </xf>
    <xf numFmtId="0" fontId="130" fillId="13" borderId="62" xfId="0" applyFont="1" applyFill="1" applyBorder="1" applyAlignment="1">
      <alignment wrapText="1"/>
    </xf>
    <xf numFmtId="0" fontId="130" fillId="13" borderId="15" xfId="0" applyFont="1" applyFill="1" applyBorder="1" applyAlignment="1">
      <alignment wrapText="1"/>
    </xf>
    <xf numFmtId="0" fontId="130" fillId="13" borderId="16" xfId="0" applyFont="1" applyFill="1" applyBorder="1" applyAlignment="1">
      <alignment wrapText="1"/>
    </xf>
    <xf numFmtId="0" fontId="128" fillId="0" borderId="61" xfId="0" applyFont="1" applyFill="1" applyBorder="1"/>
    <xf numFmtId="0" fontId="130" fillId="13" borderId="21" xfId="0" applyFont="1" applyFill="1" applyBorder="1" applyAlignment="1">
      <alignment wrapText="1"/>
    </xf>
    <xf numFmtId="0" fontId="127" fillId="13" borderId="64" xfId="0" applyFont="1" applyFill="1" applyBorder="1" applyAlignment="1">
      <alignment wrapText="1"/>
    </xf>
    <xf numFmtId="0" fontId="130" fillId="13" borderId="20" xfId="0" applyFont="1" applyFill="1" applyBorder="1" applyAlignment="1">
      <alignment wrapText="1"/>
    </xf>
    <xf numFmtId="0" fontId="130" fillId="13" borderId="24" xfId="0" applyFont="1" applyFill="1" applyBorder="1" applyAlignment="1">
      <alignment wrapText="1"/>
    </xf>
    <xf numFmtId="0" fontId="130" fillId="4" borderId="49" xfId="0" applyFont="1" applyFill="1" applyBorder="1"/>
    <xf numFmtId="0" fontId="128" fillId="8" borderId="73" xfId="0" applyFont="1" applyFill="1" applyBorder="1"/>
    <xf numFmtId="0" fontId="128" fillId="8" borderId="65" xfId="0" applyFont="1" applyFill="1" applyBorder="1"/>
    <xf numFmtId="0" fontId="127" fillId="15" borderId="0" xfId="0" applyFont="1" applyFill="1"/>
    <xf numFmtId="0" fontId="128" fillId="15" borderId="0" xfId="0" applyFont="1" applyFill="1"/>
    <xf numFmtId="0" fontId="127" fillId="15" borderId="104" xfId="0" applyFont="1" applyFill="1" applyBorder="1" applyAlignment="1">
      <alignment wrapText="1"/>
    </xf>
    <xf numFmtId="0" fontId="127" fillId="15" borderId="15" xfId="0" applyFont="1" applyFill="1" applyBorder="1" applyAlignment="1">
      <alignment horizontal="center" wrapText="1"/>
    </xf>
    <xf numFmtId="0" fontId="130" fillId="15" borderId="11" xfId="0" applyFont="1" applyFill="1" applyBorder="1" applyAlignment="1">
      <alignment wrapText="1"/>
    </xf>
    <xf numFmtId="0" fontId="130" fillId="15" borderId="39" xfId="0" applyFont="1" applyFill="1" applyBorder="1" applyAlignment="1">
      <alignment wrapText="1"/>
    </xf>
    <xf numFmtId="0" fontId="130" fillId="15" borderId="15" xfId="0" applyFont="1" applyFill="1" applyBorder="1" applyAlignment="1">
      <alignment wrapText="1"/>
    </xf>
    <xf numFmtId="0" fontId="130" fillId="15" borderId="13" xfId="0" applyFont="1" applyFill="1" applyBorder="1" applyAlignment="1">
      <alignment wrapText="1"/>
    </xf>
    <xf numFmtId="0" fontId="130" fillId="15" borderId="85" xfId="0" applyFont="1" applyFill="1" applyBorder="1" applyAlignment="1">
      <alignment wrapText="1"/>
    </xf>
    <xf numFmtId="0" fontId="130" fillId="15" borderId="86" xfId="0" applyFont="1" applyFill="1" applyBorder="1" applyAlignment="1">
      <alignment wrapText="1"/>
    </xf>
    <xf numFmtId="0" fontId="130" fillId="15" borderId="16" xfId="0" applyFont="1" applyFill="1" applyBorder="1" applyAlignment="1">
      <alignment wrapText="1"/>
    </xf>
    <xf numFmtId="0" fontId="128" fillId="4" borderId="87" xfId="0" applyFont="1" applyFill="1" applyBorder="1"/>
    <xf numFmtId="0" fontId="128" fillId="4" borderId="88" xfId="0" applyFont="1" applyFill="1" applyBorder="1"/>
    <xf numFmtId="0" fontId="128" fillId="4" borderId="89" xfId="0" applyFont="1" applyFill="1" applyBorder="1"/>
    <xf numFmtId="0" fontId="128" fillId="0" borderId="87" xfId="0" applyFont="1" applyBorder="1"/>
    <xf numFmtId="0" fontId="128" fillId="0" borderId="88" xfId="0" applyFont="1" applyBorder="1"/>
    <xf numFmtId="0" fontId="128" fillId="0" borderId="89" xfId="0" applyFont="1" applyBorder="1"/>
    <xf numFmtId="0" fontId="128" fillId="0" borderId="42" xfId="0" applyFont="1" applyBorder="1"/>
    <xf numFmtId="0" fontId="128" fillId="0" borderId="48" xfId="0" applyFont="1" applyBorder="1"/>
    <xf numFmtId="0" fontId="128" fillId="0" borderId="90" xfId="0" applyFont="1" applyBorder="1"/>
    <xf numFmtId="0" fontId="128" fillId="0" borderId="81" xfId="0" applyFont="1" applyBorder="1"/>
    <xf numFmtId="0" fontId="128" fillId="0" borderId="91" xfId="0" applyFont="1" applyBorder="1"/>
    <xf numFmtId="0" fontId="128" fillId="0" borderId="92" xfId="0" applyFont="1" applyBorder="1"/>
    <xf numFmtId="0" fontId="128" fillId="0" borderId="93" xfId="0" applyFont="1" applyBorder="1"/>
    <xf numFmtId="0" fontId="127" fillId="11" borderId="104" xfId="0" applyFont="1" applyFill="1" applyBorder="1" applyAlignment="1">
      <alignment horizontal="left" vertical="center" wrapText="1"/>
    </xf>
    <xf numFmtId="0" fontId="127" fillId="11" borderId="15" xfId="0" applyFont="1" applyFill="1" applyBorder="1" applyAlignment="1">
      <alignment wrapText="1"/>
    </xf>
    <xf numFmtId="0" fontId="130" fillId="11" borderId="11" xfId="0" applyFont="1" applyFill="1" applyBorder="1" applyAlignment="1">
      <alignment wrapText="1"/>
    </xf>
    <xf numFmtId="0" fontId="130" fillId="11" borderId="15" xfId="0" applyFont="1" applyFill="1" applyBorder="1" applyAlignment="1">
      <alignment wrapText="1"/>
    </xf>
    <xf numFmtId="0" fontId="130" fillId="11" borderId="16" xfId="0" applyFont="1" applyFill="1" applyBorder="1" applyAlignment="1">
      <alignment wrapText="1"/>
    </xf>
    <xf numFmtId="2" fontId="130" fillId="0" borderId="21" xfId="0" applyNumberFormat="1" applyFont="1" applyBorder="1"/>
    <xf numFmtId="2" fontId="130" fillId="0" borderId="21" xfId="0" applyNumberFormat="1" applyFont="1" applyBorder="1" applyAlignment="1">
      <alignment horizontal="right"/>
    </xf>
    <xf numFmtId="0" fontId="130" fillId="0" borderId="24" xfId="0" applyFont="1" applyBorder="1"/>
    <xf numFmtId="0" fontId="128" fillId="0" borderId="124" xfId="0" applyFont="1" applyBorder="1" applyAlignment="1">
      <alignment wrapText="1"/>
    </xf>
    <xf numFmtId="2" fontId="128" fillId="0" borderId="0" xfId="0" applyNumberFormat="1" applyFont="1"/>
    <xf numFmtId="0" fontId="130" fillId="4" borderId="90" xfId="0" applyFont="1" applyFill="1" applyBorder="1"/>
    <xf numFmtId="0" fontId="130" fillId="0" borderId="48" xfId="0" applyFont="1" applyBorder="1"/>
    <xf numFmtId="0" fontId="130" fillId="0" borderId="93" xfId="0" applyFont="1" applyBorder="1"/>
    <xf numFmtId="0" fontId="128" fillId="0" borderId="97" xfId="0" applyFont="1" applyBorder="1"/>
    <xf numFmtId="2" fontId="127" fillId="5" borderId="31" xfId="0" applyNumberFormat="1" applyFont="1" applyFill="1" applyBorder="1" applyAlignment="1">
      <alignment horizontal="right"/>
    </xf>
    <xf numFmtId="0" fontId="127" fillId="5" borderId="31" xfId="0" applyFont="1" applyFill="1" applyBorder="1" applyAlignment="1">
      <alignment horizontal="right"/>
    </xf>
    <xf numFmtId="0" fontId="127" fillId="5" borderId="35" xfId="0" applyFont="1" applyFill="1" applyBorder="1" applyAlignment="1">
      <alignment horizontal="right"/>
    </xf>
    <xf numFmtId="3" fontId="0" fillId="0" borderId="21" xfId="0" applyNumberFormat="1" applyBorder="1"/>
    <xf numFmtId="3" fontId="0" fillId="0" borderId="21" xfId="0" applyNumberFormat="1" applyFill="1" applyBorder="1"/>
    <xf numFmtId="0" fontId="29" fillId="0" borderId="29" xfId="0" applyFont="1" applyFill="1" applyBorder="1" applyAlignment="1">
      <alignment horizontal="right"/>
    </xf>
    <xf numFmtId="0" fontId="0" fillId="0" borderId="30" xfId="0" applyFill="1" applyBorder="1"/>
    <xf numFmtId="4" fontId="62" fillId="0" borderId="21" xfId="0" applyNumberFormat="1" applyFont="1" applyFill="1" applyBorder="1"/>
    <xf numFmtId="4" fontId="14" fillId="0" borderId="21" xfId="0" applyNumberFormat="1" applyFont="1" applyFill="1" applyBorder="1"/>
    <xf numFmtId="4" fontId="63" fillId="0" borderId="21" xfId="0" applyNumberFormat="1" applyFont="1" applyBorder="1"/>
    <xf numFmtId="4" fontId="62" fillId="0" borderId="21" xfId="0" applyNumberFormat="1" applyFont="1" applyBorder="1"/>
    <xf numFmtId="4" fontId="48" fillId="0" borderId="0" xfId="0" applyNumberFormat="1" applyFont="1"/>
    <xf numFmtId="0" fontId="47" fillId="7" borderId="20" xfId="0" applyFont="1" applyFill="1" applyBorder="1"/>
    <xf numFmtId="0" fontId="47" fillId="7" borderId="21" xfId="0" applyFont="1" applyFill="1" applyBorder="1"/>
    <xf numFmtId="0" fontId="52" fillId="0" borderId="21" xfId="0" applyFont="1" applyBorder="1"/>
    <xf numFmtId="0" fontId="121" fillId="0" borderId="21" xfId="0" applyFont="1" applyBorder="1"/>
    <xf numFmtId="0" fontId="121" fillId="2" borderId="24" xfId="0" applyFont="1" applyFill="1" applyBorder="1"/>
    <xf numFmtId="0" fontId="48" fillId="7" borderId="56" xfId="0" applyFont="1" applyFill="1" applyBorder="1"/>
    <xf numFmtId="0" fontId="47" fillId="7" borderId="24" xfId="0" applyFont="1" applyFill="1" applyBorder="1"/>
    <xf numFmtId="0" fontId="45" fillId="0" borderId="21" xfId="0" applyFont="1" applyBorder="1" applyAlignment="1">
      <alignment wrapText="1"/>
    </xf>
    <xf numFmtId="0" fontId="45" fillId="7" borderId="21" xfId="0" applyFont="1" applyFill="1" applyBorder="1"/>
    <xf numFmtId="0" fontId="47" fillId="0" borderId="61" xfId="0" applyFont="1" applyBorder="1"/>
    <xf numFmtId="0" fontId="47" fillId="7" borderId="19" xfId="0" applyFont="1" applyFill="1" applyBorder="1"/>
    <xf numFmtId="0" fontId="52" fillId="0" borderId="20" xfId="0" applyFont="1" applyBorder="1"/>
    <xf numFmtId="4" fontId="47" fillId="0" borderId="0" xfId="0" applyNumberFormat="1" applyFont="1"/>
    <xf numFmtId="4" fontId="45" fillId="7" borderId="21" xfId="0" applyNumberFormat="1" applyFont="1" applyFill="1" applyBorder="1"/>
    <xf numFmtId="4" fontId="21" fillId="0" borderId="18" xfId="0" applyNumberFormat="1" applyFont="1" applyFill="1" applyBorder="1"/>
    <xf numFmtId="0" fontId="0" fillId="0" borderId="26" xfId="0" applyFill="1" applyBorder="1"/>
    <xf numFmtId="4" fontId="0" fillId="4" borderId="20" xfId="0" applyNumberFormat="1" applyFill="1" applyBorder="1"/>
    <xf numFmtId="4" fontId="0" fillId="4" borderId="21" xfId="0" applyNumberFormat="1" applyFill="1" applyBorder="1"/>
    <xf numFmtId="1" fontId="0" fillId="5" borderId="22" xfId="0" applyNumberFormat="1" applyFill="1" applyBorder="1"/>
    <xf numFmtId="4" fontId="0" fillId="4" borderId="23" xfId="0" applyNumberFormat="1" applyFill="1" applyBorder="1"/>
    <xf numFmtId="4" fontId="0" fillId="4" borderId="24" xfId="0" applyNumberFormat="1" applyFill="1" applyBorder="1"/>
    <xf numFmtId="0" fontId="0" fillId="0" borderId="20" xfId="0" applyNumberFormat="1" applyFill="1" applyBorder="1"/>
    <xf numFmtId="0" fontId="0" fillId="0" borderId="21" xfId="0" applyNumberFormat="1" applyFill="1" applyBorder="1"/>
    <xf numFmtId="3" fontId="0" fillId="0" borderId="23" xfId="0" applyNumberFormat="1" applyFill="1" applyBorder="1"/>
    <xf numFmtId="3" fontId="0" fillId="0" borderId="24" xfId="0" applyNumberFormat="1" applyFill="1" applyBorder="1"/>
    <xf numFmtId="1" fontId="0" fillId="0" borderId="20" xfId="0" applyNumberFormat="1" applyBorder="1"/>
    <xf numFmtId="1" fontId="0" fillId="0" borderId="21" xfId="0" applyNumberFormat="1" applyBorder="1"/>
    <xf numFmtId="3" fontId="0" fillId="2" borderId="24" xfId="0" applyNumberFormat="1" applyFill="1" applyBorder="1"/>
    <xf numFmtId="1" fontId="0" fillId="5" borderId="30" xfId="0" applyNumberFormat="1" applyFill="1" applyBorder="1"/>
    <xf numFmtId="1" fontId="0" fillId="5" borderId="31" xfId="0" applyNumberFormat="1" applyFill="1" applyBorder="1"/>
    <xf numFmtId="1" fontId="0" fillId="5" borderId="32" xfId="0" applyNumberFormat="1" applyFill="1" applyBorder="1"/>
    <xf numFmtId="3" fontId="0" fillId="5" borderId="34" xfId="0" applyNumberFormat="1" applyFill="1" applyBorder="1"/>
    <xf numFmtId="0" fontId="48" fillId="0" borderId="0" xfId="0" applyFont="1" applyFill="1" applyBorder="1"/>
    <xf numFmtId="0" fontId="48" fillId="0" borderId="0" xfId="0" applyFont="1" applyBorder="1"/>
    <xf numFmtId="3" fontId="0" fillId="7" borderId="20" xfId="0" applyNumberFormat="1" applyFill="1" applyBorder="1"/>
    <xf numFmtId="3" fontId="0" fillId="7" borderId="19" xfId="0" applyNumberFormat="1" applyFill="1" applyBorder="1"/>
    <xf numFmtId="1" fontId="0" fillId="0" borderId="24" xfId="0" applyNumberFormat="1" applyBorder="1"/>
    <xf numFmtId="1" fontId="0" fillId="8" borderId="30" xfId="0" applyNumberFormat="1" applyFill="1" applyBorder="1"/>
    <xf numFmtId="1" fontId="0" fillId="8" borderId="31" xfId="0" applyNumberFormat="1" applyFill="1" applyBorder="1"/>
    <xf numFmtId="1" fontId="0" fillId="8" borderId="35" xfId="0" applyNumberFormat="1" applyFill="1" applyBorder="1"/>
    <xf numFmtId="0" fontId="0" fillId="0" borderId="24" xfId="0" applyFont="1" applyFill="1" applyBorder="1"/>
    <xf numFmtId="0" fontId="23" fillId="0" borderId="124" xfId="0" applyFont="1" applyBorder="1" applyAlignment="1">
      <alignment vertical="center" wrapText="1"/>
    </xf>
    <xf numFmtId="0" fontId="16" fillId="0" borderId="41" xfId="0" applyFont="1" applyBorder="1" applyAlignment="1">
      <alignment vertical="center" wrapText="1"/>
    </xf>
    <xf numFmtId="4" fontId="21" fillId="7" borderId="21" xfId="0" applyNumberFormat="1" applyFont="1" applyFill="1" applyBorder="1"/>
    <xf numFmtId="0" fontId="21" fillId="7" borderId="21" xfId="0" applyFont="1" applyFill="1" applyBorder="1"/>
    <xf numFmtId="4" fontId="21" fillId="7" borderId="21" xfId="0" applyNumberFormat="1" applyFont="1" applyFill="1" applyBorder="1" applyAlignment="1">
      <alignment vertical="center"/>
    </xf>
    <xf numFmtId="4" fontId="21" fillId="0" borderId="21" xfId="0" applyNumberFormat="1" applyFont="1" applyBorder="1" applyAlignment="1"/>
    <xf numFmtId="4" fontId="13" fillId="5" borderId="31" xfId="0" applyNumberFormat="1" applyFont="1" applyFill="1" applyBorder="1" applyAlignment="1">
      <alignment horizontal="right" vertical="center"/>
    </xf>
    <xf numFmtId="0" fontId="0" fillId="7" borderId="19" xfId="0" applyFill="1" applyBorder="1"/>
    <xf numFmtId="2" fontId="14" fillId="0" borderId="21" xfId="0" applyNumberFormat="1" applyFont="1" applyBorder="1"/>
    <xf numFmtId="2" fontId="21" fillId="7" borderId="21" xfId="0" applyNumberFormat="1" applyFont="1" applyFill="1" applyBorder="1"/>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0" fillId="0" borderId="0" xfId="0" applyAlignment="1">
      <alignment wrapText="1"/>
    </xf>
    <xf numFmtId="3" fontId="0" fillId="0" borderId="24" xfId="0" applyNumberFormat="1" applyBorder="1"/>
    <xf numFmtId="3" fontId="0" fillId="8" borderId="73" xfId="0" applyNumberFormat="1" applyFill="1" applyBorder="1"/>
    <xf numFmtId="3" fontId="0" fillId="8" borderId="30" xfId="0" applyNumberFormat="1" applyFill="1" applyBorder="1"/>
    <xf numFmtId="3" fontId="0" fillId="8" borderId="31" xfId="0" applyNumberFormat="1" applyFill="1" applyBorder="1"/>
    <xf numFmtId="3" fontId="0" fillId="8" borderId="65" xfId="0" applyNumberFormat="1" applyFill="1" applyBorder="1"/>
    <xf numFmtId="4" fontId="46" fillId="5" borderId="31" xfId="0" applyNumberFormat="1" applyFont="1" applyFill="1" applyBorder="1" applyAlignment="1">
      <alignment horizontal="right"/>
    </xf>
    <xf numFmtId="4" fontId="21" fillId="0" borderId="0" xfId="0" applyNumberFormat="1" applyFont="1" applyFill="1" applyBorder="1"/>
    <xf numFmtId="0" fontId="144" fillId="3" borderId="104" xfId="0" applyFont="1" applyFill="1" applyBorder="1" applyAlignment="1">
      <alignment wrapText="1"/>
    </xf>
    <xf numFmtId="0" fontId="144" fillId="3" borderId="105" xfId="0" applyFont="1" applyFill="1" applyBorder="1" applyAlignment="1">
      <alignment wrapText="1"/>
    </xf>
    <xf numFmtId="0" fontId="46" fillId="3" borderId="11" xfId="0" applyFont="1" applyFill="1" applyBorder="1" applyAlignment="1">
      <alignment horizontal="centerContinuous" wrapText="1"/>
    </xf>
    <xf numFmtId="0" fontId="46" fillId="3" borderId="14" xfId="0" applyFont="1" applyFill="1" applyBorder="1" applyAlignment="1">
      <alignment horizontal="centerContinuous" wrapText="1"/>
    </xf>
    <xf numFmtId="0" fontId="46" fillId="3" borderId="15" xfId="0" applyFont="1" applyFill="1" applyBorder="1" applyAlignment="1">
      <alignment horizontal="center" vertical="center"/>
    </xf>
    <xf numFmtId="0" fontId="47" fillId="3" borderId="15" xfId="0" applyFont="1" applyFill="1" applyBorder="1" applyAlignment="1">
      <alignment horizontal="centerContinuous" wrapText="1"/>
    </xf>
    <xf numFmtId="0" fontId="46" fillId="3" borderId="16" xfId="0" applyFont="1" applyFill="1" applyBorder="1" applyAlignment="1">
      <alignment horizontal="centerContinuous" wrapText="1"/>
    </xf>
    <xf numFmtId="0" fontId="144" fillId="3" borderId="95" xfId="0" applyFont="1" applyFill="1" applyBorder="1" applyAlignment="1">
      <alignment wrapText="1"/>
    </xf>
    <xf numFmtId="0" fontId="144" fillId="3" borderId="18" xfId="0" applyFont="1" applyFill="1" applyBorder="1" applyAlignment="1">
      <alignment horizontal="center" wrapText="1"/>
    </xf>
    <xf numFmtId="0" fontId="85" fillId="3" borderId="19" xfId="0" applyFont="1" applyFill="1" applyBorder="1" applyAlignment="1">
      <alignment wrapText="1"/>
    </xf>
    <xf numFmtId="0" fontId="85" fillId="3" borderId="24" xfId="0" applyFont="1" applyFill="1" applyBorder="1" applyAlignment="1">
      <alignment wrapText="1"/>
    </xf>
    <xf numFmtId="0" fontId="47" fillId="4" borderId="24" xfId="0" applyFont="1" applyFill="1" applyBorder="1"/>
    <xf numFmtId="0" fontId="47" fillId="7" borderId="23" xfId="0" applyFont="1" applyFill="1" applyBorder="1"/>
    <xf numFmtId="0" fontId="47" fillId="18" borderId="22" xfId="0" applyFont="1" applyFill="1" applyBorder="1"/>
    <xf numFmtId="0" fontId="47" fillId="5" borderId="35" xfId="0" applyFont="1" applyFill="1" applyBorder="1"/>
    <xf numFmtId="0" fontId="0" fillId="0" borderId="0" xfId="0" applyFill="1" applyBorder="1" applyAlignment="1">
      <alignment wrapText="1"/>
    </xf>
    <xf numFmtId="0" fontId="47" fillId="7" borderId="0" xfId="0" applyFont="1" applyFill="1"/>
    <xf numFmtId="0" fontId="52" fillId="0" borderId="23" xfId="0" applyFont="1" applyBorder="1"/>
    <xf numFmtId="0" fontId="52" fillId="5" borderId="24" xfId="0" applyFont="1" applyFill="1" applyBorder="1"/>
    <xf numFmtId="0" fontId="15" fillId="6" borderId="36" xfId="0" applyFont="1" applyFill="1" applyBorder="1" applyAlignment="1">
      <alignment horizontal="center" wrapText="1"/>
    </xf>
    <xf numFmtId="0" fontId="15" fillId="7" borderId="80" xfId="0" applyFont="1" applyFill="1" applyBorder="1" applyAlignment="1">
      <alignment wrapText="1"/>
    </xf>
    <xf numFmtId="0" fontId="0" fillId="0" borderId="80" xfId="0" applyBorder="1"/>
    <xf numFmtId="0" fontId="0" fillId="7" borderId="20" xfId="0" applyFont="1" applyFill="1" applyBorder="1"/>
    <xf numFmtId="0" fontId="0" fillId="7" borderId="22" xfId="0" applyFont="1" applyFill="1" applyBorder="1"/>
    <xf numFmtId="0" fontId="52" fillId="7" borderId="0" xfId="0" applyFont="1" applyFill="1"/>
    <xf numFmtId="0" fontId="0" fillId="7" borderId="80" xfId="0" applyFill="1" applyBorder="1"/>
    <xf numFmtId="0" fontId="0" fillId="7" borderId="22" xfId="0" applyFill="1" applyBorder="1"/>
    <xf numFmtId="0" fontId="52" fillId="0" borderId="24" xfId="0" applyFont="1" applyBorder="1"/>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52" fillId="7" borderId="21" xfId="0" applyFont="1"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52" fillId="4" borderId="20" xfId="0" applyFont="1" applyFill="1" applyBorder="1"/>
    <xf numFmtId="0" fontId="21" fillId="4" borderId="177" xfId="0" applyFont="1" applyFill="1" applyBorder="1"/>
    <xf numFmtId="0" fontId="21" fillId="0" borderId="113" xfId="0" applyFont="1" applyBorder="1"/>
    <xf numFmtId="0" fontId="13" fillId="8" borderId="117" xfId="0" applyFont="1" applyFill="1" applyBorder="1" applyAlignment="1">
      <alignment horizontal="right"/>
    </xf>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0" fillId="0" borderId="0" xfId="0" applyAlignment="1">
      <alignment wrapText="1"/>
    </xf>
    <xf numFmtId="0" fontId="0" fillId="4" borderId="42" xfId="0" applyFill="1" applyBorder="1"/>
    <xf numFmtId="0" fontId="0" fillId="4" borderId="90" xfId="0" applyFill="1" applyBorder="1"/>
    <xf numFmtId="0" fontId="145" fillId="0" borderId="89" xfId="0" applyFont="1" applyBorder="1" applyAlignment="1">
      <alignment horizontal="center" vertical="center" wrapText="1"/>
    </xf>
    <xf numFmtId="0" fontId="145" fillId="0" borderId="19" xfId="0" applyFont="1" applyBorder="1" applyAlignment="1">
      <alignment horizontal="center" vertical="center"/>
    </xf>
    <xf numFmtId="0" fontId="21" fillId="0" borderId="22" xfId="0" applyFont="1" applyBorder="1"/>
    <xf numFmtId="0" fontId="146" fillId="0" borderId="180" xfId="0" applyFont="1" applyBorder="1" applyAlignment="1">
      <alignment horizontal="center" vertical="center" wrapText="1"/>
    </xf>
    <xf numFmtId="0" fontId="146" fillId="0" borderId="49" xfId="0" applyFont="1" applyBorder="1" applyAlignment="1">
      <alignment horizontal="center" vertical="center"/>
    </xf>
    <xf numFmtId="0" fontId="0" fillId="0" borderId="53" xfId="0" applyBorder="1" applyAlignment="1">
      <alignment horizontal="center"/>
    </xf>
    <xf numFmtId="0" fontId="0" fillId="0" borderId="19" xfId="0" applyBorder="1" applyAlignment="1">
      <alignment horizontal="center"/>
    </xf>
    <xf numFmtId="0" fontId="0" fillId="5" borderId="30" xfId="0" applyFill="1" applyBorder="1" applyAlignment="1">
      <alignment horizontal="center"/>
    </xf>
    <xf numFmtId="0" fontId="0" fillId="5" borderId="29" xfId="0" applyFill="1" applyBorder="1" applyAlignment="1">
      <alignment horizontal="center"/>
    </xf>
    <xf numFmtId="0" fontId="12" fillId="3" borderId="18" xfId="0" applyFont="1" applyFill="1" applyBorder="1" applyAlignment="1">
      <alignment wrapText="1"/>
    </xf>
    <xf numFmtId="0" fontId="18" fillId="6" borderId="15" xfId="0" applyFont="1" applyFill="1" applyBorder="1" applyAlignment="1">
      <alignment wrapText="1"/>
    </xf>
    <xf numFmtId="0" fontId="12" fillId="6" borderId="15" xfId="0" applyFont="1" applyFill="1" applyBorder="1" applyAlignment="1">
      <alignment wrapText="1"/>
    </xf>
    <xf numFmtId="0" fontId="12" fillId="6" borderId="52" xfId="0" applyFont="1" applyFill="1" applyBorder="1" applyAlignment="1">
      <alignment wrapText="1"/>
    </xf>
    <xf numFmtId="0" fontId="32" fillId="9" borderId="105" xfId="0" applyFont="1" applyFill="1" applyBorder="1" applyAlignment="1">
      <alignment wrapText="1"/>
    </xf>
    <xf numFmtId="0" fontId="26" fillId="12" borderId="15" xfId="0" applyFont="1" applyFill="1" applyBorder="1" applyAlignment="1">
      <alignment horizontal="left" vertical="center" wrapText="1"/>
    </xf>
    <xf numFmtId="0" fontId="29" fillId="7" borderId="79" xfId="0" applyFont="1" applyFill="1" applyBorder="1"/>
    <xf numFmtId="0" fontId="0" fillId="0" borderId="120" xfId="0" applyBorder="1"/>
    <xf numFmtId="0" fontId="29" fillId="7" borderId="120" xfId="0" applyFont="1" applyFill="1" applyBorder="1"/>
    <xf numFmtId="0" fontId="0" fillId="0" borderId="183" xfId="0" applyBorder="1"/>
    <xf numFmtId="0" fontId="29" fillId="7" borderId="183" xfId="0" applyFont="1" applyFill="1" applyBorder="1"/>
    <xf numFmtId="0" fontId="0" fillId="0" borderId="79" xfId="0" applyBorder="1"/>
    <xf numFmtId="0" fontId="0" fillId="8" borderId="74" xfId="0" applyFont="1" applyFill="1" applyBorder="1"/>
    <xf numFmtId="0" fontId="29" fillId="8" borderId="84" xfId="0" applyFont="1" applyFill="1" applyBorder="1"/>
    <xf numFmtId="0" fontId="0" fillId="8" borderId="185" xfId="0" applyFill="1" applyBorder="1"/>
    <xf numFmtId="0" fontId="12" fillId="15" borderId="15" xfId="0" applyFont="1" applyFill="1" applyBorder="1" applyAlignment="1">
      <alignment wrapText="1"/>
    </xf>
    <xf numFmtId="0" fontId="0" fillId="8" borderId="83" xfId="0" applyFill="1" applyBorder="1"/>
    <xf numFmtId="0" fontId="0" fillId="8" borderId="186" xfId="0" applyFill="1" applyBorder="1"/>
    <xf numFmtId="0" fontId="0" fillId="8" borderId="187" xfId="0" applyFill="1" applyBorder="1"/>
    <xf numFmtId="0" fontId="21" fillId="0" borderId="21" xfId="0" applyFont="1" applyBorder="1" applyAlignment="1">
      <alignment wrapText="1"/>
    </xf>
    <xf numFmtId="0" fontId="23" fillId="11" borderId="49" xfId="0" applyFont="1" applyFill="1" applyBorder="1" applyAlignment="1">
      <alignment horizontal="center" wrapText="1"/>
    </xf>
    <xf numFmtId="0" fontId="0" fillId="0" borderId="0" xfId="0" applyAlignment="1">
      <alignment wrapText="1"/>
    </xf>
    <xf numFmtId="0" fontId="2" fillId="0" borderId="0" xfId="0" applyFont="1" applyBorder="1"/>
    <xf numFmtId="0" fontId="5" fillId="2" borderId="188" xfId="0" applyFont="1" applyFill="1" applyBorder="1" applyAlignment="1">
      <alignment horizontal="centerContinuous"/>
    </xf>
    <xf numFmtId="0" fontId="0" fillId="2" borderId="189" xfId="0" applyFill="1" applyBorder="1" applyAlignment="1">
      <alignment horizontal="centerContinuous"/>
    </xf>
    <xf numFmtId="0" fontId="11" fillId="3" borderId="0" xfId="0" applyFont="1" applyFill="1" applyBorder="1"/>
    <xf numFmtId="0" fontId="12" fillId="3" borderId="191" xfId="0" applyFont="1" applyFill="1" applyBorder="1" applyAlignment="1">
      <alignment wrapText="1"/>
    </xf>
    <xf numFmtId="0" fontId="11" fillId="6" borderId="0" xfId="0" applyFont="1" applyFill="1" applyBorder="1"/>
    <xf numFmtId="0" fontId="12" fillId="6" borderId="191" xfId="0" applyFont="1" applyFill="1" applyBorder="1" applyAlignment="1">
      <alignment horizontal="center" wrapText="1"/>
    </xf>
    <xf numFmtId="0" fontId="12" fillId="6" borderId="191" xfId="0" applyFont="1" applyFill="1" applyBorder="1" applyAlignment="1">
      <alignment wrapText="1"/>
    </xf>
    <xf numFmtId="0" fontId="21" fillId="0" borderId="21" xfId="0" applyNumberFormat="1" applyFont="1" applyBorder="1"/>
    <xf numFmtId="0" fontId="11" fillId="9" borderId="0" xfId="0" applyFont="1" applyFill="1" applyBorder="1"/>
    <xf numFmtId="0" fontId="13" fillId="0" borderId="0" xfId="0" applyFont="1" applyBorder="1"/>
    <xf numFmtId="0" fontId="32" fillId="9" borderId="191" xfId="0" applyFont="1" applyFill="1" applyBorder="1" applyAlignment="1">
      <alignment horizontal="center" wrapText="1"/>
    </xf>
    <xf numFmtId="0" fontId="11" fillId="10" borderId="0" xfId="0" applyFont="1" applyFill="1" applyBorder="1"/>
    <xf numFmtId="0" fontId="11" fillId="0" borderId="0" xfId="0" applyFont="1" applyFill="1" applyBorder="1"/>
    <xf numFmtId="0" fontId="35" fillId="0" borderId="0" xfId="0" applyFont="1" applyFill="1" applyBorder="1"/>
    <xf numFmtId="0" fontId="23" fillId="11" borderId="194" xfId="0" applyFont="1" applyFill="1" applyBorder="1" applyAlignment="1">
      <alignment horizontal="center" wrapText="1"/>
    </xf>
    <xf numFmtId="0" fontId="11" fillId="12" borderId="0" xfId="0" applyFont="1" applyFill="1" applyBorder="1"/>
    <xf numFmtId="0" fontId="23" fillId="12" borderId="195" xfId="0" applyFont="1" applyFill="1" applyBorder="1" applyAlignment="1">
      <alignment horizontal="centerContinuous" wrapText="1"/>
    </xf>
    <xf numFmtId="0" fontId="23" fillId="12" borderId="196" xfId="0" applyFont="1" applyFill="1" applyBorder="1" applyAlignment="1">
      <alignment horizontal="centerContinuous" wrapText="1"/>
    </xf>
    <xf numFmtId="0" fontId="23" fillId="12" borderId="197" xfId="0" applyFont="1" applyFill="1" applyBorder="1" applyAlignment="1">
      <alignment horizontal="centerContinuous" wrapText="1"/>
    </xf>
    <xf numFmtId="0" fontId="0" fillId="0" borderId="200" xfId="0" applyBorder="1"/>
    <xf numFmtId="0" fontId="11" fillId="13" borderId="0" xfId="0" applyFont="1" applyFill="1" applyBorder="1"/>
    <xf numFmtId="0" fontId="11" fillId="0" borderId="0" xfId="0" applyFont="1" applyBorder="1"/>
    <xf numFmtId="0" fontId="13" fillId="15" borderId="0" xfId="0" applyFont="1" applyFill="1" applyBorder="1"/>
    <xf numFmtId="4" fontId="21" fillId="0" borderId="21" xfId="0" applyNumberFormat="1" applyFont="1" applyBorder="1" applyAlignment="1">
      <alignment horizontal="right" vertical="center"/>
    </xf>
    <xf numFmtId="0" fontId="21" fillId="0" borderId="21" xfId="0" applyFont="1" applyBorder="1" applyAlignment="1">
      <alignment horizontal="right" vertical="center"/>
    </xf>
    <xf numFmtId="0" fontId="21" fillId="0" borderId="21" xfId="0" applyFont="1" applyBorder="1" applyAlignment="1">
      <alignment vertical="center"/>
    </xf>
    <xf numFmtId="0" fontId="0" fillId="0" borderId="192" xfId="0" applyBorder="1"/>
    <xf numFmtId="0" fontId="23" fillId="11" borderId="49" xfId="0" applyFont="1" applyFill="1" applyBorder="1" applyAlignment="1">
      <alignment horizontal="center" wrapText="1"/>
    </xf>
    <xf numFmtId="0" fontId="0" fillId="0" borderId="124" xfId="0" applyBorder="1"/>
    <xf numFmtId="0" fontId="0" fillId="0" borderId="192" xfId="0" applyBorder="1"/>
    <xf numFmtId="0" fontId="0" fillId="0" borderId="42" xfId="0" applyBorder="1"/>
    <xf numFmtId="0" fontId="23" fillId="11" borderId="194" xfId="0" applyFont="1" applyFill="1" applyBorder="1" applyAlignment="1">
      <alignment horizontal="center" wrapText="1"/>
    </xf>
    <xf numFmtId="0" fontId="0" fillId="0" borderId="0" xfId="0" applyAlignment="1">
      <alignment wrapText="1"/>
    </xf>
    <xf numFmtId="0" fontId="12" fillId="3" borderId="201" xfId="0" applyFont="1" applyFill="1" applyBorder="1" applyAlignment="1">
      <alignment wrapText="1"/>
    </xf>
    <xf numFmtId="0" fontId="12" fillId="3" borderId="202" xfId="0" applyFont="1" applyFill="1" applyBorder="1" applyAlignment="1">
      <alignment wrapText="1"/>
    </xf>
    <xf numFmtId="0" fontId="12" fillId="6" borderId="201" xfId="0" applyFont="1" applyFill="1" applyBorder="1"/>
    <xf numFmtId="0" fontId="12" fillId="9" borderId="201" xfId="0" applyFont="1" applyFill="1" applyBorder="1" applyAlignment="1">
      <alignment wrapText="1"/>
    </xf>
    <xf numFmtId="0" fontId="29" fillId="4" borderId="203" xfId="0" applyFont="1" applyFill="1" applyBorder="1"/>
    <xf numFmtId="0" fontId="29" fillId="8" borderId="203" xfId="0" applyFont="1" applyFill="1" applyBorder="1"/>
    <xf numFmtId="0" fontId="12" fillId="15" borderId="201" xfId="0" applyFont="1" applyFill="1" applyBorder="1" applyAlignment="1">
      <alignment wrapText="1"/>
    </xf>
    <xf numFmtId="0" fontId="12" fillId="11" borderId="201" xfId="0" applyFont="1" applyFill="1" applyBorder="1" applyAlignment="1">
      <alignment horizontal="left" vertical="center" wrapText="1"/>
    </xf>
    <xf numFmtId="4" fontId="28" fillId="0" borderId="21" xfId="0" applyNumberFormat="1" applyFont="1" applyBorder="1"/>
    <xf numFmtId="0" fontId="162" fillId="0" borderId="0" xfId="4" applyFont="1"/>
    <xf numFmtId="0" fontId="162" fillId="0" borderId="0" xfId="4" applyFont="1" applyAlignment="1"/>
    <xf numFmtId="0" fontId="163" fillId="0" borderId="0" xfId="4" applyFont="1" applyAlignment="1"/>
    <xf numFmtId="0" fontId="164" fillId="0" borderId="0" xfId="4" applyFont="1"/>
    <xf numFmtId="0" fontId="161" fillId="0" borderId="0" xfId="4"/>
    <xf numFmtId="0" fontId="164" fillId="0" borderId="0" xfId="4" applyFont="1" applyBorder="1"/>
    <xf numFmtId="0" fontId="166" fillId="35" borderId="0" xfId="4" applyFont="1" applyFill="1"/>
    <xf numFmtId="0" fontId="161" fillId="35" borderId="0" xfId="4" applyFill="1"/>
    <xf numFmtId="0" fontId="161" fillId="0" borderId="0" xfId="4" applyBorder="1"/>
    <xf numFmtId="0" fontId="167" fillId="35" borderId="9" xfId="4" applyFont="1" applyFill="1" applyBorder="1" applyAlignment="1">
      <alignment wrapText="1"/>
    </xf>
    <xf numFmtId="0" fontId="167" fillId="35" borderId="10" xfId="4" applyFont="1" applyFill="1" applyBorder="1" applyAlignment="1">
      <alignment wrapText="1"/>
    </xf>
    <xf numFmtId="0" fontId="168" fillId="35" borderId="11" xfId="4" applyFont="1" applyFill="1" applyBorder="1" applyAlignment="1">
      <alignment horizontal="center" wrapText="1"/>
    </xf>
    <xf numFmtId="0" fontId="168" fillId="35" borderId="14" xfId="4" applyFont="1" applyFill="1" applyBorder="1" applyAlignment="1">
      <alignment horizontal="center" wrapText="1"/>
    </xf>
    <xf numFmtId="0" fontId="94" fillId="35" borderId="15" xfId="4" applyFont="1" applyFill="1" applyBorder="1" applyAlignment="1">
      <alignment horizontal="center" vertical="center"/>
    </xf>
    <xf numFmtId="0" fontId="161" fillId="35" borderId="15" xfId="4" applyFill="1" applyBorder="1" applyAlignment="1">
      <alignment horizontal="center" wrapText="1"/>
    </xf>
    <xf numFmtId="0" fontId="168" fillId="35" borderId="16" xfId="4" applyFont="1" applyFill="1" applyBorder="1" applyAlignment="1">
      <alignment horizontal="center" wrapText="1"/>
    </xf>
    <xf numFmtId="0" fontId="168" fillId="0" borderId="0" xfId="4" applyFont="1" applyBorder="1" applyAlignment="1">
      <alignment horizontal="center" wrapText="1"/>
    </xf>
    <xf numFmtId="0" fontId="94" fillId="0" borderId="0" xfId="4" applyFont="1" applyBorder="1" applyAlignment="1">
      <alignment horizontal="center" wrapText="1"/>
    </xf>
    <xf numFmtId="0" fontId="161" fillId="0" borderId="0" xfId="4" applyBorder="1" applyAlignment="1">
      <alignment horizontal="center" wrapText="1"/>
    </xf>
    <xf numFmtId="0" fontId="161" fillId="0" borderId="0" xfId="4" applyBorder="1" applyAlignment="1">
      <alignment wrapText="1"/>
    </xf>
    <xf numFmtId="0" fontId="167" fillId="35" borderId="95" xfId="4" applyFont="1" applyFill="1" applyBorder="1" applyAlignment="1">
      <alignment wrapText="1"/>
    </xf>
    <xf numFmtId="0" fontId="167" fillId="35" borderId="18" xfId="4" applyFont="1" applyFill="1" applyBorder="1" applyAlignment="1">
      <alignment horizontal="center" wrapText="1"/>
    </xf>
    <xf numFmtId="0" fontId="169" fillId="35" borderId="19" xfId="4" applyFont="1" applyFill="1" applyBorder="1" applyAlignment="1">
      <alignment wrapText="1"/>
    </xf>
    <xf numFmtId="0" fontId="169" fillId="35" borderId="20" xfId="4" applyFont="1" applyFill="1" applyBorder="1" applyAlignment="1">
      <alignment horizontal="center" wrapText="1"/>
    </xf>
    <xf numFmtId="0" fontId="169" fillId="35" borderId="21" xfId="4" applyFont="1" applyFill="1" applyBorder="1" applyAlignment="1">
      <alignment horizontal="center" wrapText="1"/>
    </xf>
    <xf numFmtId="0" fontId="170" fillId="35" borderId="22" xfId="4" applyFont="1" applyFill="1" applyBorder="1" applyAlignment="1">
      <alignment horizontal="center" wrapText="1"/>
    </xf>
    <xf numFmtId="0" fontId="105" fillId="35" borderId="23" xfId="4" applyFont="1" applyFill="1" applyBorder="1" applyAlignment="1">
      <alignment wrapText="1"/>
    </xf>
    <xf numFmtId="0" fontId="169" fillId="35" borderId="21" xfId="4" applyFont="1" applyFill="1" applyBorder="1" applyAlignment="1">
      <alignment wrapText="1"/>
    </xf>
    <xf numFmtId="0" fontId="105" fillId="35" borderId="21" xfId="4" applyFont="1" applyFill="1" applyBorder="1" applyAlignment="1">
      <alignment wrapText="1"/>
    </xf>
    <xf numFmtId="0" fontId="169" fillId="35" borderId="24" xfId="4" applyFont="1" applyFill="1" applyBorder="1" applyAlignment="1">
      <alignment wrapText="1"/>
    </xf>
    <xf numFmtId="0" fontId="169" fillId="0" borderId="0" xfId="4" applyFont="1" applyBorder="1" applyAlignment="1">
      <alignment wrapText="1"/>
    </xf>
    <xf numFmtId="0" fontId="161" fillId="0" borderId="0" xfId="4" applyAlignment="1">
      <alignment wrapText="1"/>
    </xf>
    <xf numFmtId="0" fontId="161" fillId="36" borderId="19" xfId="4" applyFill="1" applyBorder="1"/>
    <xf numFmtId="0" fontId="161" fillId="36" borderId="20" xfId="4" applyFill="1" applyBorder="1"/>
    <xf numFmtId="0" fontId="161" fillId="36" borderId="21" xfId="4" applyFill="1" applyBorder="1"/>
    <xf numFmtId="0" fontId="161" fillId="37" borderId="22" xfId="4" applyFill="1" applyBorder="1"/>
    <xf numFmtId="0" fontId="161" fillId="36" borderId="23" xfId="4" applyFill="1" applyBorder="1"/>
    <xf numFmtId="0" fontId="161" fillId="36" borderId="24" xfId="4" applyFill="1" applyBorder="1"/>
    <xf numFmtId="0" fontId="161" fillId="0" borderId="19" xfId="4" applyBorder="1"/>
    <xf numFmtId="0" fontId="161" fillId="0" borderId="20" xfId="4" applyBorder="1"/>
    <xf numFmtId="0" fontId="161" fillId="0" borderId="21" xfId="4" applyBorder="1"/>
    <xf numFmtId="0" fontId="161" fillId="0" borderId="23" xfId="4" applyBorder="1"/>
    <xf numFmtId="0" fontId="161" fillId="34" borderId="24" xfId="4" applyFill="1" applyBorder="1"/>
    <xf numFmtId="0" fontId="168" fillId="37" borderId="29" xfId="4" applyFont="1" applyFill="1" applyBorder="1" applyAlignment="1">
      <alignment horizontal="right"/>
    </xf>
    <xf numFmtId="0" fontId="161" fillId="37" borderId="30" xfId="4" applyFill="1" applyBorder="1"/>
    <xf numFmtId="0" fontId="161" fillId="37" borderId="31" xfId="4" applyFill="1" applyBorder="1"/>
    <xf numFmtId="0" fontId="161" fillId="37" borderId="32" xfId="4" applyFill="1" applyBorder="1"/>
    <xf numFmtId="0" fontId="161" fillId="37" borderId="33" xfId="4" applyFill="1" applyBorder="1"/>
    <xf numFmtId="0" fontId="161" fillId="37" borderId="34" xfId="4" applyFill="1" applyBorder="1"/>
    <xf numFmtId="0" fontId="161" fillId="37" borderId="35" xfId="4" applyFill="1" applyBorder="1"/>
    <xf numFmtId="0" fontId="168" fillId="0" borderId="0" xfId="4" applyFont="1" applyAlignment="1">
      <alignment horizontal="right"/>
    </xf>
    <xf numFmtId="0" fontId="168" fillId="35" borderId="36" xfId="4" applyFont="1" applyFill="1" applyBorder="1" applyAlignment="1">
      <alignment horizontal="center" wrapText="1"/>
    </xf>
    <xf numFmtId="0" fontId="167" fillId="35" borderId="124" xfId="4" applyFont="1" applyFill="1" applyBorder="1" applyAlignment="1">
      <alignment wrapText="1"/>
    </xf>
    <xf numFmtId="0" fontId="169" fillId="35" borderId="22" xfId="4" applyFont="1" applyFill="1" applyBorder="1" applyAlignment="1">
      <alignment wrapText="1"/>
    </xf>
    <xf numFmtId="0" fontId="169" fillId="35" borderId="23" xfId="4" applyFont="1" applyFill="1" applyBorder="1" applyAlignment="1">
      <alignment horizontal="center" wrapText="1"/>
    </xf>
    <xf numFmtId="0" fontId="170" fillId="35" borderId="24" xfId="4" applyFont="1" applyFill="1" applyBorder="1" applyAlignment="1">
      <alignment horizontal="center" wrapText="1"/>
    </xf>
    <xf numFmtId="0" fontId="161" fillId="36" borderId="22" xfId="4" applyFill="1" applyBorder="1"/>
    <xf numFmtId="0" fontId="161" fillId="37" borderId="24" xfId="4" applyFill="1" applyBorder="1"/>
    <xf numFmtId="0" fontId="161" fillId="0" borderId="22" xfId="4" applyBorder="1"/>
    <xf numFmtId="0" fontId="168" fillId="37" borderId="32" xfId="4" applyFont="1" applyFill="1" applyBorder="1" applyAlignment="1">
      <alignment horizontal="right"/>
    </xf>
    <xf numFmtId="0" fontId="161" fillId="0" borderId="0" xfId="4" applyAlignment="1">
      <alignment vertical="center" wrapText="1"/>
    </xf>
    <xf numFmtId="0" fontId="166" fillId="38" borderId="0" xfId="4" applyFont="1" applyFill="1"/>
    <xf numFmtId="0" fontId="161" fillId="38" borderId="0" xfId="4" applyFill="1"/>
    <xf numFmtId="0" fontId="167" fillId="38" borderId="9" xfId="4" applyFont="1" applyFill="1" applyBorder="1"/>
    <xf numFmtId="0" fontId="167" fillId="38" borderId="10" xfId="4" applyFont="1" applyFill="1" applyBorder="1" applyAlignment="1">
      <alignment horizontal="center" wrapText="1"/>
    </xf>
    <xf numFmtId="0" fontId="169" fillId="38" borderId="11" xfId="4" applyFont="1" applyFill="1" applyBorder="1"/>
    <xf numFmtId="0" fontId="169" fillId="38" borderId="39" xfId="4" applyFont="1" applyFill="1" applyBorder="1" applyAlignment="1">
      <alignment horizontal="center" wrapText="1"/>
    </xf>
    <xf numFmtId="0" fontId="169" fillId="38" borderId="11" xfId="4" applyFont="1" applyFill="1" applyBorder="1" applyAlignment="1">
      <alignment horizontal="center" wrapText="1"/>
    </xf>
    <xf numFmtId="0" fontId="169" fillId="34" borderId="0" xfId="4" applyFont="1" applyFill="1" applyBorder="1" applyAlignment="1">
      <alignment wrapText="1"/>
    </xf>
    <xf numFmtId="0" fontId="161" fillId="36" borderId="19" xfId="4" applyFont="1" applyFill="1" applyBorder="1"/>
    <xf numFmtId="0" fontId="161" fillId="0" borderId="19" xfId="4" applyFont="1" applyBorder="1"/>
    <xf numFmtId="0" fontId="161" fillId="37" borderId="29" xfId="4" applyFill="1" applyBorder="1"/>
    <xf numFmtId="0" fontId="161" fillId="34" borderId="0" xfId="4" applyFill="1" applyBorder="1"/>
    <xf numFmtId="0" fontId="169" fillId="0" borderId="40" xfId="4" applyFont="1" applyBorder="1" applyAlignment="1">
      <alignment horizontal="left" vertical="center" wrapText="1"/>
    </xf>
    <xf numFmtId="0" fontId="169" fillId="0" borderId="0" xfId="4" applyFont="1" applyBorder="1" applyAlignment="1">
      <alignment horizontal="center" vertical="center" wrapText="1"/>
    </xf>
    <xf numFmtId="0" fontId="168" fillId="0" borderId="0" xfId="4" applyFont="1" applyBorder="1" applyAlignment="1">
      <alignment horizontal="right"/>
    </xf>
    <xf numFmtId="0" fontId="167" fillId="38" borderId="14" xfId="4" applyFont="1" applyFill="1" applyBorder="1" applyAlignment="1">
      <alignment vertical="center"/>
    </xf>
    <xf numFmtId="0" fontId="167" fillId="38" borderId="10" xfId="4" applyFont="1" applyFill="1" applyBorder="1" applyAlignment="1">
      <alignment horizontal="center" vertical="center" wrapText="1"/>
    </xf>
    <xf numFmtId="0" fontId="169" fillId="38" borderId="11" xfId="4" applyFont="1" applyFill="1" applyBorder="1" applyAlignment="1">
      <alignment horizontal="left" vertical="center"/>
    </xf>
    <xf numFmtId="0" fontId="169" fillId="38" borderId="39" xfId="4" applyFont="1" applyFill="1" applyBorder="1" applyAlignment="1">
      <alignment horizontal="center" vertical="center" wrapText="1"/>
    </xf>
    <xf numFmtId="0" fontId="169" fillId="38" borderId="15" xfId="4" applyFont="1" applyFill="1" applyBorder="1" applyAlignment="1">
      <alignment horizontal="center" vertical="center" wrapText="1"/>
    </xf>
    <xf numFmtId="0" fontId="169" fillId="38" borderId="16" xfId="4" applyFont="1" applyFill="1" applyBorder="1" applyAlignment="1">
      <alignment horizontal="center" vertical="center" wrapText="1"/>
    </xf>
    <xf numFmtId="0" fontId="161" fillId="0" borderId="0" xfId="4" applyAlignment="1">
      <alignment vertical="center"/>
    </xf>
    <xf numFmtId="0" fontId="169" fillId="36" borderId="19" xfId="4" applyFont="1" applyFill="1" applyBorder="1"/>
    <xf numFmtId="0" fontId="161" fillId="0" borderId="24" xfId="4" applyBorder="1"/>
    <xf numFmtId="0" fontId="161" fillId="0" borderId="43" xfId="4" applyBorder="1"/>
    <xf numFmtId="0" fontId="167" fillId="38" borderId="10" xfId="4" applyFont="1" applyFill="1" applyBorder="1" applyAlignment="1">
      <alignment wrapText="1"/>
    </xf>
    <xf numFmtId="0" fontId="167" fillId="38" borderId="48" xfId="4" applyFont="1" applyFill="1" applyBorder="1" applyAlignment="1">
      <alignment horizontal="center" wrapText="1"/>
    </xf>
    <xf numFmtId="0" fontId="105" fillId="38" borderId="51" xfId="4" applyFont="1" applyFill="1" applyBorder="1" applyAlignment="1">
      <alignment wrapText="1"/>
    </xf>
    <xf numFmtId="0" fontId="169" fillId="38" borderId="52" xfId="4" applyFont="1" applyFill="1" applyBorder="1" applyAlignment="1">
      <alignment wrapText="1"/>
    </xf>
    <xf numFmtId="0" fontId="169" fillId="38" borderId="53" xfId="4" applyFont="1" applyFill="1" applyBorder="1" applyAlignment="1">
      <alignment wrapText="1"/>
    </xf>
    <xf numFmtId="0" fontId="105" fillId="38" borderId="53" xfId="4" applyFont="1" applyFill="1" applyBorder="1" applyAlignment="1">
      <alignment wrapText="1"/>
    </xf>
    <xf numFmtId="0" fontId="169" fillId="38" borderId="54" xfId="4" applyFont="1" applyFill="1" applyBorder="1" applyAlignment="1">
      <alignment wrapText="1"/>
    </xf>
    <xf numFmtId="0" fontId="161" fillId="0" borderId="55" xfId="4" applyBorder="1"/>
    <xf numFmtId="0" fontId="161" fillId="36" borderId="21" xfId="4" applyFont="1" applyFill="1" applyBorder="1"/>
    <xf numFmtId="0" fontId="161" fillId="36" borderId="51" xfId="4" applyFill="1" applyBorder="1"/>
    <xf numFmtId="0" fontId="161" fillId="36" borderId="52" xfId="4" applyFill="1" applyBorder="1"/>
    <xf numFmtId="0" fontId="161" fillId="0" borderId="21" xfId="4" applyFont="1" applyBorder="1"/>
    <xf numFmtId="0" fontId="161" fillId="0" borderId="56" xfId="4" applyBorder="1"/>
    <xf numFmtId="0" fontId="168" fillId="39" borderId="29" xfId="4" applyFont="1" applyFill="1" applyBorder="1" applyAlignment="1">
      <alignment horizontal="right"/>
    </xf>
    <xf numFmtId="0" fontId="161" fillId="39" borderId="31" xfId="4" applyFont="1" applyFill="1" applyBorder="1" applyAlignment="1">
      <alignment horizontal="right"/>
    </xf>
    <xf numFmtId="0" fontId="161" fillId="39" borderId="34" xfId="4" applyFill="1" applyBorder="1"/>
    <xf numFmtId="0" fontId="161" fillId="39" borderId="31" xfId="4" applyFill="1" applyBorder="1"/>
    <xf numFmtId="0" fontId="161" fillId="39" borderId="35" xfId="4" applyFill="1" applyBorder="1"/>
    <xf numFmtId="0" fontId="161" fillId="0" borderId="0" xfId="4" applyBorder="1" applyAlignment="1"/>
    <xf numFmtId="0" fontId="168" fillId="34" borderId="0" xfId="4" applyFont="1" applyFill="1" applyBorder="1" applyAlignment="1">
      <alignment horizontal="right" wrapText="1"/>
    </xf>
    <xf numFmtId="0" fontId="161" fillId="34" borderId="0" xfId="4" applyFont="1" applyFill="1" applyBorder="1" applyAlignment="1">
      <alignment horizontal="right" wrapText="1"/>
    </xf>
    <xf numFmtId="0" fontId="161" fillId="34" borderId="0" xfId="4" applyFill="1" applyBorder="1" applyAlignment="1">
      <alignment wrapText="1"/>
    </xf>
    <xf numFmtId="0" fontId="169" fillId="38" borderId="15" xfId="4" applyFont="1" applyFill="1" applyBorder="1" applyAlignment="1">
      <alignment wrapText="1"/>
    </xf>
    <xf numFmtId="0" fontId="169" fillId="38" borderId="11" xfId="4" applyFont="1" applyFill="1" applyBorder="1" applyAlignment="1">
      <alignment wrapText="1"/>
    </xf>
    <xf numFmtId="0" fontId="170" fillId="38" borderId="57" xfId="4" applyFont="1" applyFill="1" applyBorder="1" applyAlignment="1">
      <alignment vertical="center" wrapText="1"/>
    </xf>
    <xf numFmtId="0" fontId="105" fillId="38" borderId="58" xfId="4" applyFont="1" applyFill="1" applyBorder="1" applyAlignment="1">
      <alignment wrapText="1"/>
    </xf>
    <xf numFmtId="0" fontId="169" fillId="38" borderId="59" xfId="4" applyFont="1" applyFill="1" applyBorder="1" applyAlignment="1">
      <alignment wrapText="1"/>
    </xf>
    <xf numFmtId="0" fontId="105" fillId="38" borderId="59" xfId="4" applyFont="1" applyFill="1" applyBorder="1" applyAlignment="1">
      <alignment wrapText="1"/>
    </xf>
    <xf numFmtId="0" fontId="169" fillId="38" borderId="60" xfId="4" applyFont="1" applyFill="1" applyBorder="1" applyAlignment="1">
      <alignment wrapText="1"/>
    </xf>
    <xf numFmtId="0" fontId="161" fillId="39" borderId="61" xfId="4" applyFill="1" applyBorder="1"/>
    <xf numFmtId="0" fontId="161" fillId="36" borderId="53" xfId="4" applyFill="1" applyBorder="1"/>
    <xf numFmtId="0" fontId="161" fillId="36" borderId="54" xfId="4" applyFill="1" applyBorder="1"/>
    <xf numFmtId="0" fontId="168" fillId="39" borderId="32" xfId="4" applyFont="1" applyFill="1" applyBorder="1" applyAlignment="1">
      <alignment horizontal="right"/>
    </xf>
    <xf numFmtId="0" fontId="168" fillId="39" borderId="34" xfId="4" applyFont="1" applyFill="1" applyBorder="1" applyAlignment="1">
      <alignment horizontal="right"/>
    </xf>
    <xf numFmtId="0" fontId="161" fillId="39" borderId="30" xfId="4" applyFill="1" applyBorder="1"/>
    <xf numFmtId="0" fontId="30" fillId="0" borderId="0" xfId="4" applyFont="1" applyBorder="1" applyAlignment="1"/>
    <xf numFmtId="0" fontId="168" fillId="34" borderId="0" xfId="4" applyFont="1" applyFill="1" applyBorder="1" applyAlignment="1">
      <alignment horizontal="right"/>
    </xf>
    <xf numFmtId="0" fontId="168" fillId="34" borderId="0" xfId="4" applyFont="1" applyFill="1" applyBorder="1"/>
    <xf numFmtId="0" fontId="166" fillId="40" borderId="0" xfId="4" applyFont="1" applyFill="1"/>
    <xf numFmtId="0" fontId="171" fillId="40" borderId="0" xfId="4" applyFont="1" applyFill="1"/>
    <xf numFmtId="0" fontId="171" fillId="0" borderId="0" xfId="4" applyFont="1"/>
    <xf numFmtId="0" fontId="168" fillId="0" borderId="0" xfId="4" applyFont="1"/>
    <xf numFmtId="0" fontId="167" fillId="40" borderId="9" xfId="4" applyFont="1" applyFill="1" applyBorder="1" applyAlignment="1">
      <alignment wrapText="1"/>
    </xf>
    <xf numFmtId="0" fontId="100" fillId="40" borderId="10" xfId="4" applyFont="1" applyFill="1" applyBorder="1" applyAlignment="1">
      <alignment horizontal="center" wrapText="1"/>
    </xf>
    <xf numFmtId="0" fontId="169" fillId="40" borderId="11" xfId="4" applyFont="1" applyFill="1" applyBorder="1" applyAlignment="1">
      <alignment wrapText="1"/>
    </xf>
    <xf numFmtId="0" fontId="170" fillId="40" borderId="57" xfId="4" applyFont="1" applyFill="1" applyBorder="1" applyAlignment="1">
      <alignment wrapText="1"/>
    </xf>
    <xf numFmtId="0" fontId="169" fillId="40" borderId="62" xfId="4" applyFont="1" applyFill="1" applyBorder="1" applyAlignment="1">
      <alignment wrapText="1"/>
    </xf>
    <xf numFmtId="0" fontId="169" fillId="40" borderId="15" xfId="4" applyFont="1" applyFill="1" applyBorder="1" applyAlignment="1">
      <alignment wrapText="1"/>
    </xf>
    <xf numFmtId="0" fontId="169" fillId="40" borderId="16" xfId="4" applyFont="1" applyFill="1" applyBorder="1" applyAlignment="1">
      <alignment wrapText="1"/>
    </xf>
    <xf numFmtId="0" fontId="161" fillId="36" borderId="61" xfId="4" applyFill="1" applyBorder="1"/>
    <xf numFmtId="0" fontId="161" fillId="36" borderId="56" xfId="4" applyFill="1" applyBorder="1"/>
    <xf numFmtId="0" fontId="161" fillId="0" borderId="61" xfId="4" applyBorder="1"/>
    <xf numFmtId="0" fontId="168" fillId="39" borderId="63" xfId="4" applyFont="1" applyFill="1" applyBorder="1"/>
    <xf numFmtId="0" fontId="166" fillId="41" borderId="0" xfId="4" applyFont="1" applyFill="1"/>
    <xf numFmtId="0" fontId="161" fillId="41" borderId="0" xfId="4" applyFill="1"/>
    <xf numFmtId="0" fontId="161" fillId="34" borderId="0" xfId="4" applyFill="1"/>
    <xf numFmtId="0" fontId="166" fillId="0" borderId="0" xfId="4" applyFont="1"/>
    <xf numFmtId="0" fontId="161" fillId="34" borderId="0" xfId="4" applyFont="1" applyFill="1" applyBorder="1"/>
    <xf numFmtId="0" fontId="169" fillId="42" borderId="20" xfId="4" applyFont="1" applyFill="1" applyBorder="1" applyAlignment="1">
      <alignment wrapText="1"/>
    </xf>
    <xf numFmtId="0" fontId="169" fillId="42" borderId="21" xfId="4" applyFont="1" applyFill="1" applyBorder="1" applyAlignment="1">
      <alignment wrapText="1"/>
    </xf>
    <xf numFmtId="0" fontId="105" fillId="42" borderId="51" xfId="4" applyFont="1" applyFill="1" applyBorder="1" applyAlignment="1">
      <alignment wrapText="1"/>
    </xf>
    <xf numFmtId="0" fontId="172" fillId="42" borderId="52" xfId="4" applyFont="1" applyFill="1" applyBorder="1" applyAlignment="1">
      <alignment wrapText="1"/>
    </xf>
    <xf numFmtId="0" fontId="169" fillId="42" borderId="52" xfId="4" applyFont="1" applyFill="1" applyBorder="1" applyAlignment="1">
      <alignment wrapText="1"/>
    </xf>
    <xf numFmtId="0" fontId="169" fillId="42" borderId="53" xfId="4" applyFont="1" applyFill="1" applyBorder="1" applyAlignment="1">
      <alignment wrapText="1"/>
    </xf>
    <xf numFmtId="0" fontId="105" fillId="42" borderId="53" xfId="4" applyFont="1" applyFill="1" applyBorder="1" applyAlignment="1">
      <alignment wrapText="1"/>
    </xf>
    <xf numFmtId="0" fontId="169" fillId="42" borderId="54" xfId="4" applyFont="1" applyFill="1" applyBorder="1" applyAlignment="1">
      <alignment wrapText="1"/>
    </xf>
    <xf numFmtId="0" fontId="161" fillId="36" borderId="56" xfId="4" applyFont="1" applyFill="1" applyBorder="1"/>
    <xf numFmtId="0" fontId="161" fillId="36" borderId="24" xfId="4" applyFont="1" applyFill="1" applyBorder="1"/>
    <xf numFmtId="0" fontId="161" fillId="0" borderId="56" xfId="4" applyFont="1" applyBorder="1"/>
    <xf numFmtId="0" fontId="161" fillId="0" borderId="24" xfId="4" applyFont="1" applyBorder="1"/>
    <xf numFmtId="0" fontId="161" fillId="0" borderId="0" xfId="4" applyBorder="1" applyAlignment="1">
      <alignment horizontal="left" vertical="center" wrapText="1"/>
    </xf>
    <xf numFmtId="0" fontId="161" fillId="0" borderId="0" xfId="4" applyFont="1" applyBorder="1"/>
    <xf numFmtId="0" fontId="161" fillId="39" borderId="34" xfId="4" applyFont="1" applyFill="1" applyBorder="1"/>
    <xf numFmtId="0" fontId="161" fillId="39" borderId="31" xfId="4" applyFont="1" applyFill="1" applyBorder="1"/>
    <xf numFmtId="0" fontId="161" fillId="39" borderId="35" xfId="4" applyFont="1" applyFill="1" applyBorder="1"/>
    <xf numFmtId="0" fontId="170" fillId="0" borderId="0" xfId="4" applyFont="1"/>
    <xf numFmtId="0" fontId="169" fillId="42" borderId="45" xfId="4" applyFont="1" applyFill="1" applyBorder="1" applyAlignment="1">
      <alignment horizontal="center" wrapText="1"/>
    </xf>
    <xf numFmtId="0" fontId="169" fillId="42" borderId="49" xfId="4" applyFont="1" applyFill="1" applyBorder="1" applyAlignment="1">
      <alignment horizontal="center" wrapText="1"/>
    </xf>
    <xf numFmtId="0" fontId="170" fillId="42" borderId="64" xfId="4" applyFont="1" applyFill="1" applyBorder="1" applyAlignment="1">
      <alignment wrapText="1"/>
    </xf>
    <xf numFmtId="0" fontId="161" fillId="39" borderId="64" xfId="4" applyFont="1" applyFill="1" applyBorder="1"/>
    <xf numFmtId="0" fontId="169" fillId="0" borderId="0" xfId="4" applyFont="1" applyBorder="1" applyAlignment="1">
      <alignment horizontal="left" vertical="center" wrapText="1"/>
    </xf>
    <xf numFmtId="0" fontId="168" fillId="0" borderId="0" xfId="4" applyFont="1" applyBorder="1"/>
    <xf numFmtId="0" fontId="166" fillId="43" borderId="0" xfId="4" applyFont="1" applyFill="1"/>
    <xf numFmtId="0" fontId="161" fillId="43" borderId="0" xfId="4" applyFill="1"/>
    <xf numFmtId="0" fontId="169" fillId="0" borderId="0" xfId="4" applyFont="1" applyBorder="1" applyAlignment="1">
      <alignment horizontal="left"/>
    </xf>
    <xf numFmtId="0" fontId="170" fillId="43" borderId="53" xfId="4" applyFont="1" applyFill="1" applyBorder="1" applyAlignment="1">
      <alignment wrapText="1"/>
    </xf>
    <xf numFmtId="0" fontId="105" fillId="43" borderId="53" xfId="4" applyFont="1" applyFill="1" applyBorder="1" applyAlignment="1">
      <alignment wrapText="1"/>
    </xf>
    <xf numFmtId="0" fontId="170" fillId="43" borderId="52" xfId="4" applyFont="1" applyFill="1" applyBorder="1" applyAlignment="1">
      <alignment wrapText="1"/>
    </xf>
    <xf numFmtId="0" fontId="170" fillId="43" borderId="49" xfId="4" applyFont="1" applyFill="1" applyBorder="1" applyAlignment="1">
      <alignment wrapText="1"/>
    </xf>
    <xf numFmtId="0" fontId="169" fillId="43" borderId="53" xfId="4" applyFont="1" applyFill="1" applyBorder="1" applyAlignment="1">
      <alignment wrapText="1"/>
    </xf>
    <xf numFmtId="0" fontId="172" fillId="43" borderId="49" xfId="4" applyFont="1" applyFill="1" applyBorder="1" applyAlignment="1">
      <alignment wrapText="1"/>
    </xf>
    <xf numFmtId="0" fontId="169" fillId="43" borderId="70" xfId="4" applyFont="1" applyFill="1" applyBorder="1" applyAlignment="1">
      <alignment wrapText="1"/>
    </xf>
    <xf numFmtId="0" fontId="161" fillId="39" borderId="19" xfId="4" applyFont="1" applyFill="1" applyBorder="1"/>
    <xf numFmtId="0" fontId="161" fillId="36" borderId="20" xfId="4" applyFont="1" applyFill="1" applyBorder="1"/>
    <xf numFmtId="0" fontId="161" fillId="36" borderId="61" xfId="4" applyFont="1" applyFill="1" applyBorder="1"/>
    <xf numFmtId="0" fontId="161" fillId="0" borderId="20" xfId="4" applyFont="1" applyBorder="1"/>
    <xf numFmtId="0" fontId="161" fillId="0" borderId="61" xfId="4" applyFont="1" applyBorder="1"/>
    <xf numFmtId="0" fontId="169" fillId="0" borderId="0" xfId="4" applyFont="1"/>
    <xf numFmtId="0" fontId="169" fillId="43" borderId="20" xfId="4" applyFont="1" applyFill="1" applyBorder="1" applyAlignment="1">
      <alignment wrapText="1"/>
    </xf>
    <xf numFmtId="0" fontId="169" fillId="43" borderId="21" xfId="4" applyFont="1" applyFill="1" applyBorder="1" applyAlignment="1">
      <alignment wrapText="1"/>
    </xf>
    <xf numFmtId="0" fontId="169" fillId="43" borderId="22" xfId="4" applyFont="1" applyFill="1" applyBorder="1" applyAlignment="1">
      <alignment wrapText="1"/>
    </xf>
    <xf numFmtId="0" fontId="170" fillId="43" borderId="19" xfId="4" applyFont="1" applyFill="1" applyBorder="1" applyAlignment="1">
      <alignment wrapText="1"/>
    </xf>
    <xf numFmtId="0" fontId="169" fillId="43" borderId="24" xfId="4" applyFont="1" applyFill="1" applyBorder="1" applyAlignment="1">
      <alignment wrapText="1"/>
    </xf>
    <xf numFmtId="0" fontId="161" fillId="36" borderId="64" xfId="4" applyFont="1" applyFill="1" applyBorder="1"/>
    <xf numFmtId="0" fontId="161" fillId="0" borderId="64" xfId="4" applyFont="1" applyBorder="1"/>
    <xf numFmtId="0" fontId="168" fillId="39" borderId="65" xfId="4" applyFont="1" applyFill="1" applyBorder="1" applyAlignment="1">
      <alignment horizontal="right"/>
    </xf>
    <xf numFmtId="0" fontId="161" fillId="39" borderId="30" xfId="4" applyFont="1" applyFill="1" applyBorder="1"/>
    <xf numFmtId="0" fontId="168" fillId="34" borderId="55" xfId="4" applyFont="1" applyFill="1" applyBorder="1" applyAlignment="1">
      <alignment horizontal="right"/>
    </xf>
    <xf numFmtId="0" fontId="161" fillId="34" borderId="40" xfId="4" applyFont="1" applyFill="1" applyBorder="1"/>
    <xf numFmtId="0" fontId="161" fillId="0" borderId="200" xfId="4" applyBorder="1"/>
    <xf numFmtId="0" fontId="102" fillId="43" borderId="37" xfId="4" applyFont="1" applyFill="1" applyBorder="1" applyAlignment="1">
      <alignment horizontal="left" wrapText="1"/>
    </xf>
    <xf numFmtId="0" fontId="100" fillId="43" borderId="15" xfId="4" applyFont="1" applyFill="1" applyBorder="1" applyAlignment="1">
      <alignment horizontal="center" vertical="center" wrapText="1"/>
    </xf>
    <xf numFmtId="0" fontId="168" fillId="43" borderId="75" xfId="4" applyFont="1" applyFill="1" applyBorder="1" applyAlignment="1">
      <alignment horizontal="right"/>
    </xf>
    <xf numFmtId="0" fontId="161" fillId="43" borderId="15" xfId="4" applyFont="1" applyFill="1" applyBorder="1" applyAlignment="1">
      <alignment wrapText="1"/>
    </xf>
    <xf numFmtId="0" fontId="161" fillId="43" borderId="13" xfId="4" applyFont="1" applyFill="1" applyBorder="1" applyAlignment="1">
      <alignment wrapText="1"/>
    </xf>
    <xf numFmtId="0" fontId="161" fillId="43" borderId="16" xfId="4" applyFont="1" applyFill="1" applyBorder="1" applyAlignment="1">
      <alignment wrapText="1"/>
    </xf>
    <xf numFmtId="0" fontId="168" fillId="43" borderId="76" xfId="4" applyFont="1" applyFill="1" applyBorder="1" applyAlignment="1">
      <alignment wrapText="1"/>
    </xf>
    <xf numFmtId="0" fontId="161" fillId="0" borderId="124" xfId="4" applyBorder="1"/>
    <xf numFmtId="0" fontId="168" fillId="36" borderId="20" xfId="4" applyFont="1" applyFill="1" applyBorder="1" applyAlignment="1">
      <alignment horizontal="right"/>
    </xf>
    <xf numFmtId="0" fontId="168" fillId="36" borderId="203" xfId="4" applyFont="1" applyFill="1" applyBorder="1"/>
    <xf numFmtId="0" fontId="161" fillId="36" borderId="79" xfId="4" applyFill="1" applyBorder="1"/>
    <xf numFmtId="0" fontId="168" fillId="34" borderId="20" xfId="4" applyFont="1" applyFill="1" applyBorder="1" applyAlignment="1">
      <alignment horizontal="right"/>
    </xf>
    <xf numFmtId="0" fontId="161" fillId="34" borderId="21" xfId="4" applyFont="1" applyFill="1" applyBorder="1"/>
    <xf numFmtId="0" fontId="161" fillId="34" borderId="24" xfId="4" applyFont="1" applyFill="1" applyBorder="1"/>
    <xf numFmtId="0" fontId="168" fillId="39" borderId="203" xfId="4" applyFont="1" applyFill="1" applyBorder="1"/>
    <xf numFmtId="0" fontId="161" fillId="39" borderId="79" xfId="4" applyFill="1" applyBorder="1"/>
    <xf numFmtId="0" fontId="168" fillId="34" borderId="81" xfId="4" applyFont="1" applyFill="1" applyBorder="1" applyAlignment="1">
      <alignment horizontal="right"/>
    </xf>
    <xf numFmtId="0" fontId="161" fillId="34" borderId="81" xfId="4" applyFont="1" applyFill="1" applyBorder="1"/>
    <xf numFmtId="0" fontId="168" fillId="39" borderId="83" xfId="4" applyFont="1" applyFill="1" applyBorder="1" applyAlignment="1">
      <alignment horizontal="right"/>
    </xf>
    <xf numFmtId="0" fontId="166" fillId="44" borderId="0" xfId="4" applyFont="1" applyFill="1"/>
    <xf numFmtId="0" fontId="161" fillId="44" borderId="0" xfId="4" applyFill="1"/>
    <xf numFmtId="0" fontId="169" fillId="44" borderId="57" xfId="4" applyFont="1" applyFill="1" applyBorder="1" applyAlignment="1">
      <alignment wrapText="1"/>
    </xf>
    <xf numFmtId="0" fontId="169" fillId="44" borderId="53" xfId="4" applyFont="1" applyFill="1" applyBorder="1" applyAlignment="1">
      <alignment wrapText="1"/>
    </xf>
    <xf numFmtId="0" fontId="169" fillId="44" borderId="52" xfId="4" applyFont="1" applyFill="1" applyBorder="1" applyAlignment="1">
      <alignment wrapText="1"/>
    </xf>
    <xf numFmtId="0" fontId="170" fillId="44" borderId="19" xfId="4" applyFont="1" applyFill="1" applyBorder="1" applyAlignment="1">
      <alignment wrapText="1"/>
    </xf>
    <xf numFmtId="0" fontId="170" fillId="44" borderId="70" xfId="4" applyFont="1" applyFill="1" applyBorder="1" applyAlignment="1">
      <alignment wrapText="1"/>
    </xf>
    <xf numFmtId="0" fontId="169" fillId="44" borderId="62" xfId="4" applyFont="1" applyFill="1" applyBorder="1" applyAlignment="1">
      <alignment wrapText="1"/>
    </xf>
    <xf numFmtId="0" fontId="169" fillId="44" borderId="15" xfId="4" applyFont="1" applyFill="1" applyBorder="1" applyAlignment="1">
      <alignment wrapText="1"/>
    </xf>
    <xf numFmtId="0" fontId="169" fillId="44" borderId="16" xfId="4" applyFont="1" applyFill="1" applyBorder="1" applyAlignment="1">
      <alignment wrapText="1"/>
    </xf>
    <xf numFmtId="0" fontId="161" fillId="39" borderId="19" xfId="4" applyFill="1" applyBorder="1"/>
    <xf numFmtId="0" fontId="169" fillId="44" borderId="21" xfId="4" applyFont="1" applyFill="1" applyBorder="1" applyAlignment="1">
      <alignment wrapText="1"/>
    </xf>
    <xf numFmtId="0" fontId="170" fillId="44" borderId="64" xfId="4" applyFont="1" applyFill="1" applyBorder="1" applyAlignment="1">
      <alignment wrapText="1"/>
    </xf>
    <xf numFmtId="0" fontId="169" fillId="44" borderId="20" xfId="4" applyFont="1" applyFill="1" applyBorder="1" applyAlignment="1">
      <alignment wrapText="1"/>
    </xf>
    <xf numFmtId="0" fontId="169" fillId="44" borderId="24" xfId="4" applyFont="1" applyFill="1" applyBorder="1" applyAlignment="1">
      <alignment wrapText="1"/>
    </xf>
    <xf numFmtId="0" fontId="161" fillId="36" borderId="49" xfId="4" applyFont="1" applyFill="1" applyBorder="1"/>
    <xf numFmtId="0" fontId="161" fillId="39" borderId="73" xfId="4" applyFill="1" applyBorder="1"/>
    <xf numFmtId="0" fontId="166" fillId="45" borderId="0" xfId="4" applyFont="1" applyFill="1"/>
    <xf numFmtId="0" fontId="161" fillId="45" borderId="0" xfId="4" applyFill="1"/>
    <xf numFmtId="0" fontId="168" fillId="45" borderId="0" xfId="4" applyFont="1" applyFill="1"/>
    <xf numFmtId="0" fontId="167" fillId="45" borderId="9" xfId="4" applyFont="1" applyFill="1" applyBorder="1" applyAlignment="1">
      <alignment wrapText="1"/>
    </xf>
    <xf numFmtId="0" fontId="167" fillId="45" borderId="15" xfId="4" applyFont="1" applyFill="1" applyBorder="1" applyAlignment="1">
      <alignment horizontal="center" wrapText="1"/>
    </xf>
    <xf numFmtId="0" fontId="169" fillId="45" borderId="11" xfId="4" applyFont="1" applyFill="1" applyBorder="1" applyAlignment="1">
      <alignment wrapText="1"/>
    </xf>
    <xf numFmtId="0" fontId="169" fillId="45" borderId="39" xfId="4" applyFont="1" applyFill="1" applyBorder="1" applyAlignment="1">
      <alignment wrapText="1"/>
    </xf>
    <xf numFmtId="0" fontId="169" fillId="45" borderId="15" xfId="4" applyFont="1" applyFill="1" applyBorder="1" applyAlignment="1">
      <alignment wrapText="1"/>
    </xf>
    <xf numFmtId="0" fontId="169" fillId="45" borderId="13" xfId="4" applyFont="1" applyFill="1" applyBorder="1" applyAlignment="1">
      <alignment wrapText="1"/>
    </xf>
    <xf numFmtId="0" fontId="169" fillId="45" borderId="85" xfId="4" applyFont="1" applyFill="1" applyBorder="1" applyAlignment="1">
      <alignment wrapText="1"/>
    </xf>
    <xf numFmtId="0" fontId="169" fillId="45" borderId="86" xfId="4" applyFont="1" applyFill="1" applyBorder="1" applyAlignment="1">
      <alignment wrapText="1"/>
    </xf>
    <xf numFmtId="0" fontId="169" fillId="45" borderId="16" xfId="4" applyFont="1" applyFill="1" applyBorder="1" applyAlignment="1">
      <alignment wrapText="1"/>
    </xf>
    <xf numFmtId="0" fontId="161" fillId="36" borderId="87" xfId="4" applyFill="1" applyBorder="1"/>
    <xf numFmtId="0" fontId="161" fillId="36" borderId="88" xfId="4" applyFill="1" applyBorder="1"/>
    <xf numFmtId="0" fontId="161" fillId="36" borderId="89" xfId="4" applyFill="1" applyBorder="1"/>
    <xf numFmtId="0" fontId="161" fillId="0" borderId="87" xfId="4" applyBorder="1"/>
    <xf numFmtId="0" fontId="161" fillId="0" borderId="88" xfId="4" applyBorder="1"/>
    <xf numFmtId="0" fontId="161" fillId="0" borderId="89" xfId="4" applyBorder="1"/>
    <xf numFmtId="0" fontId="161" fillId="0" borderId="42" xfId="4" applyBorder="1"/>
    <xf numFmtId="0" fontId="161" fillId="0" borderId="48" xfId="4" applyBorder="1"/>
    <xf numFmtId="0" fontId="161" fillId="0" borderId="90" xfId="4" applyBorder="1"/>
    <xf numFmtId="0" fontId="161" fillId="0" borderId="81" xfId="4" applyBorder="1"/>
    <xf numFmtId="0" fontId="161" fillId="0" borderId="91" xfId="4" applyBorder="1"/>
    <xf numFmtId="0" fontId="161" fillId="0" borderId="92" xfId="4" applyBorder="1"/>
    <xf numFmtId="0" fontId="161" fillId="0" borderId="93" xfId="4" applyBorder="1"/>
    <xf numFmtId="0" fontId="167" fillId="42" borderId="9" xfId="4" applyFont="1" applyFill="1" applyBorder="1" applyAlignment="1">
      <alignment horizontal="left" vertical="center" wrapText="1"/>
    </xf>
    <xf numFmtId="0" fontId="100" fillId="42" borderId="15" xfId="4" applyFont="1" applyFill="1" applyBorder="1" applyAlignment="1">
      <alignment wrapText="1"/>
    </xf>
    <xf numFmtId="0" fontId="169" fillId="42" borderId="11" xfId="4" applyFont="1" applyFill="1" applyBorder="1" applyAlignment="1">
      <alignment wrapText="1"/>
    </xf>
    <xf numFmtId="0" fontId="169" fillId="42" borderId="15" xfId="4" applyFont="1" applyFill="1" applyBorder="1" applyAlignment="1">
      <alignment wrapText="1"/>
    </xf>
    <xf numFmtId="0" fontId="169" fillId="42" borderId="16" xfId="4" applyFont="1" applyFill="1" applyBorder="1" applyAlignment="1">
      <alignment wrapText="1"/>
    </xf>
    <xf numFmtId="4" fontId="161" fillId="0" borderId="21" xfId="4" applyNumberFormat="1" applyFont="1" applyBorder="1"/>
    <xf numFmtId="4" fontId="161" fillId="0" borderId="0" xfId="4" applyNumberFormat="1"/>
    <xf numFmtId="4" fontId="161" fillId="0" borderId="21" xfId="4" applyNumberFormat="1" applyBorder="1"/>
    <xf numFmtId="0" fontId="161" fillId="0" borderId="192" xfId="4" applyBorder="1"/>
    <xf numFmtId="0" fontId="168" fillId="37" borderId="31" xfId="4" applyFont="1" applyFill="1" applyBorder="1" applyAlignment="1">
      <alignment horizontal="right"/>
    </xf>
    <xf numFmtId="4" fontId="168" fillId="37" borderId="31" xfId="4" applyNumberFormat="1" applyFont="1" applyFill="1" applyBorder="1" applyAlignment="1">
      <alignment horizontal="right"/>
    </xf>
    <xf numFmtId="0" fontId="168" fillId="37" borderId="35" xfId="4" applyFont="1" applyFill="1" applyBorder="1" applyAlignment="1">
      <alignment horizontal="right"/>
    </xf>
    <xf numFmtId="4" fontId="161" fillId="34" borderId="0" xfId="4" applyNumberFormat="1" applyFont="1" applyFill="1" applyBorder="1"/>
    <xf numFmtId="0" fontId="23" fillId="11" borderId="49" xfId="0" applyFont="1" applyFill="1" applyBorder="1" applyAlignment="1">
      <alignment horizontal="center" wrapText="1"/>
    </xf>
    <xf numFmtId="0" fontId="0" fillId="0" borderId="124" xfId="0" applyBorder="1"/>
    <xf numFmtId="0" fontId="0" fillId="0" borderId="42" xfId="0" applyBorder="1"/>
    <xf numFmtId="0" fontId="0" fillId="0" borderId="0" xfId="0" applyAlignment="1">
      <alignment wrapText="1"/>
    </xf>
    <xf numFmtId="0" fontId="5" fillId="2" borderId="215" xfId="0" applyFont="1" applyFill="1" applyBorder="1" applyAlignment="1">
      <alignment horizontal="centerContinuous"/>
    </xf>
    <xf numFmtId="0" fontId="0" fillId="2" borderId="216" xfId="0" applyFill="1" applyBorder="1" applyAlignment="1">
      <alignment horizontal="centerContinuous"/>
    </xf>
    <xf numFmtId="0" fontId="12" fillId="3" borderId="221" xfId="0" applyFont="1" applyFill="1" applyBorder="1" applyAlignment="1">
      <alignment wrapText="1"/>
    </xf>
    <xf numFmtId="0" fontId="12" fillId="3" borderId="222" xfId="0" applyFont="1" applyFill="1" applyBorder="1" applyAlignment="1">
      <alignment wrapText="1"/>
    </xf>
    <xf numFmtId="0" fontId="12" fillId="6" borderId="221" xfId="0" applyFont="1" applyFill="1" applyBorder="1"/>
    <xf numFmtId="0" fontId="12" fillId="6" borderId="222" xfId="0" applyFont="1" applyFill="1" applyBorder="1" applyAlignment="1">
      <alignment horizontal="center" wrapText="1"/>
    </xf>
    <xf numFmtId="0" fontId="15" fillId="0" borderId="226" xfId="0" applyFont="1" applyFill="1" applyBorder="1" applyAlignment="1">
      <alignment horizontal="left" vertical="center" wrapText="1"/>
    </xf>
    <xf numFmtId="0" fontId="12" fillId="6" borderId="222" xfId="0" applyFont="1" applyFill="1" applyBorder="1" applyAlignment="1">
      <alignment wrapText="1"/>
    </xf>
    <xf numFmtId="0" fontId="23" fillId="6" borderId="223" xfId="0" applyFont="1" applyFill="1" applyBorder="1" applyAlignment="1">
      <alignment horizontal="centerContinuous" wrapText="1"/>
    </xf>
    <xf numFmtId="0" fontId="23" fillId="6" borderId="225" xfId="0" applyFont="1" applyFill="1" applyBorder="1" applyAlignment="1">
      <alignment horizontal="centerContinuous" wrapText="1"/>
    </xf>
    <xf numFmtId="0" fontId="12" fillId="9" borderId="221" xfId="0" applyFont="1" applyFill="1" applyBorder="1" applyAlignment="1">
      <alignment wrapText="1"/>
    </xf>
    <xf numFmtId="0" fontId="32" fillId="9" borderId="222" xfId="0" applyFont="1" applyFill="1" applyBorder="1" applyAlignment="1">
      <alignment horizontal="center" wrapText="1"/>
    </xf>
    <xf numFmtId="0" fontId="24" fillId="11" borderId="223" xfId="0" applyFont="1" applyFill="1" applyBorder="1" applyAlignment="1">
      <alignment horizontal="centerContinuous" wrapText="1"/>
    </xf>
    <xf numFmtId="0" fontId="24" fillId="11" borderId="225" xfId="0" applyFont="1" applyFill="1" applyBorder="1" applyAlignment="1">
      <alignment horizontal="centerContinuous" wrapText="1"/>
    </xf>
    <xf numFmtId="0" fontId="23" fillId="11" borderId="228" xfId="0" applyFont="1" applyFill="1" applyBorder="1" applyAlignment="1">
      <alignment horizontal="center" wrapText="1"/>
    </xf>
    <xf numFmtId="0" fontId="23" fillId="11" borderId="223" xfId="0" applyFont="1" applyFill="1" applyBorder="1" applyAlignment="1">
      <alignment horizontal="centerContinuous" wrapText="1"/>
    </xf>
    <xf numFmtId="0" fontId="23" fillId="12" borderId="229" xfId="0" applyFont="1" applyFill="1" applyBorder="1" applyAlignment="1">
      <alignment horizontal="centerContinuous" wrapText="1"/>
    </xf>
    <xf numFmtId="0" fontId="23" fillId="12" borderId="230" xfId="0" applyFont="1" applyFill="1" applyBorder="1" applyAlignment="1">
      <alignment horizontal="centerContinuous" wrapText="1"/>
    </xf>
    <xf numFmtId="0" fontId="23" fillId="12" borderId="231" xfId="0" applyFont="1" applyFill="1" applyBorder="1" applyAlignment="1">
      <alignment horizontal="centerContinuous" wrapText="1"/>
    </xf>
    <xf numFmtId="0" fontId="23" fillId="12" borderId="223" xfId="0" applyFont="1" applyFill="1" applyBorder="1" applyAlignment="1">
      <alignment horizontal="centerContinuous" wrapText="1"/>
    </xf>
    <xf numFmtId="0" fontId="23" fillId="12" borderId="234" xfId="0" applyFont="1" applyFill="1" applyBorder="1" applyAlignment="1">
      <alignment horizontal="centerContinuous" wrapText="1"/>
    </xf>
    <xf numFmtId="0" fontId="23" fillId="12" borderId="225" xfId="0" applyFont="1" applyFill="1" applyBorder="1" applyAlignment="1">
      <alignment horizontal="centerContinuous" wrapText="1"/>
    </xf>
    <xf numFmtId="0" fontId="0" fillId="7" borderId="226" xfId="0" applyFont="1" applyFill="1" applyBorder="1"/>
    <xf numFmtId="0" fontId="0" fillId="0" borderId="235" xfId="0" applyBorder="1"/>
    <xf numFmtId="0" fontId="0" fillId="12" borderId="223" xfId="0" applyFont="1" applyFill="1" applyBorder="1" applyAlignment="1">
      <alignment wrapText="1"/>
    </xf>
    <xf numFmtId="0" fontId="23" fillId="13" borderId="223" xfId="0" applyFont="1" applyFill="1" applyBorder="1" applyAlignment="1">
      <alignment horizontal="centerContinuous" wrapText="1"/>
    </xf>
    <xf numFmtId="0" fontId="23" fillId="13" borderId="234" xfId="0" applyFont="1" applyFill="1" applyBorder="1" applyAlignment="1">
      <alignment horizontal="centerContinuous" wrapText="1"/>
    </xf>
    <xf numFmtId="0" fontId="12" fillId="15" borderId="221" xfId="0" applyFont="1" applyFill="1" applyBorder="1" applyAlignment="1">
      <alignment wrapText="1"/>
    </xf>
    <xf numFmtId="0" fontId="15" fillId="15" borderId="223" xfId="0" applyFont="1" applyFill="1" applyBorder="1" applyAlignment="1">
      <alignment wrapText="1"/>
    </xf>
    <xf numFmtId="0" fontId="12" fillId="11" borderId="221" xfId="0" applyFont="1" applyFill="1" applyBorder="1" applyAlignment="1">
      <alignment horizontal="left" vertical="center" wrapText="1"/>
    </xf>
    <xf numFmtId="0" fontId="0" fillId="0" borderId="224" xfId="0" applyBorder="1"/>
    <xf numFmtId="0" fontId="0" fillId="18" borderId="22" xfId="0" applyFill="1" applyBorder="1"/>
    <xf numFmtId="165" fontId="21" fillId="0" borderId="21" xfId="0" applyNumberFormat="1" applyFont="1" applyBorder="1" applyAlignment="1">
      <alignment horizontal="right" vertical="center"/>
    </xf>
    <xf numFmtId="166" fontId="173" fillId="0" borderId="154" xfId="2" applyFont="1" applyBorder="1"/>
    <xf numFmtId="166" fontId="173" fillId="25" borderId="154" xfId="2" applyFont="1" applyFill="1" applyBorder="1"/>
    <xf numFmtId="0" fontId="0" fillId="8" borderId="55" xfId="0" applyFill="1" applyBorder="1"/>
    <xf numFmtId="2" fontId="21" fillId="0" borderId="21" xfId="0" applyNumberFormat="1" applyFont="1" applyFill="1" applyBorder="1"/>
    <xf numFmtId="4" fontId="21" fillId="0" borderId="145" xfId="0" applyNumberFormat="1" applyFont="1" applyFill="1" applyBorder="1"/>
    <xf numFmtId="166" fontId="110" fillId="0" borderId="150" xfId="2" applyFont="1" applyBorder="1"/>
    <xf numFmtId="166" fontId="110" fillId="25" borderId="154" xfId="2" applyFont="1" applyFill="1" applyBorder="1"/>
    <xf numFmtId="166" fontId="109" fillId="21" borderId="152" xfId="2" applyFont="1" applyFill="1" applyBorder="1"/>
    <xf numFmtId="166" fontId="109" fillId="19" borderId="152" xfId="2" applyFont="1" applyFill="1" applyBorder="1"/>
    <xf numFmtId="166" fontId="94" fillId="31" borderId="150" xfId="2" applyFont="1" applyFill="1" applyBorder="1" applyAlignment="1">
      <alignment wrapText="1"/>
    </xf>
    <xf numFmtId="166" fontId="109" fillId="25" borderId="159" xfId="2" applyFont="1" applyFill="1" applyBorder="1"/>
    <xf numFmtId="166" fontId="94" fillId="21" borderId="145" xfId="2" applyFont="1" applyFill="1" applyBorder="1"/>
    <xf numFmtId="166" fontId="94" fillId="25" borderId="145" xfId="2" applyFont="1" applyFill="1" applyBorder="1"/>
    <xf numFmtId="0" fontId="0" fillId="0" borderId="113" xfId="0" applyBorder="1"/>
    <xf numFmtId="0" fontId="0" fillId="2" borderId="236" xfId="0" applyFill="1" applyBorder="1"/>
    <xf numFmtId="0" fontId="0" fillId="0" borderId="52" xfId="0" applyBorder="1"/>
    <xf numFmtId="0" fontId="174" fillId="0" borderId="0" xfId="0" applyFont="1"/>
    <xf numFmtId="0" fontId="175" fillId="0" borderId="0" xfId="0" applyFont="1"/>
    <xf numFmtId="0" fontId="24" fillId="6" borderId="46" xfId="0" applyFont="1" applyFill="1" applyBorder="1" applyAlignment="1">
      <alignment horizontal="center" wrapText="1"/>
    </xf>
    <xf numFmtId="0" fontId="24" fillId="6" borderId="50" xfId="0" applyFont="1" applyFill="1" applyBorder="1" applyAlignment="1">
      <alignment horizontal="center" wrapText="1"/>
    </xf>
    <xf numFmtId="0" fontId="2" fillId="0" borderId="0" xfId="0" applyFont="1" applyAlignment="1"/>
    <xf numFmtId="0" fontId="3" fillId="0" borderId="0" xfId="0" applyFont="1" applyAlignment="1"/>
    <xf numFmtId="0" fontId="0" fillId="2" borderId="102" xfId="0" applyFill="1" applyBorder="1" applyAlignment="1">
      <alignment horizontal="center"/>
    </xf>
    <xf numFmtId="0" fontId="0" fillId="2" borderId="103" xfId="0" applyFill="1" applyBorder="1" applyAlignment="1">
      <alignment horizontal="center"/>
    </xf>
    <xf numFmtId="0" fontId="6" fillId="2" borderId="12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46" fillId="3" borderId="12" xfId="0" applyFont="1" applyFill="1" applyBorder="1" applyAlignment="1">
      <alignment horizontal="center" wrapText="1"/>
    </xf>
    <xf numFmtId="0" fontId="46" fillId="3" borderId="13" xfId="0" applyFont="1" applyFill="1" applyBorder="1" applyAlignment="1">
      <alignment horizontal="center" wrapText="1"/>
    </xf>
    <xf numFmtId="0" fontId="85" fillId="7" borderId="124"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85" fillId="7" borderId="27" xfId="0" applyFont="1" applyFill="1" applyBorder="1" applyAlignment="1">
      <alignment horizontal="center" vertical="center" wrapText="1"/>
    </xf>
    <xf numFmtId="0" fontId="47" fillId="7" borderId="28" xfId="0" applyFont="1" applyFill="1" applyBorder="1" applyAlignment="1">
      <alignment horizontal="center" vertical="center" wrapText="1"/>
    </xf>
    <xf numFmtId="0" fontId="13" fillId="3" borderId="37" xfId="0" applyFont="1" applyFill="1" applyBorder="1" applyAlignment="1">
      <alignment horizontal="center" wrapText="1"/>
    </xf>
    <xf numFmtId="0" fontId="13" fillId="3" borderId="13" xfId="0" applyFont="1" applyFill="1" applyBorder="1" applyAlignment="1">
      <alignment horizontal="center" wrapText="1"/>
    </xf>
    <xf numFmtId="0" fontId="13" fillId="3" borderId="38" xfId="0" applyFont="1" applyFill="1" applyBorder="1" applyAlignment="1">
      <alignment horizontal="center" wrapText="1"/>
    </xf>
    <xf numFmtId="0" fontId="30" fillId="7" borderId="124" xfId="0" applyFont="1" applyFill="1" applyBorder="1" applyAlignment="1">
      <alignment horizontal="left" vertical="center" wrapText="1"/>
    </xf>
    <xf numFmtId="0" fontId="52" fillId="7" borderId="26" xfId="0" applyFont="1" applyFill="1" applyBorder="1" applyAlignment="1">
      <alignment vertical="center" wrapText="1"/>
    </xf>
    <xf numFmtId="0" fontId="30" fillId="7" borderId="27" xfId="0" applyFont="1" applyFill="1" applyBorder="1" applyAlignment="1">
      <alignment horizontal="left" vertical="center" wrapText="1"/>
    </xf>
    <xf numFmtId="0" fontId="52" fillId="7" borderId="28" xfId="0" applyFont="1" applyFill="1" applyBorder="1" applyAlignment="1">
      <alignment vertical="center" wrapText="1"/>
    </xf>
    <xf numFmtId="0" fontId="18" fillId="7" borderId="124" xfId="0" applyFont="1" applyFill="1" applyBorder="1" applyAlignment="1">
      <alignment horizontal="left" vertical="center" wrapText="1"/>
    </xf>
    <xf numFmtId="0" fontId="0" fillId="7" borderId="26" xfId="0" applyFill="1" applyBorder="1" applyAlignment="1">
      <alignment vertical="center" wrapText="1"/>
    </xf>
    <xf numFmtId="0" fontId="15" fillId="7" borderId="124" xfId="0" applyFont="1" applyFill="1" applyBorder="1" applyAlignment="1">
      <alignment horizontal="left" vertical="center" wrapText="1"/>
    </xf>
    <xf numFmtId="0" fontId="15" fillId="7" borderId="27" xfId="0" applyFont="1" applyFill="1" applyBorder="1" applyAlignment="1">
      <alignment horizontal="left" vertical="center" wrapText="1"/>
    </xf>
    <xf numFmtId="0" fontId="0" fillId="7" borderId="28" xfId="0" applyFill="1" applyBorder="1" applyAlignment="1">
      <alignment vertical="center" wrapText="1"/>
    </xf>
    <xf numFmtId="0" fontId="18" fillId="0" borderId="41" xfId="0" applyFont="1" applyBorder="1" applyAlignment="1">
      <alignment horizontal="left" vertical="center" wrapText="1"/>
    </xf>
    <xf numFmtId="0" fontId="0" fillId="0" borderId="42" xfId="0" applyBorder="1" applyAlignment="1">
      <alignment wrapText="1"/>
    </xf>
    <xf numFmtId="0" fontId="18" fillId="0" borderId="124" xfId="0" applyFont="1" applyBorder="1" applyAlignment="1">
      <alignment horizontal="left" vertical="center" wrapText="1"/>
    </xf>
    <xf numFmtId="0" fontId="0" fillId="0" borderId="26" xfId="0" applyBorder="1" applyAlignment="1">
      <alignment wrapText="1"/>
    </xf>
    <xf numFmtId="0" fontId="18" fillId="0" borderId="27" xfId="0" applyFont="1" applyBorder="1" applyAlignment="1">
      <alignment horizontal="left" vertical="center" wrapText="1"/>
    </xf>
    <xf numFmtId="0" fontId="0" fillId="0" borderId="28" xfId="0" applyBorder="1" applyAlignment="1">
      <alignment wrapText="1"/>
    </xf>
    <xf numFmtId="0" fontId="22" fillId="6" borderId="106" xfId="0" applyFont="1" applyFill="1" applyBorder="1" applyAlignment="1">
      <alignment horizontal="left"/>
    </xf>
    <xf numFmtId="0" fontId="22" fillId="6" borderId="95" xfId="0" applyFont="1" applyFill="1" applyBorder="1" applyAlignment="1">
      <alignment horizontal="left"/>
    </xf>
    <xf numFmtId="0" fontId="23" fillId="6" borderId="107" xfId="0" applyFont="1" applyFill="1" applyBorder="1" applyAlignment="1">
      <alignment horizontal="left" wrapText="1"/>
    </xf>
    <xf numFmtId="0" fontId="23" fillId="6" borderId="49" xfId="0" applyFont="1" applyFill="1" applyBorder="1" applyAlignment="1">
      <alignment horizontal="left" wrapText="1"/>
    </xf>
    <xf numFmtId="0" fontId="26" fillId="7" borderId="124" xfId="0" applyFont="1" applyFill="1" applyBorder="1" applyAlignment="1">
      <alignment horizontal="left" vertical="center" wrapText="1"/>
    </xf>
    <xf numFmtId="0" fontId="0" fillId="7" borderId="26" xfId="0" applyFill="1" applyBorder="1" applyAlignment="1"/>
    <xf numFmtId="0" fontId="23" fillId="7" borderId="124" xfId="0" applyFont="1" applyFill="1" applyBorder="1" applyAlignment="1">
      <alignment horizontal="left" vertical="center" wrapText="1"/>
    </xf>
    <xf numFmtId="0" fontId="0" fillId="7" borderId="27" xfId="0" applyFill="1" applyBorder="1" applyAlignment="1"/>
    <xf numFmtId="0" fontId="0" fillId="7" borderId="28" xfId="0" applyFill="1" applyBorder="1" applyAlignment="1"/>
    <xf numFmtId="0" fontId="33" fillId="0" borderId="124" xfId="0" applyFont="1" applyBorder="1" applyAlignment="1">
      <alignment horizontal="left" vertical="center" wrapText="1"/>
    </xf>
    <xf numFmtId="0" fontId="0" fillId="0" borderId="26" xfId="0" applyBorder="1" applyAlignment="1"/>
    <xf numFmtId="0" fontId="30" fillId="0" borderId="124" xfId="0" applyFont="1" applyBorder="1" applyAlignment="1">
      <alignment horizontal="left" vertical="center" wrapText="1"/>
    </xf>
    <xf numFmtId="0" fontId="30" fillId="0" borderId="27" xfId="0" applyFont="1" applyBorder="1" applyAlignment="1"/>
    <xf numFmtId="0" fontId="0" fillId="0" borderId="28" xfId="0" applyBorder="1" applyAlignment="1"/>
    <xf numFmtId="0" fontId="22" fillId="11" borderId="106" xfId="0" applyFont="1" applyFill="1" applyBorder="1" applyAlignment="1">
      <alignment horizontal="left" wrapText="1"/>
    </xf>
    <xf numFmtId="0" fontId="22" fillId="11" borderId="95" xfId="0" applyFont="1" applyFill="1" applyBorder="1" applyAlignment="1">
      <alignment horizontal="left" wrapText="1"/>
    </xf>
    <xf numFmtId="0" fontId="32" fillId="11" borderId="105" xfId="0" applyFont="1" applyFill="1" applyBorder="1" applyAlignment="1">
      <alignment horizontal="center" wrapText="1"/>
    </xf>
    <xf numFmtId="0" fontId="12" fillId="11" borderId="18" xfId="0" applyFont="1" applyFill="1" applyBorder="1" applyAlignment="1">
      <alignment horizontal="center" wrapText="1"/>
    </xf>
    <xf numFmtId="0" fontId="26" fillId="0" borderId="124" xfId="0" applyFont="1" applyBorder="1" applyAlignment="1">
      <alignment horizontal="left" vertical="center" wrapText="1"/>
    </xf>
    <xf numFmtId="0" fontId="23" fillId="0" borderId="124" xfId="0" applyFont="1" applyBorder="1" applyAlignment="1">
      <alignment horizontal="left" vertical="center" wrapText="1"/>
    </xf>
    <xf numFmtId="0" fontId="23" fillId="0" borderId="27" xfId="0" applyFont="1" applyBorder="1" applyAlignment="1"/>
    <xf numFmtId="0" fontId="23" fillId="11" borderId="12" xfId="0" applyFont="1" applyFill="1" applyBorder="1" applyAlignment="1">
      <alignment horizontal="center" wrapText="1"/>
    </xf>
    <xf numFmtId="0" fontId="23" fillId="11" borderId="57" xfId="0" applyFont="1" applyFill="1" applyBorder="1" applyAlignment="1">
      <alignment horizontal="center" wrapText="1"/>
    </xf>
    <xf numFmtId="0" fontId="85" fillId="7" borderId="18" xfId="0" applyFont="1" applyFill="1" applyBorder="1" applyAlignment="1">
      <alignment horizontal="center" vertical="center" wrapText="1"/>
    </xf>
    <xf numFmtId="0" fontId="47" fillId="7" borderId="18" xfId="0" applyFont="1" applyFill="1" applyBorder="1" applyAlignment="1">
      <alignment horizontal="center"/>
    </xf>
    <xf numFmtId="0" fontId="47" fillId="7" borderId="98" xfId="0" applyFont="1" applyFill="1" applyBorder="1" applyAlignment="1">
      <alignment horizontal="center"/>
    </xf>
    <xf numFmtId="0" fontId="15" fillId="7" borderId="18" xfId="0" applyFont="1" applyFill="1" applyBorder="1" applyAlignment="1">
      <alignment horizontal="center" vertical="center" wrapText="1"/>
    </xf>
    <xf numFmtId="0" fontId="0" fillId="7" borderId="18" xfId="0" applyFill="1" applyBorder="1" applyAlignment="1">
      <alignment horizontal="center"/>
    </xf>
    <xf numFmtId="0" fontId="0" fillId="7" borderId="98" xfId="0" applyFill="1" applyBorder="1" applyAlignment="1">
      <alignment horizontal="center"/>
    </xf>
    <xf numFmtId="0" fontId="23" fillId="11" borderId="107" xfId="0" applyFont="1" applyFill="1" applyBorder="1" applyAlignment="1">
      <alignment horizontal="center" wrapText="1"/>
    </xf>
    <xf numFmtId="0" fontId="23" fillId="11" borderId="49" xfId="0" applyFont="1" applyFill="1" applyBorder="1" applyAlignment="1">
      <alignment horizontal="center" wrapText="1"/>
    </xf>
    <xf numFmtId="0" fontId="23" fillId="11" borderId="46" xfId="0" applyFont="1" applyFill="1" applyBorder="1" applyAlignment="1">
      <alignment horizontal="center" wrapText="1"/>
    </xf>
    <xf numFmtId="0" fontId="23" fillId="11" borderId="50" xfId="0" applyFont="1" applyFill="1" applyBorder="1" applyAlignment="1">
      <alignment horizontal="center" wrapText="1"/>
    </xf>
    <xf numFmtId="0" fontId="26" fillId="0" borderId="124" xfId="0" applyFont="1" applyBorder="1" applyAlignment="1">
      <alignment horizontal="center" vertical="center" wrapText="1"/>
    </xf>
    <xf numFmtId="0" fontId="0" fillId="0" borderId="26" xfId="0" applyBorder="1" applyAlignment="1">
      <alignment horizontal="center"/>
    </xf>
    <xf numFmtId="0" fontId="23" fillId="0" borderId="124" xfId="0" applyFont="1" applyBorder="1" applyAlignment="1">
      <alignment horizontal="center" vertical="center" wrapText="1"/>
    </xf>
    <xf numFmtId="0" fontId="23" fillId="0" borderId="27" xfId="0" applyFont="1" applyBorder="1" applyAlignment="1">
      <alignment horizontal="center"/>
    </xf>
    <xf numFmtId="0" fontId="0" fillId="0" borderId="28" xfId="0" applyBorder="1" applyAlignment="1">
      <alignment horizontal="center"/>
    </xf>
    <xf numFmtId="0" fontId="23" fillId="0" borderId="27" xfId="0" applyFont="1" applyBorder="1" applyAlignment="1">
      <alignment horizontal="left"/>
    </xf>
    <xf numFmtId="0" fontId="0" fillId="0" borderId="26" xfId="0" applyBorder="1" applyAlignment="1">
      <alignment vertical="center" wrapText="1"/>
    </xf>
    <xf numFmtId="0" fontId="15" fillId="0" borderId="124" xfId="0" applyFont="1" applyBorder="1" applyAlignment="1">
      <alignment horizontal="left" vertical="center" wrapText="1"/>
    </xf>
    <xf numFmtId="0" fontId="15" fillId="0" borderId="27" xfId="0" applyFont="1" applyBorder="1" applyAlignment="1">
      <alignment horizontal="left" vertical="center" wrapText="1"/>
    </xf>
    <xf numFmtId="0" fontId="0" fillId="0" borderId="28" xfId="0" applyBorder="1" applyAlignment="1">
      <alignment vertical="center" wrapText="1"/>
    </xf>
    <xf numFmtId="0" fontId="22" fillId="12" borderId="106" xfId="0" applyFont="1" applyFill="1" applyBorder="1" applyAlignment="1">
      <alignment horizontal="left" wrapText="1"/>
    </xf>
    <xf numFmtId="0" fontId="22" fillId="12" borderId="95" xfId="0" applyFont="1" applyFill="1" applyBorder="1" applyAlignment="1">
      <alignment horizontal="left" wrapText="1"/>
    </xf>
    <xf numFmtId="0" fontId="32" fillId="12" borderId="105" xfId="0" applyFont="1" applyFill="1" applyBorder="1" applyAlignment="1">
      <alignment horizontal="center" wrapText="1"/>
    </xf>
    <xf numFmtId="0" fontId="32" fillId="12" borderId="18" xfId="0" applyFont="1" applyFill="1" applyBorder="1" applyAlignment="1">
      <alignment horizontal="center" wrapText="1"/>
    </xf>
    <xf numFmtId="0" fontId="23" fillId="12" borderId="108" xfId="0" applyFont="1" applyFill="1" applyBorder="1" applyAlignment="1">
      <alignment horizontal="center" wrapText="1"/>
    </xf>
    <xf numFmtId="0" fontId="23" fillId="12" borderId="109" xfId="0" applyFont="1" applyFill="1" applyBorder="1" applyAlignment="1">
      <alignment horizontal="center" wrapText="1"/>
    </xf>
    <xf numFmtId="0" fontId="23" fillId="12" borderId="111" xfId="0" applyFont="1" applyFill="1" applyBorder="1" applyAlignment="1">
      <alignment horizontal="center" wrapText="1"/>
    </xf>
    <xf numFmtId="0" fontId="22" fillId="12" borderId="104" xfId="0" applyFont="1" applyFill="1" applyBorder="1" applyAlignment="1">
      <alignment horizontal="left" wrapText="1"/>
    </xf>
    <xf numFmtId="0" fontId="22" fillId="12" borderId="124" xfId="0" applyFont="1" applyFill="1" applyBorder="1" applyAlignment="1">
      <alignment horizontal="left" wrapText="1"/>
    </xf>
    <xf numFmtId="0" fontId="23" fillId="12" borderId="112" xfId="0" applyFont="1" applyFill="1" applyBorder="1" applyAlignment="1">
      <alignment horizontal="center" wrapText="1"/>
    </xf>
    <xf numFmtId="0" fontId="23" fillId="12" borderId="73" xfId="0" applyFont="1" applyFill="1" applyBorder="1" applyAlignment="1">
      <alignment horizontal="center" wrapText="1"/>
    </xf>
    <xf numFmtId="0" fontId="23" fillId="12" borderId="107" xfId="0" applyFont="1" applyFill="1" applyBorder="1" applyAlignment="1">
      <alignment horizontal="center" wrapText="1"/>
    </xf>
    <xf numFmtId="0" fontId="23" fillId="12" borderId="49" xfId="0" applyFont="1" applyFill="1" applyBorder="1" applyAlignment="1">
      <alignment horizontal="center" wrapText="1"/>
    </xf>
    <xf numFmtId="0" fontId="15" fillId="13" borderId="36" xfId="0" applyFont="1" applyFill="1" applyBorder="1" applyAlignment="1">
      <alignment horizontal="center" wrapText="1"/>
    </xf>
    <xf numFmtId="0" fontId="15" fillId="13" borderId="13" xfId="0" applyFont="1" applyFill="1" applyBorder="1" applyAlignment="1">
      <alignment horizontal="center" wrapText="1"/>
    </xf>
    <xf numFmtId="0" fontId="15" fillId="13" borderId="57" xfId="0" applyFont="1" applyFill="1" applyBorder="1" applyAlignment="1">
      <alignment horizontal="center" wrapText="1"/>
    </xf>
    <xf numFmtId="0" fontId="15" fillId="13" borderId="39" xfId="0" applyFont="1" applyFill="1" applyBorder="1" applyAlignment="1">
      <alignment horizontal="center" wrapText="1"/>
    </xf>
    <xf numFmtId="0" fontId="15" fillId="13" borderId="15" xfId="0" applyFont="1" applyFill="1" applyBorder="1" applyAlignment="1">
      <alignment horizontal="center" wrapText="1"/>
    </xf>
    <xf numFmtId="0" fontId="15" fillId="13" borderId="16" xfId="0" applyFont="1" applyFill="1" applyBorder="1" applyAlignment="1">
      <alignment horizontal="center" wrapText="1"/>
    </xf>
    <xf numFmtId="0" fontId="43" fillId="0" borderId="176" xfId="0" applyFont="1" applyBorder="1" applyAlignment="1">
      <alignment vertical="center" wrapText="1"/>
    </xf>
    <xf numFmtId="0" fontId="43" fillId="0" borderId="178" xfId="0" applyFont="1" applyBorder="1" applyAlignment="1">
      <alignment vertical="center" wrapText="1"/>
    </xf>
    <xf numFmtId="0" fontId="43" fillId="0" borderId="179" xfId="0" applyFont="1" applyBorder="1" applyAlignment="1">
      <alignment vertical="center" wrapText="1"/>
    </xf>
    <xf numFmtId="0" fontId="23" fillId="0" borderId="77" xfId="0" applyFont="1" applyBorder="1" applyAlignment="1">
      <alignment horizontal="left" wrapText="1"/>
    </xf>
    <xf numFmtId="0" fontId="23" fillId="0" borderId="80" xfId="0" applyFont="1" applyBorder="1" applyAlignment="1">
      <alignment horizontal="left" wrapText="1"/>
    </xf>
    <xf numFmtId="0" fontId="23" fillId="0" borderId="82" xfId="0" applyFont="1" applyBorder="1" applyAlignment="1">
      <alignment horizontal="left" wrapText="1"/>
    </xf>
    <xf numFmtId="0" fontId="22" fillId="13" borderId="106" xfId="0" applyFont="1" applyFill="1" applyBorder="1" applyAlignment="1">
      <alignment horizontal="left" wrapText="1"/>
    </xf>
    <xf numFmtId="0" fontId="22" fillId="13" borderId="95" xfId="0" applyFont="1" applyFill="1" applyBorder="1" applyAlignment="1">
      <alignment horizontal="left" wrapText="1"/>
    </xf>
    <xf numFmtId="0" fontId="12" fillId="13" borderId="105" xfId="0" applyFont="1" applyFill="1" applyBorder="1" applyAlignment="1">
      <alignment horizontal="center" wrapText="1"/>
    </xf>
    <xf numFmtId="0" fontId="12" fillId="13" borderId="52" xfId="0" applyFont="1" applyFill="1" applyBorder="1" applyAlignment="1">
      <alignment horizontal="center" wrapText="1"/>
    </xf>
    <xf numFmtId="0" fontId="23" fillId="13" borderId="107" xfId="0" applyFont="1" applyFill="1" applyBorder="1" applyAlignment="1">
      <alignment horizontal="center" wrapText="1"/>
    </xf>
    <xf numFmtId="0" fontId="23" fillId="13" borderId="49" xfId="0" applyFont="1" applyFill="1" applyBorder="1" applyAlignment="1">
      <alignment horizontal="center" wrapText="1"/>
    </xf>
    <xf numFmtId="0" fontId="23" fillId="13" borderId="47" xfId="0" applyFont="1" applyFill="1" applyBorder="1" applyAlignment="1">
      <alignment horizontal="center" wrapText="1"/>
    </xf>
    <xf numFmtId="0" fontId="23" fillId="13" borderId="13" xfId="0" applyFont="1" applyFill="1" applyBorder="1" applyAlignment="1">
      <alignment horizontal="center" wrapText="1"/>
    </xf>
    <xf numFmtId="0" fontId="23" fillId="13" borderId="38" xfId="0" applyFont="1" applyFill="1" applyBorder="1" applyAlignment="1">
      <alignment horizontal="center" wrapText="1"/>
    </xf>
    <xf numFmtId="0" fontId="47" fillId="7" borderId="48" xfId="0" applyFont="1" applyFill="1" applyBorder="1" applyAlignment="1">
      <alignment horizontal="center" vertical="center" wrapText="1"/>
    </xf>
    <xf numFmtId="0" fontId="47" fillId="7" borderId="18" xfId="0" applyFont="1" applyFill="1" applyBorder="1" applyAlignment="1">
      <alignment horizontal="center" vertical="center" wrapText="1"/>
    </xf>
    <xf numFmtId="0" fontId="47" fillId="7" borderId="98" xfId="0" applyFont="1" applyFill="1" applyBorder="1" applyAlignment="1">
      <alignment horizontal="center" vertical="center" wrapText="1"/>
    </xf>
    <xf numFmtId="0" fontId="12" fillId="13" borderId="14" xfId="0" applyFont="1" applyFill="1" applyBorder="1" applyAlignment="1">
      <alignment horizontal="left"/>
    </xf>
    <xf numFmtId="0" fontId="12" fillId="13" borderId="23" xfId="0" applyFont="1" applyFill="1" applyBorder="1" applyAlignment="1">
      <alignment horizontal="left"/>
    </xf>
    <xf numFmtId="0" fontId="15" fillId="13" borderId="21" xfId="0" applyFont="1" applyFill="1" applyBorder="1" applyAlignment="1">
      <alignment horizontal="center"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142" fillId="0" borderId="124" xfId="0" applyFont="1" applyBorder="1" applyAlignment="1">
      <alignment vertical="center" wrapText="1"/>
    </xf>
    <xf numFmtId="0" fontId="142" fillId="0" borderId="26" xfId="0" applyFont="1" applyBorder="1" applyAlignment="1">
      <alignment vertical="center" wrapText="1"/>
    </xf>
    <xf numFmtId="0" fontId="142" fillId="0" borderId="27" xfId="0" applyFont="1" applyBorder="1" applyAlignment="1">
      <alignment vertical="center" wrapText="1"/>
    </xf>
    <xf numFmtId="0" fontId="142" fillId="0" borderId="28" xfId="0" applyFont="1" applyBorder="1" applyAlignment="1">
      <alignment vertical="center" wrapText="1"/>
    </xf>
    <xf numFmtId="0" fontId="18" fillId="0" borderId="119" xfId="0" applyFont="1" applyBorder="1" applyAlignment="1">
      <alignment horizontal="left" vertical="center" wrapText="1"/>
    </xf>
    <xf numFmtId="0" fontId="15" fillId="0" borderId="119" xfId="0" applyFont="1" applyBorder="1" applyAlignment="1">
      <alignment horizontal="left" vertical="center" wrapText="1"/>
    </xf>
    <xf numFmtId="0" fontId="26" fillId="0" borderId="119" xfId="0" applyFont="1" applyBorder="1" applyAlignment="1">
      <alignment horizontal="left" vertical="center" wrapText="1"/>
    </xf>
    <xf numFmtId="0" fontId="23" fillId="0" borderId="119" xfId="0" applyFont="1" applyBorder="1" applyAlignment="1">
      <alignment horizontal="left" vertical="center" wrapText="1"/>
    </xf>
    <xf numFmtId="0" fontId="0" fillId="0" borderId="27" xfId="0" applyBorder="1" applyAlignment="1"/>
    <xf numFmtId="0" fontId="33" fillId="0" borderId="119" xfId="0" applyFont="1" applyBorder="1" applyAlignment="1">
      <alignment horizontal="left" vertical="center" wrapText="1"/>
    </xf>
    <xf numFmtId="0" fontId="30" fillId="0" borderId="119" xfId="0" applyFont="1" applyBorder="1" applyAlignment="1">
      <alignment horizontal="left" vertical="center" wrapText="1"/>
    </xf>
    <xf numFmtId="0" fontId="22" fillId="12" borderId="119" xfId="0" applyFont="1" applyFill="1" applyBorder="1" applyAlignment="1">
      <alignment horizontal="left" wrapText="1"/>
    </xf>
    <xf numFmtId="0" fontId="16" fillId="0" borderId="41" xfId="0" applyFont="1" applyBorder="1" applyAlignment="1">
      <alignment horizontal="left" vertical="center" wrapText="1"/>
    </xf>
    <xf numFmtId="0" fontId="0" fillId="0" borderId="42" xfId="0" applyBorder="1" applyAlignment="1">
      <alignment vertical="center" wrapText="1"/>
    </xf>
    <xf numFmtId="0" fontId="16" fillId="0" borderId="119" xfId="0" applyFont="1" applyBorder="1" applyAlignment="1">
      <alignment horizontal="left" vertical="center" wrapText="1"/>
    </xf>
    <xf numFmtId="0" fontId="16" fillId="0" borderId="27" xfId="0" applyFont="1" applyBorder="1" applyAlignment="1">
      <alignment horizontal="left" vertical="center" wrapText="1"/>
    </xf>
    <xf numFmtId="0" fontId="34" fillId="0" borderId="48" xfId="0" applyFont="1" applyBorder="1" applyAlignment="1">
      <alignment horizontal="left" vertical="center" wrapText="1"/>
    </xf>
    <xf numFmtId="0" fontId="34" fillId="0" borderId="18" xfId="0" applyFont="1" applyBorder="1" applyAlignment="1">
      <alignment horizontal="left" vertical="center" wrapText="1"/>
    </xf>
    <xf numFmtId="0" fontId="34" fillId="0" borderId="98" xfId="0" applyFont="1" applyBorder="1" applyAlignment="1">
      <alignment horizontal="left" vertical="center" wrapText="1"/>
    </xf>
    <xf numFmtId="0" fontId="0" fillId="0" borderId="192" xfId="0" applyBorder="1" applyAlignment="1">
      <alignment wrapText="1"/>
    </xf>
    <xf numFmtId="0" fontId="0" fillId="2" borderId="189" xfId="0" applyFill="1" applyBorder="1" applyAlignment="1">
      <alignment horizontal="center"/>
    </xf>
    <xf numFmtId="0" fontId="0" fillId="2" borderId="190" xfId="0" applyFill="1" applyBorder="1" applyAlignment="1">
      <alignment horizontal="center"/>
    </xf>
    <xf numFmtId="0" fontId="15" fillId="0" borderId="18" xfId="0" applyFont="1" applyBorder="1" applyAlignment="1">
      <alignment horizontal="center" vertical="center" wrapText="1"/>
    </xf>
    <xf numFmtId="0" fontId="15" fillId="0" borderId="98" xfId="0" applyFont="1" applyBorder="1" applyAlignment="1">
      <alignment horizontal="center" vertical="center" wrapText="1"/>
    </xf>
    <xf numFmtId="0" fontId="160" fillId="0" borderId="18" xfId="0" applyFont="1" applyBorder="1" applyAlignment="1">
      <alignment horizontal="center" vertical="center" wrapText="1"/>
    </xf>
    <xf numFmtId="0" fontId="160" fillId="0" borderId="9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92" xfId="0" applyFont="1" applyBorder="1" applyAlignment="1">
      <alignment horizontal="center" vertical="center" wrapText="1"/>
    </xf>
    <xf numFmtId="0" fontId="22" fillId="6" borderId="193" xfId="0" applyFont="1" applyFill="1" applyBorder="1" applyAlignment="1">
      <alignment horizontal="left"/>
    </xf>
    <xf numFmtId="0" fontId="23" fillId="6" borderId="194" xfId="0" applyFont="1" applyFill="1" applyBorder="1" applyAlignment="1">
      <alignment horizontal="left" wrapText="1"/>
    </xf>
    <xf numFmtId="0" fontId="0" fillId="0" borderId="192" xfId="0" applyBorder="1" applyAlignment="1"/>
    <xf numFmtId="0" fontId="22" fillId="11" borderId="193" xfId="0" applyFont="1" applyFill="1" applyBorder="1" applyAlignment="1">
      <alignment horizontal="left" wrapText="1"/>
    </xf>
    <xf numFmtId="0" fontId="32" fillId="11" borderId="191" xfId="0" applyFont="1" applyFill="1" applyBorder="1" applyAlignment="1">
      <alignment horizontal="center" wrapText="1"/>
    </xf>
    <xf numFmtId="0" fontId="32" fillId="11" borderId="18" xfId="0" applyFont="1" applyFill="1" applyBorder="1" applyAlignment="1">
      <alignment horizontal="center" wrapText="1"/>
    </xf>
    <xf numFmtId="0" fontId="23" fillId="11" borderId="194" xfId="0" applyFont="1" applyFill="1" applyBorder="1" applyAlignment="1">
      <alignment horizontal="center" wrapText="1"/>
    </xf>
    <xf numFmtId="0" fontId="0" fillId="0" borderId="26" xfId="0" applyBorder="1"/>
    <xf numFmtId="0" fontId="0" fillId="0" borderId="124" xfId="0" applyBorder="1"/>
    <xf numFmtId="0" fontId="0" fillId="0" borderId="27" xfId="0" applyBorder="1"/>
    <xf numFmtId="0" fontId="0" fillId="0" borderId="192" xfId="0" applyBorder="1"/>
    <xf numFmtId="0" fontId="23" fillId="7" borderId="18" xfId="0" applyFont="1" applyFill="1" applyBorder="1" applyAlignment="1">
      <alignment horizontal="center" vertical="center" wrapText="1"/>
    </xf>
    <xf numFmtId="0" fontId="23" fillId="7" borderId="98" xfId="0" applyFont="1" applyFill="1" applyBorder="1" applyAlignment="1">
      <alignment horizontal="center" vertical="center" wrapText="1"/>
    </xf>
    <xf numFmtId="0" fontId="23" fillId="12" borderId="194" xfId="0" applyFont="1" applyFill="1" applyBorder="1" applyAlignment="1">
      <alignment horizontal="center" wrapText="1"/>
    </xf>
    <xf numFmtId="0" fontId="23" fillId="12" borderId="195" xfId="0" applyFont="1" applyFill="1" applyBorder="1" applyAlignment="1">
      <alignment horizontal="center" wrapText="1"/>
    </xf>
    <xf numFmtId="0" fontId="23" fillId="12" borderId="196" xfId="0" applyFont="1" applyFill="1" applyBorder="1" applyAlignment="1">
      <alignment horizontal="center" wrapText="1"/>
    </xf>
    <xf numFmtId="0" fontId="23" fillId="12" borderId="198" xfId="0" applyFont="1" applyFill="1" applyBorder="1" applyAlignment="1">
      <alignment horizontal="center" wrapText="1"/>
    </xf>
    <xf numFmtId="0" fontId="22" fillId="12" borderId="9" xfId="0" applyFont="1" applyFill="1" applyBorder="1" applyAlignment="1">
      <alignment horizontal="left" wrapText="1"/>
    </xf>
    <xf numFmtId="0" fontId="32" fillId="12" borderId="191" xfId="0" applyFont="1" applyFill="1" applyBorder="1" applyAlignment="1">
      <alignment horizontal="center" wrapText="1"/>
    </xf>
    <xf numFmtId="0" fontId="23" fillId="12" borderId="199" xfId="0" applyFont="1" applyFill="1" applyBorder="1" applyAlignment="1">
      <alignment horizontal="center" wrapText="1"/>
    </xf>
    <xf numFmtId="0" fontId="22" fillId="12" borderId="193" xfId="0" applyFont="1" applyFill="1" applyBorder="1" applyAlignment="1">
      <alignment horizontal="left" wrapText="1"/>
    </xf>
    <xf numFmtId="0" fontId="0" fillId="0" borderId="42" xfId="0" applyBorder="1"/>
    <xf numFmtId="0" fontId="0" fillId="0" borderId="80" xfId="0" applyBorder="1"/>
    <xf numFmtId="0" fontId="0" fillId="0" borderId="82" xfId="0" applyBorder="1"/>
    <xf numFmtId="0" fontId="22" fillId="13" borderId="193" xfId="0" applyFont="1" applyFill="1" applyBorder="1" applyAlignment="1">
      <alignment horizontal="left" wrapText="1"/>
    </xf>
    <xf numFmtId="0" fontId="12" fillId="13" borderId="191" xfId="0" applyFont="1" applyFill="1" applyBorder="1" applyAlignment="1">
      <alignment horizontal="center" wrapText="1"/>
    </xf>
    <xf numFmtId="0" fontId="23" fillId="13" borderId="194" xfId="0" applyFont="1" applyFill="1" applyBorder="1" applyAlignment="1">
      <alignment horizontal="center" wrapText="1"/>
    </xf>
    <xf numFmtId="0" fontId="23" fillId="0" borderId="18" xfId="0" applyFont="1" applyBorder="1" applyAlignment="1">
      <alignment horizontal="center" vertical="center" wrapText="1"/>
    </xf>
    <xf numFmtId="0" fontId="23" fillId="0" borderId="98" xfId="0" applyFont="1" applyBorder="1" applyAlignment="1">
      <alignment horizontal="center" vertical="center" wrapText="1"/>
    </xf>
    <xf numFmtId="0" fontId="0" fillId="0" borderId="18" xfId="0" applyBorder="1" applyAlignment="1">
      <alignment horizontal="center" vertical="center" wrapText="1"/>
    </xf>
    <xf numFmtId="0" fontId="0" fillId="0" borderId="98" xfId="0" applyBorder="1" applyAlignment="1">
      <alignment horizontal="center" vertical="center" wrapText="1"/>
    </xf>
    <xf numFmtId="0" fontId="0" fillId="0" borderId="192" xfId="0" applyBorder="1" applyAlignment="1">
      <alignment vertical="center" wrapText="1"/>
    </xf>
    <xf numFmtId="0" fontId="23" fillId="0" borderId="48" xfId="0" applyFont="1" applyBorder="1" applyAlignment="1">
      <alignment horizontal="center" vertical="center" wrapText="1"/>
    </xf>
    <xf numFmtId="0" fontId="58" fillId="0" borderId="124" xfId="0" applyFont="1" applyBorder="1" applyAlignment="1">
      <alignment horizontal="left" vertical="center" wrapText="1"/>
    </xf>
    <xf numFmtId="0" fontId="16" fillId="0" borderId="124" xfId="0" applyFont="1" applyBorder="1" applyAlignment="1">
      <alignment horizontal="left" vertical="center" wrapText="1"/>
    </xf>
    <xf numFmtId="0" fontId="0" fillId="0" borderId="48" xfId="0" applyBorder="1" applyAlignment="1">
      <alignment horizontal="center" vertical="center" wrapText="1"/>
    </xf>
    <xf numFmtId="0" fontId="18" fillId="7" borderId="41" xfId="0" applyFont="1" applyFill="1" applyBorder="1" applyAlignment="1">
      <alignment horizontal="left" vertical="center" wrapText="1"/>
    </xf>
    <xf numFmtId="0" fontId="0" fillId="7" borderId="42" xfId="0" applyFill="1" applyBorder="1" applyAlignment="1">
      <alignment vertical="center" wrapText="1"/>
    </xf>
    <xf numFmtId="0" fontId="16" fillId="7" borderId="124"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23" fillId="7" borderId="27" xfId="0" applyFont="1" applyFill="1" applyBorder="1" applyAlignment="1">
      <alignment horizontal="left"/>
    </xf>
    <xf numFmtId="0" fontId="43" fillId="0" borderId="124" xfId="0" applyFont="1" applyBorder="1" applyAlignment="1">
      <alignment horizontal="left" vertical="top" wrapText="1"/>
    </xf>
    <xf numFmtId="0" fontId="43" fillId="0" borderId="26" xfId="0" applyFont="1" applyBorder="1" applyAlignment="1">
      <alignment horizontal="left" vertical="top" wrapText="1"/>
    </xf>
    <xf numFmtId="0" fontId="43" fillId="0" borderId="27" xfId="0" applyFont="1" applyBorder="1" applyAlignment="1">
      <alignment horizontal="left" vertical="top" wrapText="1"/>
    </xf>
    <xf numFmtId="0" fontId="43" fillId="0" borderId="28" xfId="0" applyFont="1" applyBorder="1" applyAlignment="1">
      <alignment horizontal="left" vertical="top"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6" xfId="0" applyFont="1" applyBorder="1" applyAlignment="1">
      <alignment horizontal="center" vertical="center" wrapText="1"/>
    </xf>
    <xf numFmtId="0" fontId="0" fillId="0" borderId="26" xfId="0" applyBorder="1" applyAlignment="1">
      <alignment horizontal="left" vertical="top" wrapText="1"/>
    </xf>
    <xf numFmtId="0" fontId="0" fillId="0" borderId="124"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6" fillId="0" borderId="27" xfId="0" applyFont="1" applyBorder="1" applyAlignment="1">
      <alignment horizontal="center" vertical="center" wrapText="1"/>
    </xf>
    <xf numFmtId="0" fontId="43" fillId="7" borderId="26" xfId="0" applyFont="1" applyFill="1" applyBorder="1" applyAlignment="1">
      <alignment horizontal="left" vertical="top" wrapText="1"/>
    </xf>
    <xf numFmtId="0" fontId="0" fillId="7" borderId="26" xfId="0" applyFill="1" applyBorder="1" applyAlignment="1">
      <alignment horizontal="left" vertical="top" wrapText="1"/>
    </xf>
    <xf numFmtId="0" fontId="0" fillId="7" borderId="28" xfId="0" applyFill="1" applyBorder="1" applyAlignment="1">
      <alignment horizontal="left" vertical="top"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0" fontId="20" fillId="0" borderId="124" xfId="0" applyFont="1" applyBorder="1" applyAlignment="1">
      <alignment horizontal="center" vertical="center" wrapText="1"/>
    </xf>
    <xf numFmtId="0" fontId="18" fillId="0" borderId="124" xfId="0" applyFont="1" applyBorder="1" applyAlignment="1">
      <alignment horizontal="center" vertical="center" wrapText="1"/>
    </xf>
    <xf numFmtId="0" fontId="18" fillId="0" borderId="27" xfId="0" applyFont="1" applyBorder="1" applyAlignment="1">
      <alignment horizontal="center" vertical="center" wrapText="1"/>
    </xf>
    <xf numFmtId="0" fontId="0" fillId="7" borderId="26" xfId="0" applyFont="1" applyFill="1" applyBorder="1" applyAlignment="1">
      <alignment horizontal="center" vertical="center" wrapText="1"/>
    </xf>
    <xf numFmtId="0" fontId="0" fillId="7" borderId="26" xfId="0" applyFill="1" applyBorder="1" applyAlignment="1">
      <alignment horizontal="center" vertical="center" wrapText="1"/>
    </xf>
    <xf numFmtId="0" fontId="0" fillId="7" borderId="28" xfId="0" applyFill="1" applyBorder="1" applyAlignment="1">
      <alignment horizontal="center" vertical="center" wrapText="1"/>
    </xf>
    <xf numFmtId="0" fontId="43" fillId="0" borderId="42" xfId="0" applyFont="1" applyBorder="1" applyAlignment="1">
      <alignment horizontal="left" vertical="top" wrapText="1"/>
    </xf>
    <xf numFmtId="0" fontId="0" fillId="0" borderId="48" xfId="0" applyBorder="1" applyAlignment="1">
      <alignment horizontal="left" vertical="top" wrapText="1"/>
    </xf>
    <xf numFmtId="0" fontId="0" fillId="0" borderId="18" xfId="0" applyBorder="1" applyAlignment="1">
      <alignment horizontal="left" vertical="top" wrapText="1"/>
    </xf>
    <xf numFmtId="0" fontId="0" fillId="0" borderId="98" xfId="0" applyBorder="1" applyAlignment="1">
      <alignment horizontal="left" vertical="top" wrapText="1"/>
    </xf>
    <xf numFmtId="0" fontId="141" fillId="0" borderId="42" xfId="0" applyFont="1" applyBorder="1" applyAlignment="1">
      <alignment horizontal="left" vertical="top" wrapText="1"/>
    </xf>
    <xf numFmtId="0" fontId="142" fillId="0" borderId="26" xfId="0" applyFont="1" applyBorder="1" applyAlignment="1">
      <alignment horizontal="left" vertical="top" wrapText="1"/>
    </xf>
    <xf numFmtId="0" fontId="142" fillId="0" borderId="28" xfId="0" applyFont="1" applyBorder="1" applyAlignment="1">
      <alignment horizontal="left" vertical="top" wrapText="1"/>
    </xf>
    <xf numFmtId="0" fontId="43" fillId="0" borderId="42" xfId="0" applyFont="1" applyBorder="1" applyAlignment="1">
      <alignment vertical="center" wrapText="1"/>
    </xf>
    <xf numFmtId="0" fontId="43" fillId="0" borderId="26" xfId="0" applyFont="1" applyBorder="1" applyAlignment="1">
      <alignment vertical="center" wrapText="1"/>
    </xf>
    <xf numFmtId="0" fontId="43" fillId="0" borderId="28" xfId="0" applyFont="1" applyBorder="1" applyAlignment="1">
      <alignment vertical="center" wrapText="1"/>
    </xf>
    <xf numFmtId="0" fontId="18" fillId="0" borderId="124" xfId="0" applyFont="1" applyBorder="1" applyAlignment="1">
      <alignment horizontal="left" vertical="top" wrapText="1"/>
    </xf>
    <xf numFmtId="0" fontId="0" fillId="0" borderId="26" xfId="0" applyBorder="1" applyAlignment="1">
      <alignment vertical="top" wrapText="1"/>
    </xf>
    <xf numFmtId="0" fontId="15" fillId="0" borderId="124" xfId="0" applyFont="1" applyBorder="1" applyAlignment="1">
      <alignment horizontal="left" vertical="top" wrapText="1"/>
    </xf>
    <xf numFmtId="0" fontId="15" fillId="0" borderId="27" xfId="0" applyFont="1" applyBorder="1" applyAlignment="1">
      <alignment horizontal="left" vertical="top" wrapText="1"/>
    </xf>
    <xf numFmtId="0" fontId="0" fillId="0" borderId="28" xfId="0" applyBorder="1" applyAlignment="1">
      <alignment vertical="top" wrapText="1"/>
    </xf>
    <xf numFmtId="0" fontId="18" fillId="0" borderId="119" xfId="0" applyFont="1" applyBorder="1" applyAlignment="1">
      <alignment horizontal="left" vertical="top" wrapText="1"/>
    </xf>
    <xf numFmtId="0" fontId="15" fillId="0" borderId="119" xfId="0" applyFont="1" applyBorder="1" applyAlignment="1">
      <alignment horizontal="left" vertical="top" wrapText="1"/>
    </xf>
    <xf numFmtId="0" fontId="18" fillId="0" borderId="119" xfId="0" applyFont="1" applyFill="1" applyBorder="1" applyAlignment="1">
      <alignment horizontal="left" vertical="center" wrapText="1"/>
    </xf>
    <xf numFmtId="0" fontId="0" fillId="0" borderId="26" xfId="0" applyFill="1" applyBorder="1" applyAlignment="1">
      <alignment vertical="center" wrapText="1"/>
    </xf>
    <xf numFmtId="0" fontId="15" fillId="0" borderId="119"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0" fillId="0" borderId="28" xfId="0" applyFill="1" applyBorder="1" applyAlignment="1">
      <alignment vertical="center" wrapText="1"/>
    </xf>
    <xf numFmtId="0" fontId="52" fillId="0" borderId="26" xfId="0" applyFont="1" applyBorder="1" applyAlignment="1"/>
    <xf numFmtId="0" fontId="52" fillId="0" borderId="28" xfId="0" applyFont="1" applyBorder="1" applyAlignment="1"/>
    <xf numFmtId="0" fontId="39" fillId="0" borderId="119" xfId="0" applyFont="1" applyFill="1" applyBorder="1" applyAlignment="1">
      <alignment horizontal="left" vertical="center" wrapText="1"/>
    </xf>
    <xf numFmtId="0" fontId="52" fillId="0" borderId="26" xfId="0" applyFont="1" applyFill="1" applyBorder="1" applyAlignment="1"/>
    <xf numFmtId="0" fontId="39" fillId="0" borderId="27" xfId="0" applyFont="1" applyFill="1" applyBorder="1" applyAlignment="1"/>
    <xf numFmtId="0" fontId="52" fillId="0" borderId="28" xfId="0" applyFont="1" applyFill="1" applyBorder="1" applyAlignment="1"/>
    <xf numFmtId="0" fontId="30" fillId="0" borderId="119" xfId="0" applyFont="1" applyFill="1" applyBorder="1" applyAlignment="1">
      <alignment horizontal="left" vertical="center" wrapText="1"/>
    </xf>
    <xf numFmtId="0" fontId="52" fillId="0" borderId="26" xfId="0" applyFont="1" applyFill="1" applyBorder="1" applyAlignment="1">
      <alignment vertical="center" wrapText="1"/>
    </xf>
    <xf numFmtId="0" fontId="30" fillId="0" borderId="27" xfId="0" applyFont="1" applyFill="1" applyBorder="1" applyAlignment="1">
      <alignment horizontal="left" vertical="center" wrapText="1"/>
    </xf>
    <xf numFmtId="0" fontId="52" fillId="0" borderId="28" xfId="0" applyFont="1" applyFill="1" applyBorder="1" applyAlignment="1">
      <alignment vertical="center" wrapText="1"/>
    </xf>
    <xf numFmtId="0" fontId="23" fillId="0" borderId="77" xfId="0" applyFont="1" applyBorder="1" applyAlignment="1">
      <alignment horizontal="left" vertical="center" wrapText="1"/>
    </xf>
    <xf numFmtId="0" fontId="23" fillId="0" borderId="80" xfId="0" applyFont="1" applyBorder="1" applyAlignment="1">
      <alignment horizontal="left" vertical="center" wrapText="1"/>
    </xf>
    <xf numFmtId="0" fontId="23" fillId="0" borderId="82" xfId="0" applyFont="1" applyBorder="1" applyAlignment="1">
      <alignment horizontal="left" vertical="center" wrapText="1"/>
    </xf>
    <xf numFmtId="0" fontId="23" fillId="0" borderId="48" xfId="0" applyFont="1" applyBorder="1" applyAlignment="1">
      <alignment horizontal="left" vertical="top" wrapText="1"/>
    </xf>
    <xf numFmtId="0" fontId="23" fillId="0" borderId="18" xfId="0" applyFont="1" applyBorder="1" applyAlignment="1">
      <alignment horizontal="left" vertical="top" wrapText="1"/>
    </xf>
    <xf numFmtId="0" fontId="23" fillId="0" borderId="98" xfId="0" applyFont="1" applyBorder="1" applyAlignment="1">
      <alignment horizontal="left" vertical="top" wrapText="1"/>
    </xf>
    <xf numFmtId="0" fontId="134" fillId="6" borderId="46" xfId="0" applyFont="1" applyFill="1" applyBorder="1" applyAlignment="1">
      <alignment horizontal="center" wrapText="1"/>
    </xf>
    <xf numFmtId="0" fontId="134" fillId="6" borderId="50" xfId="0" applyFont="1" applyFill="1" applyBorder="1" applyAlignment="1">
      <alignment horizontal="center" wrapText="1"/>
    </xf>
    <xf numFmtId="0" fontId="127" fillId="0" borderId="0" xfId="0" applyFont="1" applyAlignment="1"/>
    <xf numFmtId="0" fontId="128" fillId="0" borderId="0" xfId="0" applyFont="1" applyAlignment="1"/>
    <xf numFmtId="0" fontId="128" fillId="2" borderId="102" xfId="0" applyFont="1" applyFill="1" applyBorder="1" applyAlignment="1">
      <alignment horizontal="center"/>
    </xf>
    <xf numFmtId="0" fontId="128" fillId="2" borderId="103" xfId="0" applyFont="1" applyFill="1" applyBorder="1" applyAlignment="1">
      <alignment horizontal="center"/>
    </xf>
    <xf numFmtId="0" fontId="130" fillId="2" borderId="121" xfId="0" applyFont="1" applyFill="1" applyBorder="1" applyAlignment="1">
      <alignment horizontal="left" vertical="top" wrapText="1"/>
    </xf>
    <xf numFmtId="0" fontId="130" fillId="2" borderId="0" xfId="0" applyFont="1" applyFill="1" applyBorder="1" applyAlignment="1">
      <alignment horizontal="left" vertical="top" wrapText="1"/>
    </xf>
    <xf numFmtId="0" fontId="130" fillId="2" borderId="5" xfId="0" applyFont="1" applyFill="1" applyBorder="1" applyAlignment="1">
      <alignment horizontal="left" vertical="top" wrapText="1"/>
    </xf>
    <xf numFmtId="0" fontId="130" fillId="2" borderId="6" xfId="0" applyFont="1" applyFill="1" applyBorder="1" applyAlignment="1">
      <alignment horizontal="left" vertical="top" wrapText="1"/>
    </xf>
    <xf numFmtId="0" fontId="130" fillId="2" borderId="7" xfId="0" applyFont="1" applyFill="1" applyBorder="1" applyAlignment="1">
      <alignment horizontal="left" vertical="top" wrapText="1"/>
    </xf>
    <xf numFmtId="0" fontId="130" fillId="2" borderId="8" xfId="0" applyFont="1" applyFill="1" applyBorder="1" applyAlignment="1">
      <alignment horizontal="left" vertical="top" wrapText="1"/>
    </xf>
    <xf numFmtId="0" fontId="127" fillId="3" borderId="12" xfId="0" applyFont="1" applyFill="1" applyBorder="1" applyAlignment="1">
      <alignment horizontal="center" wrapText="1"/>
    </xf>
    <xf numFmtId="0" fontId="127" fillId="3" borderId="13" xfId="0" applyFont="1" applyFill="1" applyBorder="1" applyAlignment="1">
      <alignment horizontal="center" wrapText="1"/>
    </xf>
    <xf numFmtId="0" fontId="130" fillId="0" borderId="124" xfId="0" applyFont="1" applyBorder="1" applyAlignment="1">
      <alignment horizontal="left" vertical="center" wrapText="1"/>
    </xf>
    <xf numFmtId="0" fontId="128" fillId="0" borderId="26" xfId="0" applyFont="1" applyBorder="1" applyAlignment="1">
      <alignment vertical="center" wrapText="1"/>
    </xf>
    <xf numFmtId="0" fontId="130" fillId="0" borderId="27" xfId="0" applyFont="1" applyBorder="1" applyAlignment="1">
      <alignment horizontal="left" vertical="center" wrapText="1"/>
    </xf>
    <xf numFmtId="0" fontId="128" fillId="0" borderId="28" xfId="0" applyFont="1" applyBorder="1" applyAlignment="1">
      <alignment vertical="center" wrapText="1"/>
    </xf>
    <xf numFmtId="0" fontId="127" fillId="3" borderId="37" xfId="0" applyFont="1" applyFill="1" applyBorder="1" applyAlignment="1">
      <alignment horizontal="center" wrapText="1"/>
    </xf>
    <xf numFmtId="0" fontId="127" fillId="3" borderId="38" xfId="0" applyFont="1" applyFill="1" applyBorder="1" applyAlignment="1">
      <alignment horizontal="center" wrapText="1"/>
    </xf>
    <xf numFmtId="0" fontId="133" fillId="0" borderId="124" xfId="0" applyFont="1" applyBorder="1" applyAlignment="1">
      <alignment horizontal="left" vertical="center" wrapText="1"/>
    </xf>
    <xf numFmtId="0" fontId="133" fillId="0" borderId="26" xfId="0" applyFont="1" applyBorder="1" applyAlignment="1">
      <alignment vertical="center" wrapText="1"/>
    </xf>
    <xf numFmtId="0" fontId="133" fillId="0" borderId="27" xfId="0" applyFont="1" applyBorder="1" applyAlignment="1">
      <alignment horizontal="left" vertical="center" wrapText="1"/>
    </xf>
    <xf numFmtId="0" fontId="133" fillId="0" borderId="28" xfId="0" applyFont="1" applyBorder="1" applyAlignment="1">
      <alignment vertical="center" wrapText="1"/>
    </xf>
    <xf numFmtId="0" fontId="130" fillId="0" borderId="41" xfId="0" applyFont="1" applyBorder="1" applyAlignment="1">
      <alignment horizontal="left" vertical="center" wrapText="1"/>
    </xf>
    <xf numFmtId="0" fontId="128" fillId="0" borderId="42" xfId="0" applyFont="1" applyBorder="1" applyAlignment="1">
      <alignment wrapText="1"/>
    </xf>
    <xf numFmtId="0" fontId="128" fillId="0" borderId="26" xfId="0" applyFont="1" applyBorder="1" applyAlignment="1">
      <alignment wrapText="1"/>
    </xf>
    <xf numFmtId="0" fontId="128" fillId="0" borderId="28" xfId="0" applyFont="1" applyBorder="1" applyAlignment="1">
      <alignment wrapText="1"/>
    </xf>
    <xf numFmtId="0" fontId="134" fillId="6" borderId="106" xfId="0" applyFont="1" applyFill="1" applyBorder="1" applyAlignment="1">
      <alignment horizontal="left"/>
    </xf>
    <xf numFmtId="0" fontId="134" fillId="6" borderId="95" xfId="0" applyFont="1" applyFill="1" applyBorder="1" applyAlignment="1">
      <alignment horizontal="left"/>
    </xf>
    <xf numFmtId="0" fontId="128" fillId="6" borderId="107" xfId="0" applyFont="1" applyFill="1" applyBorder="1" applyAlignment="1">
      <alignment horizontal="left" wrapText="1"/>
    </xf>
    <xf numFmtId="0" fontId="128" fillId="6" borderId="49" xfId="0" applyFont="1" applyFill="1" applyBorder="1" applyAlignment="1">
      <alignment horizontal="left" wrapText="1"/>
    </xf>
    <xf numFmtId="0" fontId="128" fillId="0" borderId="124" xfId="0" applyFont="1" applyBorder="1" applyAlignment="1">
      <alignment horizontal="left" vertical="center" wrapText="1"/>
    </xf>
    <xf numFmtId="0" fontId="128" fillId="0" borderId="26" xfId="0" applyFont="1" applyBorder="1" applyAlignment="1"/>
    <xf numFmtId="0" fontId="128" fillId="0" borderId="27" xfId="0" applyFont="1" applyBorder="1" applyAlignment="1"/>
    <xf numFmtId="0" fontId="128" fillId="0" borderId="28" xfId="0" applyFont="1" applyBorder="1" applyAlignment="1"/>
    <xf numFmtId="0" fontId="137" fillId="0" borderId="124" xfId="0" applyFont="1" applyBorder="1" applyAlignment="1">
      <alignment horizontal="left" vertical="center" wrapText="1"/>
    </xf>
    <xf numFmtId="0" fontId="133" fillId="0" borderId="27" xfId="0" applyFont="1" applyBorder="1" applyAlignment="1"/>
    <xf numFmtId="0" fontId="134" fillId="11" borderId="106" xfId="0" applyFont="1" applyFill="1" applyBorder="1" applyAlignment="1">
      <alignment horizontal="left" wrapText="1"/>
    </xf>
    <xf numFmtId="0" fontId="134" fillId="11" borderId="95" xfId="0" applyFont="1" applyFill="1" applyBorder="1" applyAlignment="1">
      <alignment horizontal="left" wrapText="1"/>
    </xf>
    <xf numFmtId="0" fontId="127" fillId="11" borderId="105" xfId="0" applyFont="1" applyFill="1" applyBorder="1" applyAlignment="1">
      <alignment horizontal="center" wrapText="1"/>
    </xf>
    <xf numFmtId="0" fontId="127" fillId="11" borderId="18" xfId="0" applyFont="1" applyFill="1" applyBorder="1" applyAlignment="1">
      <alignment horizontal="center" wrapText="1"/>
    </xf>
    <xf numFmtId="0" fontId="128" fillId="11" borderId="12" xfId="0" applyFont="1" applyFill="1" applyBorder="1" applyAlignment="1">
      <alignment horizontal="center" wrapText="1"/>
    </xf>
    <xf numFmtId="0" fontId="128" fillId="11" borderId="57" xfId="0" applyFont="1" applyFill="1" applyBorder="1" applyAlignment="1">
      <alignment horizontal="center" wrapText="1"/>
    </xf>
    <xf numFmtId="0" fontId="128" fillId="11" borderId="107" xfId="0" applyFont="1" applyFill="1" applyBorder="1" applyAlignment="1">
      <alignment horizontal="center" wrapText="1"/>
    </xf>
    <xf numFmtId="0" fontId="128" fillId="11" borderId="49" xfId="0" applyFont="1" applyFill="1" applyBorder="1" applyAlignment="1">
      <alignment horizontal="center" wrapText="1"/>
    </xf>
    <xf numFmtId="0" fontId="128" fillId="11" borderId="46" xfId="0" applyFont="1" applyFill="1" applyBorder="1" applyAlignment="1">
      <alignment horizontal="center" wrapText="1"/>
    </xf>
    <xf numFmtId="0" fontId="128" fillId="11" borderId="50" xfId="0" applyFont="1" applyFill="1" applyBorder="1" applyAlignment="1">
      <alignment horizontal="center" wrapText="1"/>
    </xf>
    <xf numFmtId="0" fontId="128" fillId="0" borderId="27" xfId="0" applyFont="1" applyBorder="1" applyAlignment="1">
      <alignment horizontal="left"/>
    </xf>
    <xf numFmtId="0" fontId="134" fillId="12" borderId="106" xfId="0" applyFont="1" applyFill="1" applyBorder="1" applyAlignment="1">
      <alignment horizontal="left" wrapText="1"/>
    </xf>
    <xf numFmtId="0" fontId="134" fillId="12" borderId="95" xfId="0" applyFont="1" applyFill="1" applyBorder="1" applyAlignment="1">
      <alignment horizontal="left" wrapText="1"/>
    </xf>
    <xf numFmtId="0" fontId="127" fillId="12" borderId="105" xfId="0" applyFont="1" applyFill="1" applyBorder="1" applyAlignment="1">
      <alignment horizontal="center" wrapText="1"/>
    </xf>
    <xf numFmtId="0" fontId="127" fillId="12" borderId="18" xfId="0" applyFont="1" applyFill="1" applyBorder="1" applyAlignment="1">
      <alignment horizontal="center" wrapText="1"/>
    </xf>
    <xf numFmtId="0" fontId="128" fillId="12" borderId="108" xfId="0" applyFont="1" applyFill="1" applyBorder="1" applyAlignment="1">
      <alignment horizontal="center" wrapText="1"/>
    </xf>
    <xf numFmtId="0" fontId="128" fillId="12" borderId="109" xfId="0" applyFont="1" applyFill="1" applyBorder="1" applyAlignment="1">
      <alignment horizontal="center" wrapText="1"/>
    </xf>
    <xf numFmtId="0" fontId="128" fillId="12" borderId="111" xfId="0" applyFont="1" applyFill="1" applyBorder="1" applyAlignment="1">
      <alignment horizontal="center" wrapText="1"/>
    </xf>
    <xf numFmtId="0" fontId="134" fillId="12" borderId="104" xfId="0" applyFont="1" applyFill="1" applyBorder="1" applyAlignment="1">
      <alignment horizontal="left" wrapText="1"/>
    </xf>
    <xf numFmtId="0" fontId="134" fillId="12" borderId="124" xfId="0" applyFont="1" applyFill="1" applyBorder="1" applyAlignment="1">
      <alignment horizontal="left" wrapText="1"/>
    </xf>
    <xf numFmtId="0" fontId="128" fillId="12" borderId="112" xfId="0" applyFont="1" applyFill="1" applyBorder="1" applyAlignment="1">
      <alignment horizontal="center" wrapText="1"/>
    </xf>
    <xf numFmtId="0" fontId="128" fillId="12" borderId="73" xfId="0" applyFont="1" applyFill="1" applyBorder="1" applyAlignment="1">
      <alignment horizontal="center" wrapText="1"/>
    </xf>
    <xf numFmtId="0" fontId="128" fillId="12" borderId="107" xfId="0" applyFont="1" applyFill="1" applyBorder="1" applyAlignment="1">
      <alignment horizontal="center" wrapText="1"/>
    </xf>
    <xf numFmtId="0" fontId="128" fillId="12" borderId="49" xfId="0" applyFont="1" applyFill="1" applyBorder="1" applyAlignment="1">
      <alignment horizontal="center" wrapText="1"/>
    </xf>
    <xf numFmtId="0" fontId="130" fillId="13" borderId="36" xfId="0" applyFont="1" applyFill="1" applyBorder="1" applyAlignment="1">
      <alignment horizontal="center" wrapText="1"/>
    </xf>
    <xf numFmtId="0" fontId="130" fillId="13" borderId="13" xfId="0" applyFont="1" applyFill="1" applyBorder="1" applyAlignment="1">
      <alignment horizontal="center" wrapText="1"/>
    </xf>
    <xf numFmtId="0" fontId="130" fillId="13" borderId="57" xfId="0" applyFont="1" applyFill="1" applyBorder="1" applyAlignment="1">
      <alignment horizontal="center" wrapText="1"/>
    </xf>
    <xf numFmtId="0" fontId="130" fillId="13" borderId="39" xfId="0" applyFont="1" applyFill="1" applyBorder="1" applyAlignment="1">
      <alignment horizontal="center" wrapText="1"/>
    </xf>
    <xf numFmtId="0" fontId="130" fillId="13" borderId="15" xfId="0" applyFont="1" applyFill="1" applyBorder="1" applyAlignment="1">
      <alignment horizontal="center" wrapText="1"/>
    </xf>
    <xf numFmtId="0" fontId="130" fillId="13" borderId="16" xfId="0" applyFont="1" applyFill="1" applyBorder="1" applyAlignment="1">
      <alignment horizontal="center" wrapText="1"/>
    </xf>
    <xf numFmtId="0" fontId="127" fillId="0" borderId="41" xfId="0" applyFont="1" applyBorder="1" applyAlignment="1">
      <alignment horizontal="left" vertical="center" wrapText="1"/>
    </xf>
    <xf numFmtId="0" fontId="128" fillId="0" borderId="42" xfId="0" applyFont="1" applyBorder="1" applyAlignment="1">
      <alignment vertical="center" wrapText="1"/>
    </xf>
    <xf numFmtId="0" fontId="127" fillId="0" borderId="124" xfId="0" applyFont="1" applyBorder="1" applyAlignment="1">
      <alignment horizontal="left" vertical="center" wrapText="1"/>
    </xf>
    <xf numFmtId="0" fontId="127" fillId="0" borderId="27" xfId="0" applyFont="1" applyBorder="1" applyAlignment="1">
      <alignment horizontal="left" vertical="center" wrapText="1"/>
    </xf>
    <xf numFmtId="0" fontId="128" fillId="0" borderId="77" xfId="0" applyFont="1" applyBorder="1" applyAlignment="1">
      <alignment horizontal="left" wrapText="1"/>
    </xf>
    <xf numFmtId="0" fontId="128" fillId="0" borderId="80" xfId="0" applyFont="1" applyBorder="1" applyAlignment="1">
      <alignment horizontal="left" wrapText="1"/>
    </xf>
    <xf numFmtId="0" fontId="128" fillId="0" borderId="82" xfId="0" applyFont="1" applyBorder="1" applyAlignment="1">
      <alignment horizontal="left" wrapText="1"/>
    </xf>
    <xf numFmtId="0" fontId="134" fillId="13" borderId="106" xfId="0" applyFont="1" applyFill="1" applyBorder="1" applyAlignment="1">
      <alignment horizontal="left" wrapText="1"/>
    </xf>
    <xf numFmtId="0" fontId="134" fillId="13" borderId="95" xfId="0" applyFont="1" applyFill="1" applyBorder="1" applyAlignment="1">
      <alignment horizontal="left" wrapText="1"/>
    </xf>
    <xf numFmtId="0" fontId="127" fillId="13" borderId="105" xfId="0" applyFont="1" applyFill="1" applyBorder="1" applyAlignment="1">
      <alignment horizontal="center" wrapText="1"/>
    </xf>
    <xf numFmtId="0" fontId="127" fillId="13" borderId="52" xfId="0" applyFont="1" applyFill="1" applyBorder="1" applyAlignment="1">
      <alignment horizontal="center" wrapText="1"/>
    </xf>
    <xf numFmtId="0" fontId="128" fillId="13" borderId="107" xfId="0" applyFont="1" applyFill="1" applyBorder="1" applyAlignment="1">
      <alignment horizontal="center" wrapText="1"/>
    </xf>
    <xf numFmtId="0" fontId="128" fillId="13" borderId="49" xfId="0" applyFont="1" applyFill="1" applyBorder="1" applyAlignment="1">
      <alignment horizontal="center" wrapText="1"/>
    </xf>
    <xf numFmtId="0" fontId="128" fillId="13" borderId="47" xfId="0" applyFont="1" applyFill="1" applyBorder="1" applyAlignment="1">
      <alignment horizontal="center" wrapText="1"/>
    </xf>
    <xf numFmtId="0" fontId="128" fillId="13" borderId="13" xfId="0" applyFont="1" applyFill="1" applyBorder="1" applyAlignment="1">
      <alignment horizontal="center" wrapText="1"/>
    </xf>
    <xf numFmtId="0" fontId="128" fillId="13" borderId="38" xfId="0" applyFont="1" applyFill="1" applyBorder="1" applyAlignment="1">
      <alignment horizontal="center" wrapText="1"/>
    </xf>
    <xf numFmtId="0" fontId="128" fillId="0" borderId="48" xfId="0" applyFont="1" applyBorder="1" applyAlignment="1">
      <alignment horizontal="center" vertical="center" wrapText="1"/>
    </xf>
    <xf numFmtId="0" fontId="128" fillId="0" borderId="18" xfId="0" applyFont="1" applyBorder="1" applyAlignment="1">
      <alignment horizontal="center" vertical="center" wrapText="1"/>
    </xf>
    <xf numFmtId="0" fontId="128" fillId="0" borderId="98" xfId="0" applyFont="1" applyBorder="1" applyAlignment="1">
      <alignment horizontal="center" vertical="center" wrapText="1"/>
    </xf>
    <xf numFmtId="0" fontId="127" fillId="13" borderId="14" xfId="0" applyFont="1" applyFill="1" applyBorder="1" applyAlignment="1">
      <alignment horizontal="left"/>
    </xf>
    <xf numFmtId="0" fontId="127" fillId="13" borderId="23" xfId="0" applyFont="1" applyFill="1" applyBorder="1" applyAlignment="1">
      <alignment horizontal="left"/>
    </xf>
    <xf numFmtId="0" fontId="130" fillId="13" borderId="21" xfId="0" applyFont="1" applyFill="1" applyBorder="1" applyAlignment="1">
      <alignment horizontal="center" wrapText="1"/>
    </xf>
    <xf numFmtId="0" fontId="24" fillId="6" borderId="46" xfId="0" applyFont="1" applyFill="1" applyBorder="1" applyAlignment="1">
      <alignment horizontal="center" vertical="center" wrapText="1"/>
    </xf>
    <xf numFmtId="0" fontId="24" fillId="6" borderId="50" xfId="0" applyFont="1" applyFill="1" applyBorder="1" applyAlignment="1">
      <alignment horizontal="center" vertical="center" wrapText="1"/>
    </xf>
    <xf numFmtId="0" fontId="44" fillId="0" borderId="124" xfId="0" applyFont="1" applyBorder="1" applyAlignment="1">
      <alignment horizontal="left" vertical="top" wrapText="1"/>
    </xf>
    <xf numFmtId="0" fontId="52" fillId="0" borderId="26" xfId="0" applyFont="1" applyBorder="1" applyAlignment="1">
      <alignment vertical="top" wrapText="1"/>
    </xf>
    <xf numFmtId="0" fontId="30" fillId="0" borderId="124" xfId="0" applyFont="1" applyBorder="1" applyAlignment="1">
      <alignment horizontal="left" vertical="top" wrapText="1"/>
    </xf>
    <xf numFmtId="0" fontId="30" fillId="0" borderId="27" xfId="0" applyFont="1" applyBorder="1" applyAlignment="1">
      <alignment horizontal="left" vertical="top" wrapText="1"/>
    </xf>
    <xf numFmtId="0" fontId="52" fillId="0" borderId="28" xfId="0" applyFont="1" applyBorder="1" applyAlignment="1">
      <alignment vertical="top" wrapText="1"/>
    </xf>
    <xf numFmtId="0" fontId="30" fillId="0" borderId="124" xfId="0" applyFont="1" applyFill="1" applyBorder="1" applyAlignment="1">
      <alignment horizontal="left" vertical="center" wrapText="1"/>
    </xf>
    <xf numFmtId="0" fontId="121" fillId="0" borderId="26" xfId="0" applyFont="1" applyFill="1" applyBorder="1" applyAlignment="1">
      <alignment vertical="center" wrapText="1"/>
    </xf>
    <xf numFmtId="0" fontId="20" fillId="0" borderId="124"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21" fillId="0" borderId="28" xfId="0" applyFont="1" applyFill="1" applyBorder="1" applyAlignment="1">
      <alignment vertical="center" wrapText="1"/>
    </xf>
    <xf numFmtId="0" fontId="30" fillId="0" borderId="41" xfId="0" applyFont="1" applyBorder="1" applyAlignment="1">
      <alignment horizontal="left" vertical="center" wrapText="1"/>
    </xf>
    <xf numFmtId="0" fontId="52" fillId="0" borderId="42" xfId="0" applyFont="1" applyBorder="1" applyAlignment="1">
      <alignment wrapText="1"/>
    </xf>
    <xf numFmtId="0" fontId="52" fillId="0" borderId="26" xfId="0" applyFont="1" applyBorder="1" applyAlignment="1">
      <alignment wrapText="1"/>
    </xf>
    <xf numFmtId="0" fontId="30" fillId="0" borderId="27" xfId="0" applyFont="1" applyBorder="1" applyAlignment="1">
      <alignment horizontal="left" vertical="center" wrapText="1"/>
    </xf>
    <xf numFmtId="0" fontId="52" fillId="0" borderId="28" xfId="0" applyFont="1" applyBorder="1" applyAlignment="1">
      <alignment wrapText="1"/>
    </xf>
    <xf numFmtId="0" fontId="22" fillId="6" borderId="106" xfId="0" applyFont="1" applyFill="1" applyBorder="1" applyAlignment="1">
      <alignment horizontal="left" vertical="center"/>
    </xf>
    <xf numFmtId="0" fontId="22" fillId="6" borderId="95" xfId="0" applyFont="1" applyFill="1" applyBorder="1" applyAlignment="1">
      <alignment horizontal="left" vertical="center"/>
    </xf>
    <xf numFmtId="0" fontId="23" fillId="6" borderId="107" xfId="0" applyFont="1" applyFill="1" applyBorder="1" applyAlignment="1">
      <alignment horizontal="center" vertical="center" wrapText="1"/>
    </xf>
    <xf numFmtId="0" fontId="23" fillId="6" borderId="49" xfId="0" applyFont="1" applyFill="1" applyBorder="1" applyAlignment="1">
      <alignment horizontal="center" vertical="center" wrapText="1"/>
    </xf>
    <xf numFmtId="0" fontId="39" fillId="0" borderId="124" xfId="0" applyFont="1" applyBorder="1" applyAlignment="1">
      <alignment horizontal="left" vertical="center" wrapText="1"/>
    </xf>
    <xf numFmtId="0" fontId="52" fillId="0" borderId="27" xfId="0" applyFont="1" applyBorder="1" applyAlignment="1"/>
    <xf numFmtId="0" fontId="39" fillId="0" borderId="124" xfId="0" applyFont="1" applyBorder="1" applyAlignment="1">
      <alignment horizontal="left" vertical="top" wrapText="1"/>
    </xf>
    <xf numFmtId="0" fontId="52" fillId="0" borderId="26" xfId="0" applyFont="1" applyBorder="1" applyAlignment="1">
      <alignment vertical="top"/>
    </xf>
    <xf numFmtId="0" fontId="52" fillId="0" borderId="27" xfId="0" applyFont="1" applyBorder="1" applyAlignment="1">
      <alignment vertical="top"/>
    </xf>
    <xf numFmtId="0" fontId="52" fillId="0" borderId="28" xfId="0" applyFont="1" applyBorder="1" applyAlignment="1">
      <alignment vertical="top"/>
    </xf>
    <xf numFmtId="0" fontId="22" fillId="11" borderId="106" xfId="0" applyFont="1" applyFill="1" applyBorder="1" applyAlignment="1">
      <alignment horizontal="left" vertical="center" wrapText="1"/>
    </xf>
    <xf numFmtId="0" fontId="22" fillId="11" borderId="95" xfId="0" applyFont="1" applyFill="1" applyBorder="1" applyAlignment="1">
      <alignment horizontal="left" vertical="center" wrapText="1"/>
    </xf>
    <xf numFmtId="0" fontId="32" fillId="11" borderId="105"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52" fillId="0" borderId="26" xfId="0" applyFont="1" applyBorder="1" applyAlignment="1">
      <alignment horizontal="left"/>
    </xf>
    <xf numFmtId="0" fontId="39" fillId="0" borderId="27" xfId="0" applyFont="1" applyBorder="1" applyAlignment="1">
      <alignment horizontal="left"/>
    </xf>
    <xf numFmtId="0" fontId="52" fillId="0" borderId="28" xfId="0" applyFont="1" applyBorder="1" applyAlignment="1">
      <alignment horizontal="left"/>
    </xf>
    <xf numFmtId="0" fontId="23" fillId="11" borderId="107" xfId="0" applyFont="1" applyFill="1" applyBorder="1" applyAlignment="1">
      <alignment horizontal="center" vertical="center" wrapText="1"/>
    </xf>
    <xf numFmtId="0" fontId="23" fillId="11" borderId="49" xfId="0" applyFont="1" applyFill="1" applyBorder="1" applyAlignment="1">
      <alignment horizontal="center" vertical="center" wrapText="1"/>
    </xf>
    <xf numFmtId="0" fontId="0" fillId="0" borderId="26" xfId="0" applyBorder="1" applyAlignment="1">
      <alignment horizontal="left"/>
    </xf>
    <xf numFmtId="0" fontId="0" fillId="0" borderId="28" xfId="0" applyBorder="1" applyAlignment="1">
      <alignment horizontal="left"/>
    </xf>
    <xf numFmtId="0" fontId="44" fillId="0" borderId="41" xfId="0" applyFont="1" applyBorder="1" applyAlignment="1">
      <alignment horizontal="left" vertical="top" wrapText="1"/>
    </xf>
    <xf numFmtId="0" fontId="47" fillId="0" borderId="42" xfId="0" applyFont="1" applyBorder="1" applyAlignment="1">
      <alignment vertical="top" wrapText="1"/>
    </xf>
    <xf numFmtId="0" fontId="86" fillId="0" borderId="124" xfId="0" applyFont="1" applyBorder="1" applyAlignment="1">
      <alignment horizontal="left" vertical="top" wrapText="1"/>
    </xf>
    <xf numFmtId="0" fontId="47" fillId="0" borderId="26" xfId="0" applyFont="1" applyBorder="1" applyAlignment="1">
      <alignment vertical="top" wrapText="1"/>
    </xf>
    <xf numFmtId="0" fontId="86" fillId="0" borderId="27" xfId="0" applyFont="1" applyBorder="1" applyAlignment="1">
      <alignment horizontal="left" vertical="top" wrapText="1"/>
    </xf>
    <xf numFmtId="0" fontId="47" fillId="0" borderId="28" xfId="0" applyFont="1" applyBorder="1" applyAlignment="1">
      <alignment vertical="top" wrapText="1"/>
    </xf>
    <xf numFmtId="0" fontId="22" fillId="13" borderId="106" xfId="0" applyFont="1" applyFill="1" applyBorder="1" applyAlignment="1">
      <alignment horizontal="left" vertical="center" wrapText="1"/>
    </xf>
    <xf numFmtId="0" fontId="22" fillId="13" borderId="95" xfId="0" applyFont="1" applyFill="1" applyBorder="1" applyAlignment="1">
      <alignment horizontal="left" vertical="center" wrapText="1"/>
    </xf>
    <xf numFmtId="0" fontId="12" fillId="13" borderId="105" xfId="0" applyFont="1" applyFill="1" applyBorder="1" applyAlignment="1">
      <alignment horizontal="center" vertical="center" wrapText="1"/>
    </xf>
    <xf numFmtId="0" fontId="12" fillId="13" borderId="52" xfId="0" applyFont="1" applyFill="1" applyBorder="1" applyAlignment="1">
      <alignment horizontal="center" vertical="center" wrapText="1"/>
    </xf>
    <xf numFmtId="0" fontId="23" fillId="13" borderId="107" xfId="0" applyFont="1" applyFill="1" applyBorder="1" applyAlignment="1">
      <alignment horizontal="center" vertical="center" wrapText="1"/>
    </xf>
    <xf numFmtId="0" fontId="23" fillId="13" borderId="49" xfId="0" applyFont="1" applyFill="1" applyBorder="1" applyAlignment="1">
      <alignment horizontal="center" vertical="center" wrapText="1"/>
    </xf>
    <xf numFmtId="0" fontId="38" fillId="0" borderId="124" xfId="0" applyFont="1" applyBorder="1" applyAlignment="1">
      <alignment horizontal="left" vertical="top" wrapText="1"/>
    </xf>
    <xf numFmtId="0" fontId="121" fillId="0" borderId="26" xfId="0" applyFont="1" applyBorder="1" applyAlignment="1">
      <alignment vertical="top"/>
    </xf>
    <xf numFmtId="0" fontId="38" fillId="0" borderId="27" xfId="0" applyFont="1" applyBorder="1" applyAlignment="1">
      <alignment horizontal="left" vertical="top"/>
    </xf>
    <xf numFmtId="0" fontId="121" fillId="0" borderId="28" xfId="0" applyFont="1" applyBorder="1" applyAlignment="1">
      <alignment vertical="top"/>
    </xf>
    <xf numFmtId="0" fontId="52" fillId="0" borderId="48"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98" xfId="0" applyFont="1" applyBorder="1" applyAlignment="1">
      <alignment horizontal="center" vertical="center" wrapText="1"/>
    </xf>
    <xf numFmtId="0" fontId="12" fillId="13" borderId="14" xfId="0" applyFont="1" applyFill="1" applyBorder="1" applyAlignment="1">
      <alignment horizontal="left" vertical="center"/>
    </xf>
    <xf numFmtId="0" fontId="12" fillId="13" borderId="23" xfId="0" applyFont="1" applyFill="1" applyBorder="1" applyAlignment="1">
      <alignment horizontal="left" vertical="center"/>
    </xf>
    <xf numFmtId="0" fontId="15" fillId="13" borderId="15"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0" borderId="80" xfId="0" applyFont="1" applyBorder="1" applyAlignment="1">
      <alignment horizontal="center" vertical="center" wrapText="1"/>
    </xf>
    <xf numFmtId="0" fontId="15" fillId="0" borderId="172" xfId="0" applyFont="1" applyBorder="1" applyAlignment="1">
      <alignment horizontal="center" vertical="center" wrapText="1"/>
    </xf>
    <xf numFmtId="0" fontId="19" fillId="0" borderId="80" xfId="0" applyFont="1" applyBorder="1" applyAlignment="1">
      <alignment horizontal="left" vertical="center" wrapText="1"/>
    </xf>
    <xf numFmtId="0" fontId="15" fillId="0" borderId="172" xfId="0" applyFont="1" applyBorder="1" applyAlignment="1">
      <alignment horizontal="left" vertical="center" wrapText="1"/>
    </xf>
    <xf numFmtId="0" fontId="15" fillId="7" borderId="80" xfId="0" applyFont="1" applyFill="1" applyBorder="1" applyAlignment="1">
      <alignment horizontal="left" vertical="center" wrapText="1"/>
    </xf>
    <xf numFmtId="0" fontId="15" fillId="7" borderId="172" xfId="0" applyFont="1" applyFill="1" applyBorder="1" applyAlignment="1">
      <alignment horizontal="left" vertical="center" wrapText="1"/>
    </xf>
    <xf numFmtId="0" fontId="12" fillId="3" borderId="145" xfId="0" applyFont="1" applyFill="1" applyBorder="1" applyAlignment="1">
      <alignment horizontal="center" wrapText="1"/>
    </xf>
    <xf numFmtId="0" fontId="41" fillId="3" borderId="145" xfId="0" applyFont="1" applyFill="1" applyBorder="1" applyAlignment="1">
      <alignment horizontal="center" wrapText="1"/>
    </xf>
    <xf numFmtId="0" fontId="18" fillId="7" borderId="170" xfId="0" applyFont="1" applyFill="1" applyBorder="1" applyAlignment="1">
      <alignment horizontal="left" vertical="center" wrapText="1"/>
    </xf>
    <xf numFmtId="0" fontId="18" fillId="7" borderId="171" xfId="0" applyFont="1" applyFill="1" applyBorder="1" applyAlignment="1">
      <alignment horizontal="left" vertical="center" wrapText="1"/>
    </xf>
    <xf numFmtId="0" fontId="15" fillId="0" borderId="80" xfId="0" applyFont="1" applyBorder="1" applyAlignment="1">
      <alignment horizontal="left" vertical="center" wrapText="1"/>
    </xf>
    <xf numFmtId="0" fontId="15" fillId="0" borderId="173" xfId="0" applyFont="1" applyBorder="1" applyAlignment="1">
      <alignment horizontal="center" vertical="center" wrapText="1"/>
    </xf>
    <xf numFmtId="0" fontId="15" fillId="0" borderId="174" xfId="0" applyFont="1" applyBorder="1" applyAlignment="1">
      <alignment horizontal="center" vertical="center" wrapText="1"/>
    </xf>
    <xf numFmtId="0" fontId="19" fillId="0" borderId="170" xfId="0" applyFont="1" applyBorder="1" applyAlignment="1">
      <alignment horizontal="left" vertical="top" wrapText="1"/>
    </xf>
    <xf numFmtId="0" fontId="19" fillId="0" borderId="171" xfId="0" applyFont="1" applyBorder="1" applyAlignment="1">
      <alignment horizontal="left" vertical="top" wrapText="1"/>
    </xf>
    <xf numFmtId="0" fontId="15" fillId="0" borderId="80" xfId="0" applyFont="1" applyBorder="1" applyAlignment="1">
      <alignment horizontal="left" vertical="top" wrapText="1"/>
    </xf>
    <xf numFmtId="0" fontId="15" fillId="0" borderId="172" xfId="0" applyFont="1" applyBorder="1" applyAlignment="1">
      <alignment horizontal="left" vertical="top" wrapText="1"/>
    </xf>
    <xf numFmtId="0" fontId="19" fillId="0" borderId="170" xfId="0" applyFont="1" applyBorder="1" applyAlignment="1">
      <alignment horizontal="left" vertical="center" wrapText="1"/>
    </xf>
    <xf numFmtId="0" fontId="19" fillId="0" borderId="171" xfId="0" applyFont="1" applyBorder="1" applyAlignment="1">
      <alignment horizontal="left" vertical="center" wrapText="1"/>
    </xf>
    <xf numFmtId="0" fontId="18" fillId="0" borderId="80" xfId="0" applyFont="1" applyBorder="1" applyAlignment="1">
      <alignment horizontal="left" vertical="center" wrapText="1"/>
    </xf>
    <xf numFmtId="0" fontId="18" fillId="0" borderId="172" xfId="0" applyFont="1" applyBorder="1" applyAlignment="1">
      <alignment horizontal="left" vertical="center" wrapText="1"/>
    </xf>
    <xf numFmtId="0" fontId="18" fillId="0" borderId="80" xfId="0" applyFont="1" applyBorder="1" applyAlignment="1">
      <alignment horizontal="center" vertical="center" wrapText="1"/>
    </xf>
    <xf numFmtId="0" fontId="18" fillId="0" borderId="172" xfId="0" applyFont="1" applyBorder="1" applyAlignment="1">
      <alignment horizontal="center" vertical="center" wrapText="1"/>
    </xf>
    <xf numFmtId="0" fontId="36" fillId="6" borderId="145" xfId="0" applyFont="1" applyFill="1" applyBorder="1" applyAlignment="1">
      <alignment horizontal="center" wrapText="1"/>
    </xf>
    <xf numFmtId="0" fontId="18" fillId="0" borderId="173" xfId="0" applyFont="1" applyBorder="1" applyAlignment="1">
      <alignment horizontal="center" vertical="center" wrapText="1"/>
    </xf>
    <xf numFmtId="0" fontId="18" fillId="0" borderId="174" xfId="0" applyFont="1" applyBorder="1" applyAlignment="1">
      <alignment horizontal="center" vertical="center" wrapText="1"/>
    </xf>
    <xf numFmtId="0" fontId="22" fillId="6" borderId="145" xfId="0" applyFont="1" applyFill="1" applyBorder="1" applyAlignment="1">
      <alignment horizontal="left"/>
    </xf>
    <xf numFmtId="0" fontId="12" fillId="6" borderId="145" xfId="0" applyFont="1" applyFill="1" applyBorder="1" applyAlignment="1">
      <alignment horizontal="center" wrapText="1"/>
    </xf>
    <xf numFmtId="0" fontId="27" fillId="6" borderId="145" xfId="0" applyFont="1" applyFill="1" applyBorder="1" applyAlignment="1">
      <alignment horizontal="center" wrapText="1"/>
    </xf>
    <xf numFmtId="0" fontId="23" fillId="0" borderId="172" xfId="0" applyFont="1" applyBorder="1" applyAlignment="1">
      <alignment horizontal="left" vertical="center" wrapText="1"/>
    </xf>
    <xf numFmtId="0" fontId="33" fillId="0" borderId="170" xfId="0" applyFont="1" applyBorder="1" applyAlignment="1">
      <alignment horizontal="left" vertical="center" wrapText="1"/>
    </xf>
    <xf numFmtId="0" fontId="0" fillId="0" borderId="171" xfId="0" applyBorder="1" applyAlignment="1"/>
    <xf numFmtId="0" fontId="30" fillId="0" borderId="80" xfId="0" applyFont="1" applyBorder="1" applyAlignment="1">
      <alignment horizontal="left" vertical="center" wrapText="1"/>
    </xf>
    <xf numFmtId="0" fontId="0" fillId="0" borderId="172" xfId="0" applyBorder="1" applyAlignment="1"/>
    <xf numFmtId="0" fontId="30" fillId="0" borderId="173" xfId="0" applyFont="1" applyBorder="1" applyAlignment="1"/>
    <xf numFmtId="0" fontId="0" fillId="0" borderId="174" xfId="0" applyBorder="1" applyAlignment="1"/>
    <xf numFmtId="0" fontId="26" fillId="0" borderId="80" xfId="0" applyFont="1" applyBorder="1" applyAlignment="1">
      <alignment horizontal="left" vertical="center" wrapText="1"/>
    </xf>
    <xf numFmtId="0" fontId="26" fillId="0" borderId="172" xfId="0" applyFont="1" applyBorder="1" applyAlignment="1">
      <alignment horizontal="left" vertical="center" wrapText="1"/>
    </xf>
    <xf numFmtId="0" fontId="23" fillId="0" borderId="173" xfId="0" applyFont="1" applyBorder="1" applyAlignment="1">
      <alignment horizontal="left" vertical="center" wrapText="1"/>
    </xf>
    <xf numFmtId="0" fontId="23" fillId="0" borderId="174" xfId="0" applyFont="1" applyBorder="1" applyAlignment="1">
      <alignment horizontal="left" vertical="center" wrapText="1"/>
    </xf>
    <xf numFmtId="0" fontId="18" fillId="0" borderId="170" xfId="0" applyFont="1" applyBorder="1" applyAlignment="1">
      <alignment horizontal="left" vertical="center" wrapText="1"/>
    </xf>
    <xf numFmtId="0" fontId="18" fillId="0" borderId="171" xfId="0" applyFont="1" applyBorder="1" applyAlignment="1">
      <alignment horizontal="left" vertical="center" wrapText="1"/>
    </xf>
    <xf numFmtId="0" fontId="23" fillId="0" borderId="172" xfId="0" applyFont="1" applyBorder="1" applyAlignment="1">
      <alignment horizontal="left" wrapText="1"/>
    </xf>
    <xf numFmtId="0" fontId="19" fillId="0" borderId="172" xfId="0" applyFont="1" applyBorder="1" applyAlignment="1">
      <alignment horizontal="left" vertical="center" wrapText="1"/>
    </xf>
    <xf numFmtId="0" fontId="23" fillId="0" borderId="173" xfId="0" applyFont="1" applyBorder="1" applyAlignment="1">
      <alignment horizontal="left" wrapText="1"/>
    </xf>
    <xf numFmtId="0" fontId="23" fillId="0" borderId="174" xfId="0" applyFont="1" applyBorder="1" applyAlignment="1">
      <alignment horizontal="left" wrapText="1"/>
    </xf>
    <xf numFmtId="0" fontId="26" fillId="0" borderId="170" xfId="0" applyFont="1" applyBorder="1" applyAlignment="1">
      <alignment horizontal="left" vertical="center" wrapText="1"/>
    </xf>
    <xf numFmtId="0" fontId="23" fillId="0" borderId="173" xfId="0" applyFont="1" applyBorder="1" applyAlignment="1"/>
    <xf numFmtId="0" fontId="22" fillId="11" borderId="145" xfId="0" applyFont="1" applyFill="1" applyBorder="1" applyAlignment="1">
      <alignment horizontal="left" wrapText="1"/>
    </xf>
    <xf numFmtId="0" fontId="32" fillId="11" borderId="145" xfId="0" applyFont="1" applyFill="1" applyBorder="1" applyAlignment="1">
      <alignment horizontal="center" wrapText="1"/>
    </xf>
    <xf numFmtId="0" fontId="12" fillId="11" borderId="145" xfId="0" applyFont="1" applyFill="1" applyBorder="1" applyAlignment="1">
      <alignment horizontal="center" wrapText="1"/>
    </xf>
    <xf numFmtId="0" fontId="36" fillId="11" borderId="145" xfId="0" applyFont="1" applyFill="1" applyBorder="1" applyAlignment="1">
      <alignment horizontal="center" wrapText="1"/>
    </xf>
    <xf numFmtId="0" fontId="23" fillId="11" borderId="145" xfId="0" applyFont="1" applyFill="1" applyBorder="1" applyAlignment="1">
      <alignment horizontal="center" wrapText="1"/>
    </xf>
    <xf numFmtId="0" fontId="122" fillId="7" borderId="114" xfId="0" applyFont="1" applyFill="1" applyBorder="1" applyAlignment="1">
      <alignment horizontal="left" vertical="top" wrapText="1"/>
    </xf>
    <xf numFmtId="0" fontId="122" fillId="7" borderId="115" xfId="0" applyFont="1" applyFill="1" applyBorder="1" applyAlignment="1">
      <alignment horizontal="left" vertical="top" wrapText="1"/>
    </xf>
    <xf numFmtId="0" fontId="122" fillId="7" borderId="116" xfId="0" applyFont="1" applyFill="1" applyBorder="1" applyAlignment="1">
      <alignment horizontal="left" vertical="top" wrapText="1"/>
    </xf>
    <xf numFmtId="0" fontId="36" fillId="11" borderId="114" xfId="0" applyFont="1" applyFill="1" applyBorder="1" applyAlignment="1">
      <alignment horizontal="center" wrapText="1"/>
    </xf>
    <xf numFmtId="0" fontId="36" fillId="11" borderId="116" xfId="0" applyFont="1" applyFill="1" applyBorder="1" applyAlignment="1">
      <alignment horizontal="center" wrapText="1"/>
    </xf>
    <xf numFmtId="0" fontId="22" fillId="12" borderId="145" xfId="0" applyFont="1" applyFill="1" applyBorder="1" applyAlignment="1">
      <alignment horizontal="left" wrapText="1"/>
    </xf>
    <xf numFmtId="0" fontId="32" fillId="12" borderId="145" xfId="0" applyFont="1" applyFill="1" applyBorder="1" applyAlignment="1">
      <alignment horizontal="center" wrapText="1"/>
    </xf>
    <xf numFmtId="0" fontId="36" fillId="12" borderId="145" xfId="0" applyFont="1" applyFill="1" applyBorder="1" applyAlignment="1">
      <alignment horizontal="center" wrapText="1"/>
    </xf>
    <xf numFmtId="0" fontId="39" fillId="0" borderId="80" xfId="0" applyFont="1" applyBorder="1" applyAlignment="1">
      <alignment horizontal="left" vertical="center" wrapText="1"/>
    </xf>
    <xf numFmtId="0" fontId="39" fillId="0" borderId="172" xfId="0" applyFont="1" applyBorder="1" applyAlignment="1">
      <alignment horizontal="left" vertical="center" wrapText="1"/>
    </xf>
    <xf numFmtId="0" fontId="23" fillId="12" borderId="145" xfId="0" applyFont="1" applyFill="1" applyBorder="1" applyAlignment="1">
      <alignment horizontal="center" wrapText="1"/>
    </xf>
    <xf numFmtId="0" fontId="23" fillId="0" borderId="173" xfId="0" applyFont="1" applyBorder="1" applyAlignment="1">
      <alignment horizontal="left"/>
    </xf>
    <xf numFmtId="0" fontId="23" fillId="0" borderId="170" xfId="0" applyFont="1" applyBorder="1" applyAlignment="1">
      <alignment horizontal="left" wrapText="1"/>
    </xf>
    <xf numFmtId="0" fontId="0" fillId="0" borderId="171" xfId="0" applyBorder="1" applyAlignment="1">
      <alignment wrapText="1"/>
    </xf>
    <xf numFmtId="0" fontId="0" fillId="0" borderId="172" xfId="0" applyBorder="1" applyAlignment="1">
      <alignment wrapText="1"/>
    </xf>
    <xf numFmtId="0" fontId="0" fillId="0" borderId="174" xfId="0" applyBorder="1" applyAlignment="1">
      <alignment wrapText="1"/>
    </xf>
    <xf numFmtId="0" fontId="22" fillId="13" borderId="145" xfId="0" applyFont="1" applyFill="1" applyBorder="1" applyAlignment="1">
      <alignment horizontal="left" wrapText="1"/>
    </xf>
    <xf numFmtId="0" fontId="12" fillId="13" borderId="145" xfId="0" applyFont="1" applyFill="1" applyBorder="1" applyAlignment="1">
      <alignment horizontal="center" wrapText="1"/>
    </xf>
    <xf numFmtId="0" fontId="23" fillId="13" borderId="145" xfId="0" applyFont="1" applyFill="1" applyBorder="1" applyAlignment="1">
      <alignment horizontal="center" wrapText="1"/>
    </xf>
    <xf numFmtId="0" fontId="39" fillId="0" borderId="173" xfId="0" applyFont="1" applyBorder="1" applyAlignment="1">
      <alignment horizontal="left" wrapText="1"/>
    </xf>
    <xf numFmtId="0" fontId="39" fillId="0" borderId="174" xfId="0" applyFont="1" applyBorder="1" applyAlignment="1">
      <alignment horizontal="left" wrapText="1"/>
    </xf>
    <xf numFmtId="0" fontId="12" fillId="13" borderId="145" xfId="0" applyFont="1" applyFill="1" applyBorder="1" applyAlignment="1">
      <alignment horizontal="left"/>
    </xf>
    <xf numFmtId="0" fontId="15" fillId="13" borderId="145" xfId="0" applyFont="1" applyFill="1" applyBorder="1" applyAlignment="1">
      <alignment horizontal="center" wrapText="1"/>
    </xf>
    <xf numFmtId="0" fontId="15" fillId="0" borderId="170" xfId="0" applyFont="1" applyBorder="1" applyAlignment="1">
      <alignment horizontal="left" vertical="center" wrapText="1"/>
    </xf>
    <xf numFmtId="0" fontId="0" fillId="0" borderId="171" xfId="0" applyBorder="1" applyAlignment="1">
      <alignment vertical="center" wrapText="1"/>
    </xf>
    <xf numFmtId="0" fontId="0" fillId="0" borderId="172" xfId="0" applyBorder="1" applyAlignment="1">
      <alignment vertical="center" wrapText="1"/>
    </xf>
    <xf numFmtId="0" fontId="15" fillId="0" borderId="173" xfId="0" applyFont="1" applyBorder="1" applyAlignment="1">
      <alignment horizontal="left" vertical="center" wrapText="1"/>
    </xf>
    <xf numFmtId="0" fontId="0" fillId="0" borderId="174" xfId="0" applyBorder="1" applyAlignment="1">
      <alignment vertical="center" wrapText="1"/>
    </xf>
    <xf numFmtId="0" fontId="0" fillId="0" borderId="170" xfId="0" applyBorder="1" applyAlignment="1">
      <alignment horizontal="left" vertical="center" wrapText="1"/>
    </xf>
    <xf numFmtId="0" fontId="0" fillId="0" borderId="80" xfId="0" applyBorder="1" applyAlignment="1">
      <alignment horizontal="left" vertical="center" wrapText="1"/>
    </xf>
    <xf numFmtId="0" fontId="0" fillId="0" borderId="173" xfId="0" applyBorder="1" applyAlignment="1">
      <alignment horizontal="left" vertical="center" wrapText="1"/>
    </xf>
    <xf numFmtId="0" fontId="21" fillId="4" borderId="171" xfId="0" applyFont="1" applyFill="1" applyBorder="1" applyAlignment="1">
      <alignment horizontal="center"/>
    </xf>
    <xf numFmtId="0" fontId="21" fillId="4" borderId="172" xfId="0" applyFont="1" applyFill="1" applyBorder="1" applyAlignment="1">
      <alignment horizontal="center"/>
    </xf>
    <xf numFmtId="0" fontId="21" fillId="4" borderId="174" xfId="0" applyFont="1" applyFill="1" applyBorder="1" applyAlignment="1">
      <alignment horizontal="center"/>
    </xf>
    <xf numFmtId="4" fontId="21" fillId="0" borderId="145" xfId="0" applyNumberFormat="1" applyFont="1" applyBorder="1" applyAlignment="1">
      <alignment horizontal="right" vertical="center"/>
    </xf>
    <xf numFmtId="4" fontId="45" fillId="7" borderId="114" xfId="0" applyNumberFormat="1" applyFont="1" applyFill="1" applyBorder="1" applyAlignment="1">
      <alignment horizontal="center" vertical="center" wrapText="1"/>
    </xf>
    <xf numFmtId="4" fontId="45" fillId="7" borderId="115" xfId="0" applyNumberFormat="1" applyFont="1" applyFill="1" applyBorder="1" applyAlignment="1">
      <alignment horizontal="center" vertical="center" wrapText="1"/>
    </xf>
    <xf numFmtId="4" fontId="45" fillId="7" borderId="116" xfId="0" applyNumberFormat="1" applyFont="1" applyFill="1" applyBorder="1" applyAlignment="1">
      <alignment horizontal="center" vertical="center" wrapText="1"/>
    </xf>
    <xf numFmtId="4" fontId="21" fillId="7" borderId="114" xfId="0" applyNumberFormat="1" applyFont="1" applyFill="1" applyBorder="1" applyAlignment="1"/>
    <xf numFmtId="4" fontId="21" fillId="7" borderId="115" xfId="0" applyNumberFormat="1" applyFont="1" applyFill="1" applyBorder="1" applyAlignment="1"/>
    <xf numFmtId="4" fontId="21" fillId="7" borderId="116" xfId="0" applyNumberFormat="1" applyFont="1" applyFill="1" applyBorder="1" applyAlignment="1"/>
    <xf numFmtId="0" fontId="21" fillId="0" borderId="145" xfId="0" applyFont="1" applyBorder="1" applyAlignment="1">
      <alignment horizontal="center"/>
    </xf>
    <xf numFmtId="166" fontId="30" fillId="0" borderId="155" xfId="2" applyFont="1" applyFill="1" applyBorder="1" applyAlignment="1">
      <alignment horizontal="left" vertical="top" wrapText="1"/>
    </xf>
    <xf numFmtId="166" fontId="103" fillId="0" borderId="118" xfId="2" applyFont="1" applyFill="1" applyBorder="1" applyAlignment="1">
      <alignment horizontal="left" vertical="top" wrapText="1"/>
    </xf>
    <xf numFmtId="166" fontId="103" fillId="0" borderId="155" xfId="2" applyFont="1" applyFill="1" applyBorder="1" applyAlignment="1">
      <alignment horizontal="left" vertical="top" wrapText="1"/>
    </xf>
    <xf numFmtId="166" fontId="103" fillId="0" borderId="156" xfId="2" applyFont="1" applyFill="1" applyBorder="1" applyAlignment="1">
      <alignment horizontal="left" vertical="top" wrapText="1"/>
    </xf>
    <xf numFmtId="166" fontId="103" fillId="0" borderId="157" xfId="2" applyFont="1" applyFill="1" applyBorder="1" applyAlignment="1">
      <alignment horizontal="left" vertical="top" wrapText="1"/>
    </xf>
    <xf numFmtId="166" fontId="93" fillId="0" borderId="0" xfId="2" applyFont="1" applyFill="1" applyBorder="1" applyAlignment="1"/>
    <xf numFmtId="166" fontId="96" fillId="19" borderId="146" xfId="2" applyFont="1" applyFill="1" applyBorder="1" applyAlignment="1">
      <alignment horizontal="center"/>
    </xf>
    <xf numFmtId="0" fontId="0" fillId="19" borderId="147" xfId="0" applyFill="1" applyBorder="1"/>
    <xf numFmtId="166" fontId="97" fillId="19" borderId="148" xfId="2" applyFont="1" applyFill="1" applyBorder="1" applyAlignment="1">
      <alignment horizontal="left" vertical="top" wrapText="1"/>
    </xf>
    <xf numFmtId="166" fontId="94" fillId="20" borderId="152" xfId="2" applyFont="1" applyFill="1" applyBorder="1" applyAlignment="1">
      <alignment horizontal="center" wrapText="1"/>
    </xf>
    <xf numFmtId="166" fontId="94" fillId="20" borderId="151" xfId="2" applyFont="1" applyFill="1" applyBorder="1" applyAlignment="1">
      <alignment horizontal="center" wrapText="1"/>
    </xf>
    <xf numFmtId="166" fontId="103" fillId="0" borderId="159" xfId="2" applyFont="1" applyFill="1" applyBorder="1" applyAlignment="1">
      <alignment horizontal="left" vertical="center" wrapText="1"/>
    </xf>
    <xf numFmtId="166" fontId="103" fillId="0" borderId="151" xfId="2" applyFont="1" applyFill="1" applyBorder="1" applyAlignment="1">
      <alignment horizontal="left" vertical="center" wrapText="1"/>
    </xf>
    <xf numFmtId="166" fontId="102" fillId="24" borderId="150" xfId="2" applyFont="1" applyFill="1" applyBorder="1" applyAlignment="1">
      <alignment horizontal="left"/>
    </xf>
    <xf numFmtId="166" fontId="103" fillId="24" borderId="151" xfId="2" applyFont="1" applyFill="1" applyBorder="1" applyAlignment="1">
      <alignment horizontal="left" wrapText="1"/>
    </xf>
    <xf numFmtId="166" fontId="104" fillId="24" borderId="161" xfId="2" applyFont="1" applyFill="1" applyBorder="1" applyAlignment="1">
      <alignment horizontal="center" wrapText="1"/>
    </xf>
    <xf numFmtId="166" fontId="104" fillId="24" borderId="158" xfId="2" applyFont="1" applyFill="1" applyBorder="1" applyAlignment="1">
      <alignment horizontal="center" wrapText="1"/>
    </xf>
    <xf numFmtId="166" fontId="30" fillId="0" borderId="159" xfId="2" applyFont="1" applyFill="1" applyBorder="1" applyAlignment="1">
      <alignment horizontal="left" vertical="center" wrapText="1"/>
    </xf>
    <xf numFmtId="166" fontId="102" fillId="28" borderId="150" xfId="2" applyFont="1" applyFill="1" applyBorder="1" applyAlignment="1">
      <alignment horizontal="left" wrapText="1"/>
    </xf>
    <xf numFmtId="166" fontId="100" fillId="28" borderId="150" xfId="2" applyFont="1" applyFill="1" applyBorder="1" applyAlignment="1">
      <alignment horizontal="center" wrapText="1"/>
    </xf>
    <xf numFmtId="166" fontId="104" fillId="28" borderId="158" xfId="2" applyFont="1" applyFill="1" applyBorder="1" applyAlignment="1">
      <alignment horizontal="center" wrapText="1"/>
    </xf>
    <xf numFmtId="166" fontId="103" fillId="28" borderId="161" xfId="2" applyFont="1" applyFill="1" applyBorder="1" applyAlignment="1">
      <alignment horizontal="center" wrapText="1"/>
    </xf>
    <xf numFmtId="166" fontId="103" fillId="28" borderId="151" xfId="2" applyFont="1" applyFill="1" applyBorder="1" applyAlignment="1">
      <alignment horizontal="center" wrapText="1"/>
    </xf>
    <xf numFmtId="0" fontId="0" fillId="0" borderId="159" xfId="0" applyFill="1" applyBorder="1"/>
    <xf numFmtId="0" fontId="52" fillId="0" borderId="155" xfId="0" applyFont="1" applyFill="1" applyBorder="1" applyAlignment="1">
      <alignment vertical="center" wrapText="1"/>
    </xf>
    <xf numFmtId="0" fontId="52" fillId="0" borderId="118" xfId="0" applyFont="1" applyFill="1" applyBorder="1" applyAlignment="1">
      <alignment vertical="center" wrapText="1"/>
    </xf>
    <xf numFmtId="0" fontId="52" fillId="0" borderId="156" xfId="0" applyFont="1" applyFill="1" applyBorder="1" applyAlignment="1">
      <alignment vertical="center" wrapText="1"/>
    </xf>
    <xf numFmtId="0" fontId="52" fillId="0" borderId="157" xfId="0" applyFont="1" applyFill="1" applyBorder="1" applyAlignment="1">
      <alignment vertical="center" wrapText="1"/>
    </xf>
    <xf numFmtId="166" fontId="103" fillId="31" borderId="161" xfId="2" applyFont="1" applyFill="1" applyBorder="1" applyAlignment="1">
      <alignment horizontal="center" wrapText="1"/>
    </xf>
    <xf numFmtId="166" fontId="102" fillId="31" borderId="149" xfId="2" applyFont="1" applyFill="1" applyBorder="1" applyAlignment="1">
      <alignment horizontal="left" wrapText="1"/>
    </xf>
    <xf numFmtId="166" fontId="100" fillId="31" borderId="150" xfId="2" applyFont="1" applyFill="1" applyBorder="1" applyAlignment="1">
      <alignment horizontal="center" wrapText="1"/>
    </xf>
    <xf numFmtId="166" fontId="103" fillId="31" borderId="154" xfId="2" applyFont="1" applyFill="1" applyBorder="1" applyAlignment="1">
      <alignment horizontal="center" wrapText="1"/>
    </xf>
    <xf numFmtId="166" fontId="102" fillId="31" borderId="150" xfId="2" applyFont="1" applyFill="1" applyBorder="1" applyAlignment="1">
      <alignment horizontal="left" wrapText="1"/>
    </xf>
    <xf numFmtId="166" fontId="103" fillId="31" borderId="151" xfId="2" applyFont="1" applyFill="1" applyBorder="1" applyAlignment="1">
      <alignment horizontal="center" wrapText="1"/>
    </xf>
    <xf numFmtId="0" fontId="0" fillId="0" borderId="151" xfId="0" applyFill="1" applyBorder="1"/>
    <xf numFmtId="166" fontId="102" fillId="32" borderId="150" xfId="2" applyFont="1" applyFill="1" applyBorder="1" applyAlignment="1">
      <alignment horizontal="left" wrapText="1"/>
    </xf>
    <xf numFmtId="166" fontId="102" fillId="32" borderId="151" xfId="2" applyFont="1" applyFill="1" applyBorder="1" applyAlignment="1">
      <alignment horizontal="center" wrapText="1"/>
    </xf>
    <xf numFmtId="166" fontId="103" fillId="32" borderId="151" xfId="2" applyFont="1" applyFill="1" applyBorder="1" applyAlignment="1">
      <alignment horizontal="center" wrapText="1"/>
    </xf>
    <xf numFmtId="166" fontId="58" fillId="0" borderId="151" xfId="2" applyFont="1" applyFill="1" applyBorder="1" applyAlignment="1">
      <alignment horizontal="left" vertical="center" wrapText="1"/>
    </xf>
    <xf numFmtId="0" fontId="52" fillId="0" borderId="155" xfId="0" applyFont="1" applyFill="1" applyBorder="1" applyAlignment="1">
      <alignment vertical="top"/>
    </xf>
    <xf numFmtId="0" fontId="52" fillId="0" borderId="118" xfId="0" applyFont="1" applyFill="1" applyBorder="1" applyAlignment="1">
      <alignment vertical="top"/>
    </xf>
    <xf numFmtId="0" fontId="52" fillId="0" borderId="156" xfId="0" applyFont="1" applyFill="1" applyBorder="1" applyAlignment="1">
      <alignment vertical="top"/>
    </xf>
    <xf numFmtId="0" fontId="52" fillId="0" borderId="157" xfId="0" applyFont="1" applyFill="1" applyBorder="1" applyAlignment="1">
      <alignment vertical="top"/>
    </xf>
    <xf numFmtId="166" fontId="117" fillId="0" borderId="151" xfId="2" applyFont="1" applyFill="1" applyBorder="1" applyAlignment="1">
      <alignment horizontal="left" vertical="top" wrapText="1"/>
    </xf>
    <xf numFmtId="166" fontId="119" fillId="0" borderId="153" xfId="2" applyFont="1" applyFill="1" applyBorder="1" applyAlignment="1">
      <alignment horizontal="left" vertical="top" wrapText="1"/>
    </xf>
    <xf numFmtId="166" fontId="119" fillId="0" borderId="159" xfId="2" applyFont="1" applyFill="1" applyBorder="1" applyAlignment="1">
      <alignment horizontal="left" vertical="top" wrapText="1"/>
    </xf>
    <xf numFmtId="166" fontId="103" fillId="32" borderId="158" xfId="2" applyFont="1" applyFill="1" applyBorder="1" applyAlignment="1">
      <alignment horizontal="center" wrapText="1"/>
    </xf>
    <xf numFmtId="166" fontId="102" fillId="32" borderId="151" xfId="2" applyFont="1" applyFill="1" applyBorder="1" applyAlignment="1">
      <alignment horizontal="left"/>
    </xf>
    <xf numFmtId="166" fontId="103" fillId="32" borderId="161" xfId="2" applyFont="1" applyFill="1" applyBorder="1" applyAlignment="1">
      <alignment horizontal="center" wrapText="1"/>
    </xf>
    <xf numFmtId="166" fontId="103" fillId="32" borderId="154" xfId="2" applyFont="1" applyFill="1" applyBorder="1" applyAlignment="1">
      <alignment horizontal="center" wrapText="1"/>
    </xf>
    <xf numFmtId="0" fontId="89" fillId="0" borderId="0" xfId="0" applyFont="1" applyAlignment="1">
      <alignment wrapText="1"/>
    </xf>
    <xf numFmtId="0" fontId="0" fillId="0" borderId="0" xfId="0" applyAlignment="1">
      <alignment wrapText="1"/>
    </xf>
    <xf numFmtId="0" fontId="18" fillId="0" borderId="95" xfId="0" applyFont="1" applyBorder="1" applyAlignment="1">
      <alignment horizontal="left" vertical="center" wrapText="1"/>
    </xf>
    <xf numFmtId="0" fontId="15" fillId="0" borderId="95" xfId="0" applyFont="1" applyBorder="1" applyAlignment="1">
      <alignment horizontal="left" vertical="center" wrapText="1"/>
    </xf>
    <xf numFmtId="0" fontId="15" fillId="0" borderId="97" xfId="0" applyFont="1" applyBorder="1" applyAlignment="1">
      <alignment horizontal="left" vertical="center" wrapText="1"/>
    </xf>
    <xf numFmtId="0" fontId="18" fillId="0" borderId="96" xfId="0" applyFont="1" applyBorder="1" applyAlignment="1">
      <alignment horizontal="left" vertical="center" wrapText="1"/>
    </xf>
    <xf numFmtId="0" fontId="15" fillId="0" borderId="28"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33" xfId="0" applyFont="1" applyBorder="1" applyAlignment="1">
      <alignment horizontal="left" vertical="center" wrapText="1"/>
    </xf>
    <xf numFmtId="0" fontId="12" fillId="2" borderId="21" xfId="0" applyFont="1" applyFill="1" applyBorder="1" applyAlignment="1">
      <alignment wrapText="1"/>
    </xf>
    <xf numFmtId="0" fontId="12" fillId="2" borderId="31" xfId="0" applyFont="1" applyFill="1" applyBorder="1" applyAlignment="1">
      <alignment wrapText="1"/>
    </xf>
    <xf numFmtId="0" fontId="32" fillId="11" borderId="105" xfId="0" applyFont="1" applyFill="1" applyBorder="1" applyAlignment="1">
      <alignment horizontal="left" wrapText="1"/>
    </xf>
    <xf numFmtId="0" fontId="12" fillId="11" borderId="18" xfId="0" applyFont="1" applyFill="1" applyBorder="1" applyAlignment="1">
      <alignment horizontal="left" wrapText="1"/>
    </xf>
    <xf numFmtId="0" fontId="23" fillId="0" borderId="18" xfId="0" applyFont="1" applyBorder="1" applyAlignment="1">
      <alignment horizontal="left" vertical="center" wrapText="1"/>
    </xf>
    <xf numFmtId="0" fontId="23" fillId="0" borderId="18" xfId="0" applyFont="1" applyBorder="1" applyAlignment="1"/>
    <xf numFmtId="0" fontId="23" fillId="0" borderId="98" xfId="0" applyFont="1" applyBorder="1" applyAlignment="1"/>
    <xf numFmtId="0" fontId="23" fillId="0" borderId="181" xfId="0" applyFont="1" applyBorder="1" applyAlignment="1">
      <alignment horizontal="left" wrapText="1"/>
    </xf>
    <xf numFmtId="0" fontId="23" fillId="0" borderId="182" xfId="0" applyFont="1" applyBorder="1" applyAlignment="1">
      <alignment horizontal="left" wrapText="1"/>
    </xf>
    <xf numFmtId="0" fontId="23" fillId="0" borderId="184" xfId="0" applyFont="1" applyBorder="1" applyAlignment="1">
      <alignment horizontal="left" wrapText="1"/>
    </xf>
    <xf numFmtId="0" fontId="32" fillId="12" borderId="105" xfId="0" applyFont="1" applyFill="1" applyBorder="1" applyAlignment="1">
      <alignment horizontal="left" wrapText="1"/>
    </xf>
    <xf numFmtId="0" fontId="32" fillId="12" borderId="18" xfId="0" applyFont="1" applyFill="1" applyBorder="1" applyAlignment="1">
      <alignment horizontal="left" wrapText="1"/>
    </xf>
    <xf numFmtId="0" fontId="12" fillId="13" borderId="105" xfId="0" applyFont="1" applyFill="1" applyBorder="1" applyAlignment="1">
      <alignment horizontal="left" wrapText="1"/>
    </xf>
    <xf numFmtId="0" fontId="12" fillId="13" borderId="52" xfId="0" applyFont="1" applyFill="1" applyBorder="1" applyAlignment="1">
      <alignment horizontal="left" wrapText="1"/>
    </xf>
    <xf numFmtId="0" fontId="103" fillId="0" borderId="41" xfId="4" applyFont="1" applyBorder="1" applyAlignment="1">
      <alignment horizontal="left" vertical="center" wrapText="1"/>
    </xf>
    <xf numFmtId="0" fontId="103" fillId="0" borderId="42" xfId="4" applyFont="1" applyBorder="1" applyAlignment="1">
      <alignment horizontal="left" vertical="center" wrapText="1"/>
    </xf>
    <xf numFmtId="0" fontId="103" fillId="0" borderId="124" xfId="4" applyFont="1" applyBorder="1" applyAlignment="1">
      <alignment horizontal="left" vertical="center" wrapText="1"/>
    </xf>
    <xf numFmtId="0" fontId="103" fillId="0" borderId="26" xfId="4" applyFont="1" applyBorder="1" applyAlignment="1">
      <alignment horizontal="left" vertical="center" wrapText="1"/>
    </xf>
    <xf numFmtId="0" fontId="103" fillId="0" borderId="27" xfId="4" applyFont="1" applyBorder="1" applyAlignment="1">
      <alignment horizontal="left" vertical="center" wrapText="1"/>
    </xf>
    <xf numFmtId="0" fontId="103" fillId="0" borderId="192" xfId="4" applyFont="1" applyBorder="1" applyAlignment="1">
      <alignment horizontal="left" vertical="center" wrapText="1"/>
    </xf>
    <xf numFmtId="0" fontId="161" fillId="0" borderId="48" xfId="4" applyBorder="1" applyAlignment="1">
      <alignment horizontal="center" vertical="center" wrapText="1"/>
    </xf>
    <xf numFmtId="0" fontId="161" fillId="0" borderId="18" xfId="4" applyBorder="1" applyAlignment="1">
      <alignment horizontal="center" vertical="center" wrapText="1"/>
    </xf>
    <xf numFmtId="0" fontId="161" fillId="0" borderId="98" xfId="4" applyBorder="1" applyAlignment="1">
      <alignment horizontal="center" vertical="center" wrapText="1"/>
    </xf>
    <xf numFmtId="0" fontId="169" fillId="44" borderId="212" xfId="4" applyFont="1" applyFill="1" applyBorder="1" applyAlignment="1">
      <alignment horizontal="center" wrapText="1"/>
    </xf>
    <xf numFmtId="0" fontId="169" fillId="44" borderId="40" xfId="4" applyFont="1" applyFill="1" applyBorder="1" applyAlignment="1">
      <alignment horizontal="center" wrapText="1"/>
    </xf>
    <xf numFmtId="0" fontId="169" fillId="44" borderId="213" xfId="4" applyFont="1" applyFill="1" applyBorder="1" applyAlignment="1">
      <alignment horizontal="center" wrapText="1"/>
    </xf>
    <xf numFmtId="0" fontId="167" fillId="44" borderId="44" xfId="4" applyFont="1" applyFill="1" applyBorder="1" applyAlignment="1">
      <alignment horizontal="left"/>
    </xf>
    <xf numFmtId="0" fontId="167" fillId="44" borderId="214" xfId="4" applyFont="1" applyFill="1" applyBorder="1" applyAlignment="1">
      <alignment horizontal="left"/>
    </xf>
    <xf numFmtId="0" fontId="167" fillId="44" borderId="10" xfId="4" applyFont="1" applyFill="1" applyBorder="1" applyAlignment="1">
      <alignment horizontal="center" wrapText="1"/>
    </xf>
    <xf numFmtId="0" fontId="167" fillId="44" borderId="52" xfId="4" applyFont="1" applyFill="1" applyBorder="1" applyAlignment="1">
      <alignment horizontal="center" wrapText="1"/>
    </xf>
    <xf numFmtId="0" fontId="169" fillId="44" borderId="10" xfId="4" applyFont="1" applyFill="1" applyBorder="1" applyAlignment="1">
      <alignment horizontal="center" wrapText="1"/>
    </xf>
    <xf numFmtId="0" fontId="169" fillId="44" borderId="52" xfId="4" applyFont="1" applyFill="1" applyBorder="1" applyAlignment="1">
      <alignment horizontal="center" wrapText="1"/>
    </xf>
    <xf numFmtId="0" fontId="169" fillId="44" borderId="36" xfId="4" applyFont="1" applyFill="1" applyBorder="1" applyAlignment="1">
      <alignment horizontal="center" wrapText="1"/>
    </xf>
    <xf numFmtId="0" fontId="169" fillId="44" borderId="13" xfId="4" applyFont="1" applyFill="1" applyBorder="1" applyAlignment="1">
      <alignment horizontal="center" wrapText="1"/>
    </xf>
    <xf numFmtId="0" fontId="169" fillId="44" borderId="57" xfId="4" applyFont="1" applyFill="1" applyBorder="1" applyAlignment="1">
      <alignment horizontal="center" wrapText="1"/>
    </xf>
    <xf numFmtId="0" fontId="169" fillId="44" borderId="47" xfId="4" applyFont="1" applyFill="1" applyBorder="1" applyAlignment="1">
      <alignment horizontal="center" wrapText="1"/>
    </xf>
    <xf numFmtId="0" fontId="169" fillId="44" borderId="38" xfId="4" applyFont="1" applyFill="1" applyBorder="1" applyAlignment="1">
      <alignment horizontal="center" wrapText="1"/>
    </xf>
    <xf numFmtId="0" fontId="169" fillId="44" borderId="12" xfId="4" applyFont="1" applyFill="1" applyBorder="1" applyAlignment="1">
      <alignment horizontal="center" wrapText="1"/>
    </xf>
    <xf numFmtId="0" fontId="169" fillId="44" borderId="72" xfId="4" applyFont="1" applyFill="1" applyBorder="1" applyAlignment="1">
      <alignment horizontal="center" wrapText="1"/>
    </xf>
    <xf numFmtId="0" fontId="167" fillId="44" borderId="44" xfId="4" applyFont="1" applyFill="1" applyBorder="1" applyAlignment="1">
      <alignment horizontal="left" wrapText="1"/>
    </xf>
    <xf numFmtId="0" fontId="167" fillId="44" borderId="95" xfId="4" applyFont="1" applyFill="1" applyBorder="1" applyAlignment="1">
      <alignment horizontal="left" wrapText="1"/>
    </xf>
    <xf numFmtId="0" fontId="169" fillId="44" borderId="45" xfId="4" applyFont="1" applyFill="1" applyBorder="1" applyAlignment="1">
      <alignment horizontal="center" wrapText="1"/>
    </xf>
    <xf numFmtId="0" fontId="169" fillId="44" borderId="49" xfId="4" applyFont="1" applyFill="1" applyBorder="1" applyAlignment="1">
      <alignment horizontal="center" wrapText="1"/>
    </xf>
    <xf numFmtId="0" fontId="169" fillId="43" borderId="66" xfId="4" applyFont="1" applyFill="1" applyBorder="1" applyAlignment="1">
      <alignment horizontal="center" wrapText="1"/>
    </xf>
    <xf numFmtId="0" fontId="169" fillId="43" borderId="67" xfId="4" applyFont="1" applyFill="1" applyBorder="1" applyAlignment="1">
      <alignment horizontal="center" wrapText="1"/>
    </xf>
    <xf numFmtId="0" fontId="169" fillId="43" borderId="69" xfId="4" applyFont="1" applyFill="1" applyBorder="1" applyAlignment="1">
      <alignment horizontal="center" wrapText="1"/>
    </xf>
    <xf numFmtId="0" fontId="167" fillId="43" borderId="44" xfId="4" applyFont="1" applyFill="1" applyBorder="1" applyAlignment="1">
      <alignment horizontal="left" wrapText="1"/>
    </xf>
    <xf numFmtId="0" fontId="167" fillId="43" borderId="95" xfId="4" applyFont="1" applyFill="1" applyBorder="1" applyAlignment="1">
      <alignment horizontal="left" wrapText="1"/>
    </xf>
    <xf numFmtId="0" fontId="100" fillId="43" borderId="10" xfId="4" applyFont="1" applyFill="1" applyBorder="1" applyAlignment="1">
      <alignment horizontal="center" wrapText="1"/>
    </xf>
    <xf numFmtId="0" fontId="100" fillId="43" borderId="18" xfId="4" applyFont="1" applyFill="1" applyBorder="1" applyAlignment="1">
      <alignment horizontal="center" wrapText="1"/>
    </xf>
    <xf numFmtId="0" fontId="169" fillId="43" borderId="71" xfId="4" applyFont="1" applyFill="1" applyBorder="1" applyAlignment="1">
      <alignment horizontal="center" wrapText="1"/>
    </xf>
    <xf numFmtId="0" fontId="169" fillId="43" borderId="73" xfId="4" applyFont="1" applyFill="1" applyBorder="1" applyAlignment="1">
      <alignment horizontal="center" wrapText="1"/>
    </xf>
    <xf numFmtId="0" fontId="169" fillId="43" borderId="47" xfId="4" applyFont="1" applyFill="1" applyBorder="1" applyAlignment="1">
      <alignment horizontal="center" wrapText="1"/>
    </xf>
    <xf numFmtId="0" fontId="169" fillId="43" borderId="13" xfId="4" applyFont="1" applyFill="1" applyBorder="1" applyAlignment="1">
      <alignment horizontal="center" wrapText="1"/>
    </xf>
    <xf numFmtId="0" fontId="169" fillId="43" borderId="72" xfId="4" applyFont="1" applyFill="1" applyBorder="1" applyAlignment="1">
      <alignment horizontal="center" wrapText="1"/>
    </xf>
    <xf numFmtId="0" fontId="169" fillId="43" borderId="12" xfId="4" applyFont="1" applyFill="1" applyBorder="1" applyAlignment="1">
      <alignment horizontal="center" wrapText="1"/>
    </xf>
    <xf numFmtId="0" fontId="169" fillId="43" borderId="38" xfId="4" applyFont="1" applyFill="1" applyBorder="1" applyAlignment="1">
      <alignment horizontal="center" wrapText="1"/>
    </xf>
    <xf numFmtId="0" fontId="169" fillId="43" borderId="45" xfId="4" applyFont="1" applyFill="1" applyBorder="1" applyAlignment="1">
      <alignment horizontal="center" wrapText="1"/>
    </xf>
    <xf numFmtId="0" fontId="169" fillId="43" borderId="49" xfId="4" applyFont="1" applyFill="1" applyBorder="1" applyAlignment="1">
      <alignment horizontal="center" wrapText="1"/>
    </xf>
    <xf numFmtId="0" fontId="169" fillId="43" borderId="68" xfId="4" applyFont="1" applyFill="1" applyBorder="1" applyAlignment="1">
      <alignment horizontal="center" wrapText="1"/>
    </xf>
    <xf numFmtId="0" fontId="167" fillId="42" borderId="44" xfId="4" applyFont="1" applyFill="1" applyBorder="1" applyAlignment="1">
      <alignment horizontal="left" wrapText="1"/>
    </xf>
    <xf numFmtId="0" fontId="167" fillId="42" borderId="95" xfId="4" applyFont="1" applyFill="1" applyBorder="1" applyAlignment="1">
      <alignment horizontal="left" wrapText="1"/>
    </xf>
    <xf numFmtId="0" fontId="100" fillId="42" borderId="10" xfId="4" applyFont="1" applyFill="1" applyBorder="1" applyAlignment="1">
      <alignment horizontal="center" wrapText="1"/>
    </xf>
    <xf numFmtId="0" fontId="100" fillId="42" borderId="18" xfId="4" applyFont="1" applyFill="1" applyBorder="1" applyAlignment="1">
      <alignment horizontal="center" wrapText="1"/>
    </xf>
    <xf numFmtId="0" fontId="169" fillId="42" borderId="12" xfId="4" applyFont="1" applyFill="1" applyBorder="1" applyAlignment="1">
      <alignment horizontal="center" wrapText="1"/>
    </xf>
    <xf numFmtId="0" fontId="169" fillId="42" borderId="13" xfId="4" applyFont="1" applyFill="1" applyBorder="1" applyAlignment="1">
      <alignment horizontal="center" wrapText="1"/>
    </xf>
    <xf numFmtId="0" fontId="169" fillId="42" borderId="57" xfId="4" applyFont="1" applyFill="1" applyBorder="1" applyAlignment="1">
      <alignment horizontal="center" wrapText="1"/>
    </xf>
    <xf numFmtId="0" fontId="170" fillId="42" borderId="47" xfId="4" applyFont="1" applyFill="1" applyBorder="1" applyAlignment="1">
      <alignment horizontal="center" wrapText="1"/>
    </xf>
    <xf numFmtId="0" fontId="170" fillId="42" borderId="13" xfId="4" applyFont="1" applyFill="1" applyBorder="1" applyAlignment="1">
      <alignment horizontal="center" wrapText="1"/>
    </xf>
    <xf numFmtId="0" fontId="170" fillId="42" borderId="38" xfId="4" applyFont="1" applyFill="1" applyBorder="1" applyAlignment="1">
      <alignment horizontal="center" wrapText="1"/>
    </xf>
    <xf numFmtId="0" fontId="169" fillId="42" borderId="45" xfId="4" applyFont="1" applyFill="1" applyBorder="1" applyAlignment="1">
      <alignment horizontal="center" wrapText="1"/>
    </xf>
    <xf numFmtId="0" fontId="169" fillId="42" borderId="49" xfId="4" applyFont="1" applyFill="1" applyBorder="1" applyAlignment="1">
      <alignment horizontal="center" wrapText="1"/>
    </xf>
    <xf numFmtId="0" fontId="169" fillId="42" borderId="46" xfId="4" applyFont="1" applyFill="1" applyBorder="1" applyAlignment="1">
      <alignment horizontal="center" wrapText="1"/>
    </xf>
    <xf numFmtId="0" fontId="169" fillId="42" borderId="50" xfId="4" applyFont="1" applyFill="1" applyBorder="1" applyAlignment="1">
      <alignment horizontal="center" wrapText="1"/>
    </xf>
    <xf numFmtId="0" fontId="170" fillId="38" borderId="47" xfId="4" applyFont="1" applyFill="1" applyBorder="1" applyAlignment="1">
      <alignment horizontal="center" wrapText="1"/>
    </xf>
    <xf numFmtId="0" fontId="170" fillId="38" borderId="13" xfId="4" applyFont="1" applyFill="1" applyBorder="1" applyAlignment="1">
      <alignment horizontal="center" wrapText="1"/>
    </xf>
    <xf numFmtId="0" fontId="170" fillId="38" borderId="38" xfId="4" applyFont="1" applyFill="1" applyBorder="1" applyAlignment="1">
      <alignment horizontal="center" wrapText="1"/>
    </xf>
    <xf numFmtId="0" fontId="170" fillId="38" borderId="46" xfId="4" applyFont="1" applyFill="1" applyBorder="1" applyAlignment="1">
      <alignment horizontal="center" wrapText="1"/>
    </xf>
    <xf numFmtId="0" fontId="170" fillId="38" borderId="50" xfId="4" applyFont="1" applyFill="1" applyBorder="1" applyAlignment="1">
      <alignment horizontal="center" wrapText="1"/>
    </xf>
    <xf numFmtId="0" fontId="103" fillId="0" borderId="41" xfId="4" applyFont="1" applyBorder="1" applyAlignment="1">
      <alignment horizontal="center" vertical="center" wrapText="1"/>
    </xf>
    <xf numFmtId="0" fontId="103" fillId="0" borderId="42" xfId="4" applyFont="1" applyBorder="1" applyAlignment="1">
      <alignment horizontal="center" vertical="center" wrapText="1"/>
    </xf>
    <xf numFmtId="0" fontId="103" fillId="0" borderId="124" xfId="4" applyFont="1" applyBorder="1" applyAlignment="1">
      <alignment horizontal="center" vertical="center" wrapText="1"/>
    </xf>
    <xf numFmtId="0" fontId="103" fillId="0" borderId="26" xfId="4" applyFont="1" applyBorder="1" applyAlignment="1">
      <alignment horizontal="center" vertical="center" wrapText="1"/>
    </xf>
    <xf numFmtId="0" fontId="103" fillId="0" borderId="27" xfId="4" applyFont="1" applyBorder="1" applyAlignment="1">
      <alignment horizontal="center" vertical="center" wrapText="1"/>
    </xf>
    <xf numFmtId="0" fontId="103" fillId="0" borderId="192" xfId="4" applyFont="1" applyBorder="1" applyAlignment="1">
      <alignment horizontal="center" vertical="center" wrapText="1"/>
    </xf>
    <xf numFmtId="0" fontId="167" fillId="38" borderId="44" xfId="4" applyFont="1" applyFill="1" applyBorder="1" applyAlignment="1">
      <alignment horizontal="left"/>
    </xf>
    <xf numFmtId="0" fontId="167" fillId="38" borderId="95" xfId="4" applyFont="1" applyFill="1" applyBorder="1" applyAlignment="1">
      <alignment horizontal="left"/>
    </xf>
    <xf numFmtId="0" fontId="169" fillId="38" borderId="45" xfId="4" applyFont="1" applyFill="1" applyBorder="1" applyAlignment="1">
      <alignment horizontal="left" wrapText="1"/>
    </xf>
    <xf numFmtId="0" fontId="169" fillId="38" borderId="49" xfId="4" applyFont="1" applyFill="1" applyBorder="1" applyAlignment="1">
      <alignment horizontal="left" wrapText="1"/>
    </xf>
    <xf numFmtId="0" fontId="168" fillId="35" borderId="37" xfId="4" applyFont="1" applyFill="1" applyBorder="1" applyAlignment="1">
      <alignment horizontal="center" wrapText="1"/>
    </xf>
    <xf numFmtId="0" fontId="168" fillId="35" borderId="13" xfId="4" applyFont="1" applyFill="1" applyBorder="1" applyAlignment="1">
      <alignment horizontal="center" wrapText="1"/>
    </xf>
    <xf numFmtId="0" fontId="168" fillId="35" borderId="38" xfId="4" applyFont="1" applyFill="1" applyBorder="1" applyAlignment="1">
      <alignment horizontal="center" wrapText="1"/>
    </xf>
    <xf numFmtId="0" fontId="96" fillId="34" borderId="204" xfId="4" applyFont="1" applyFill="1" applyBorder="1" applyAlignment="1">
      <alignment horizontal="center"/>
    </xf>
    <xf numFmtId="0" fontId="96" fillId="34" borderId="205" xfId="4" applyFont="1" applyFill="1" applyBorder="1" applyAlignment="1">
      <alignment horizontal="center"/>
    </xf>
    <xf numFmtId="0" fontId="161" fillId="34" borderId="205" xfId="4" applyFill="1" applyBorder="1" applyAlignment="1">
      <alignment horizontal="center"/>
    </xf>
    <xf numFmtId="0" fontId="161" fillId="34" borderId="206" xfId="4" applyFill="1" applyBorder="1" applyAlignment="1">
      <alignment horizontal="center"/>
    </xf>
    <xf numFmtId="0" fontId="98" fillId="34" borderId="207" xfId="4" applyFont="1" applyFill="1" applyBorder="1" applyAlignment="1">
      <alignment horizontal="left" vertical="top" wrapText="1"/>
    </xf>
    <xf numFmtId="0" fontId="98" fillId="34" borderId="0" xfId="4" applyFont="1" applyFill="1" applyBorder="1" applyAlignment="1">
      <alignment horizontal="left" vertical="top" wrapText="1"/>
    </xf>
    <xf numFmtId="0" fontId="98" fillId="34" borderId="208" xfId="4" applyFont="1" applyFill="1" applyBorder="1" applyAlignment="1">
      <alignment horizontal="left" vertical="top" wrapText="1"/>
    </xf>
    <xf numFmtId="0" fontId="98" fillId="34" borderId="209" xfId="4" applyFont="1" applyFill="1" applyBorder="1" applyAlignment="1">
      <alignment horizontal="left" vertical="top" wrapText="1"/>
    </xf>
    <xf numFmtId="0" fontId="98" fillId="34" borderId="210" xfId="4" applyFont="1" applyFill="1" applyBorder="1" applyAlignment="1">
      <alignment horizontal="left" vertical="top" wrapText="1"/>
    </xf>
    <xf numFmtId="0" fontId="98" fillId="34" borderId="211" xfId="4" applyFont="1" applyFill="1" applyBorder="1" applyAlignment="1">
      <alignment horizontal="left" vertical="top" wrapText="1"/>
    </xf>
    <xf numFmtId="0" fontId="94" fillId="35" borderId="12" xfId="4" applyFont="1" applyFill="1" applyBorder="1" applyAlignment="1">
      <alignment horizontal="center" wrapText="1"/>
    </xf>
    <xf numFmtId="0" fontId="94" fillId="35" borderId="13" xfId="4" applyFont="1" applyFill="1" applyBorder="1" applyAlignment="1">
      <alignment horizontal="center" wrapText="1"/>
    </xf>
    <xf numFmtId="0" fontId="94" fillId="35" borderId="38" xfId="4" applyFont="1" applyFill="1" applyBorder="1" applyAlignment="1">
      <alignment horizontal="center" wrapText="1"/>
    </xf>
    <xf numFmtId="0" fontId="15" fillId="0" borderId="25" xfId="0" applyFont="1" applyBorder="1" applyAlignment="1">
      <alignment horizontal="left" vertical="center" wrapText="1"/>
    </xf>
    <xf numFmtId="0" fontId="0" fillId="0" borderId="0" xfId="0" applyAlignment="1">
      <alignment horizontal="center" wrapText="1"/>
    </xf>
    <xf numFmtId="0" fontId="1" fillId="0" borderId="0" xfId="0" applyFont="1" applyAlignment="1">
      <alignment horizontal="center" wrapText="1"/>
    </xf>
    <xf numFmtId="0" fontId="12" fillId="13" borderId="10" xfId="0" applyFont="1" applyFill="1" applyBorder="1" applyAlignment="1">
      <alignment horizontal="center" wrapText="1"/>
    </xf>
    <xf numFmtId="0" fontId="16" fillId="0" borderId="25" xfId="0" applyFont="1" applyBorder="1" applyAlignment="1">
      <alignment horizontal="left" vertical="center" wrapText="1"/>
    </xf>
    <xf numFmtId="0" fontId="23" fillId="0" borderId="25" xfId="0" applyFont="1" applyBorder="1" applyAlignment="1">
      <alignment horizontal="left" vertical="center" wrapText="1"/>
    </xf>
    <xf numFmtId="0" fontId="23" fillId="12" borderId="66" xfId="0" applyFont="1" applyFill="1" applyBorder="1" applyAlignment="1">
      <alignment horizontal="center" wrapText="1"/>
    </xf>
    <xf numFmtId="0" fontId="23" fillId="12" borderId="67" xfId="0" applyFont="1" applyFill="1" applyBorder="1" applyAlignment="1">
      <alignment horizontal="center" wrapText="1"/>
    </xf>
    <xf numFmtId="0" fontId="23" fillId="12" borderId="69" xfId="0" applyFont="1" applyFill="1" applyBorder="1" applyAlignment="1">
      <alignment horizontal="center" wrapText="1"/>
    </xf>
    <xf numFmtId="0" fontId="26" fillId="0" borderId="25" xfId="0" applyFont="1" applyBorder="1" applyAlignment="1">
      <alignment horizontal="left" vertical="center" wrapText="1"/>
    </xf>
    <xf numFmtId="0" fontId="22" fillId="12" borderId="25" xfId="0" applyFont="1" applyFill="1" applyBorder="1" applyAlignment="1">
      <alignment horizontal="left" wrapText="1"/>
    </xf>
    <xf numFmtId="0" fontId="32" fillId="12" borderId="10" xfId="0" applyFont="1" applyFill="1" applyBorder="1" applyAlignment="1">
      <alignment horizontal="center" wrapText="1"/>
    </xf>
    <xf numFmtId="0" fontId="23" fillId="12" borderId="71" xfId="0" applyFont="1" applyFill="1" applyBorder="1" applyAlignment="1">
      <alignment horizontal="center" wrapText="1"/>
    </xf>
    <xf numFmtId="0" fontId="23" fillId="12" borderId="45" xfId="0" applyFont="1" applyFill="1" applyBorder="1" applyAlignment="1">
      <alignment horizontal="center" wrapText="1"/>
    </xf>
    <xf numFmtId="0" fontId="22" fillId="13" borderId="44" xfId="0" applyFont="1" applyFill="1" applyBorder="1" applyAlignment="1">
      <alignment horizontal="left" wrapText="1"/>
    </xf>
    <xf numFmtId="0" fontId="22" fillId="13" borderId="17" xfId="0" applyFont="1" applyFill="1" applyBorder="1" applyAlignment="1">
      <alignment horizontal="left" wrapText="1"/>
    </xf>
    <xf numFmtId="0" fontId="23" fillId="13" borderId="45" xfId="0" applyFont="1" applyFill="1" applyBorder="1" applyAlignment="1">
      <alignment horizontal="center" wrapText="1"/>
    </xf>
    <xf numFmtId="0" fontId="22" fillId="11" borderId="44" xfId="0" applyFont="1" applyFill="1" applyBorder="1" applyAlignment="1">
      <alignment horizontal="left" wrapText="1"/>
    </xf>
    <xf numFmtId="0" fontId="22" fillId="11" borderId="17" xfId="0" applyFont="1" applyFill="1" applyBorder="1" applyAlignment="1">
      <alignment horizontal="left" wrapText="1"/>
    </xf>
    <xf numFmtId="0" fontId="32" fillId="11" borderId="10" xfId="0" applyFont="1" applyFill="1" applyBorder="1" applyAlignment="1">
      <alignment horizontal="center" wrapText="1"/>
    </xf>
    <xf numFmtId="0" fontId="18" fillId="0" borderId="25" xfId="0" applyFont="1" applyBorder="1" applyAlignment="1">
      <alignment horizontal="left" vertical="center" wrapText="1"/>
    </xf>
    <xf numFmtId="0" fontId="22" fillId="12" borderId="44" xfId="0" applyFont="1" applyFill="1" applyBorder="1" applyAlignment="1">
      <alignment horizontal="left" wrapText="1"/>
    </xf>
    <xf numFmtId="0" fontId="22" fillId="12" borderId="17" xfId="0" applyFont="1" applyFill="1" applyBorder="1" applyAlignment="1">
      <alignment horizontal="left" wrapText="1"/>
    </xf>
    <xf numFmtId="0" fontId="23" fillId="11" borderId="45" xfId="0" applyFont="1" applyFill="1" applyBorder="1" applyAlignment="1">
      <alignment horizontal="center" wrapText="1"/>
    </xf>
    <xf numFmtId="0" fontId="33" fillId="0" borderId="25" xfId="0" applyFont="1" applyBorder="1" applyAlignment="1">
      <alignment horizontal="left" vertical="center" wrapText="1"/>
    </xf>
    <xf numFmtId="0" fontId="30" fillId="0" borderId="25" xfId="0" applyFont="1" applyBorder="1" applyAlignment="1">
      <alignment horizontal="left" vertical="center" wrapText="1"/>
    </xf>
    <xf numFmtId="0" fontId="0" fillId="2" borderId="2" xfId="0" applyFill="1" applyBorder="1" applyAlignment="1">
      <alignment horizontal="center"/>
    </xf>
    <xf numFmtId="0" fontId="0" fillId="2" borderId="3" xfId="0" applyFill="1" applyBorder="1" applyAlignment="1">
      <alignment horizontal="center"/>
    </xf>
    <xf numFmtId="0" fontId="6" fillId="2" borderId="4" xfId="0" applyFont="1" applyFill="1" applyBorder="1" applyAlignment="1">
      <alignment horizontal="left" vertical="top" wrapText="1"/>
    </xf>
    <xf numFmtId="0" fontId="22" fillId="6" borderId="44" xfId="0" applyFont="1" applyFill="1" applyBorder="1" applyAlignment="1">
      <alignment horizontal="left"/>
    </xf>
    <xf numFmtId="0" fontId="22" fillId="6" borderId="17" xfId="0" applyFont="1" applyFill="1" applyBorder="1" applyAlignment="1">
      <alignment horizontal="left"/>
    </xf>
    <xf numFmtId="0" fontId="23" fillId="6" borderId="45" xfId="0" applyFont="1" applyFill="1" applyBorder="1" applyAlignment="1">
      <alignment horizontal="left" wrapText="1"/>
    </xf>
    <xf numFmtId="0" fontId="15" fillId="0" borderId="9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97"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97" xfId="0" applyFont="1" applyBorder="1" applyAlignment="1">
      <alignment horizontal="center" vertical="center" wrapText="1"/>
    </xf>
    <xf numFmtId="0" fontId="26" fillId="0" borderId="48" xfId="0" applyFont="1" applyBorder="1" applyAlignment="1">
      <alignment horizontal="left" vertical="top" wrapText="1"/>
    </xf>
    <xf numFmtId="0" fontId="23" fillId="0" borderId="9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92" xfId="0" applyFont="1" applyBorder="1" applyAlignment="1">
      <alignment horizontal="center" wrapText="1"/>
    </xf>
    <xf numFmtId="0" fontId="23" fillId="0" borderId="99" xfId="0" applyFont="1" applyBorder="1" applyAlignment="1">
      <alignment horizontal="center" wrapText="1"/>
    </xf>
    <xf numFmtId="0" fontId="23" fillId="0" borderId="100" xfId="0" applyFont="1" applyBorder="1" applyAlignment="1">
      <alignment horizontal="center" wrapText="1"/>
    </xf>
    <xf numFmtId="0" fontId="0" fillId="0" borderId="48" xfId="0" applyBorder="1" applyAlignment="1">
      <alignment horizontal="center" wrapText="1"/>
    </xf>
    <xf numFmtId="0" fontId="0" fillId="0" borderId="18" xfId="0" applyBorder="1" applyAlignment="1">
      <alignment horizontal="center" wrapText="1"/>
    </xf>
    <xf numFmtId="0" fontId="0" fillId="0" borderId="98" xfId="0" applyBorder="1" applyAlignment="1">
      <alignment horizontal="center" wrapText="1"/>
    </xf>
    <xf numFmtId="0" fontId="26" fillId="0" borderId="96"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97" xfId="0" applyFont="1" applyBorder="1" applyAlignment="1">
      <alignment horizontal="center" vertical="center" wrapText="1"/>
    </xf>
    <xf numFmtId="0" fontId="0" fillId="0" borderId="48" xfId="0" applyBorder="1" applyAlignment="1">
      <alignment horizontal="center"/>
    </xf>
    <xf numFmtId="0" fontId="0" fillId="0" borderId="18" xfId="0" applyBorder="1" applyAlignment="1">
      <alignment horizontal="center"/>
    </xf>
    <xf numFmtId="0" fontId="0" fillId="0" borderId="98" xfId="0" applyBorder="1" applyAlignment="1">
      <alignment horizontal="center"/>
    </xf>
    <xf numFmtId="0" fontId="18" fillId="0" borderId="96" xfId="0" applyFont="1" applyBorder="1" applyAlignment="1">
      <alignment horizontal="center" vertical="center" wrapText="1"/>
    </xf>
    <xf numFmtId="0" fontId="18" fillId="0" borderId="95" xfId="0" applyFont="1" applyBorder="1" applyAlignment="1">
      <alignment horizontal="center" vertical="center" wrapText="1"/>
    </xf>
    <xf numFmtId="0" fontId="18" fillId="0" borderId="97"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95" xfId="0" applyFont="1" applyBorder="1" applyAlignment="1">
      <alignment horizontal="center" vertical="center" wrapText="1"/>
    </xf>
    <xf numFmtId="0" fontId="33" fillId="0" borderId="97" xfId="0" applyFont="1" applyBorder="1" applyAlignment="1">
      <alignment horizontal="center" vertical="center" wrapText="1"/>
    </xf>
    <xf numFmtId="0" fontId="12" fillId="6" borderId="10" xfId="0" applyFont="1" applyFill="1" applyBorder="1" applyAlignment="1">
      <alignment horizontal="center" wrapText="1"/>
    </xf>
    <xf numFmtId="0" fontId="12" fillId="6" borderId="18" xfId="0" applyFont="1" applyFill="1" applyBorder="1" applyAlignment="1">
      <alignment horizontal="center" wrapText="1"/>
    </xf>
    <xf numFmtId="0" fontId="18" fillId="0" borderId="17" xfId="0" applyFont="1" applyBorder="1" applyAlignment="1">
      <alignment horizontal="center" vertical="center" wrapText="1"/>
    </xf>
    <xf numFmtId="0" fontId="18" fillId="0" borderId="48" xfId="0" applyFont="1" applyBorder="1" applyAlignment="1">
      <alignment horizontal="left" vertical="top" wrapText="1"/>
    </xf>
    <xf numFmtId="0" fontId="18" fillId="0" borderId="18" xfId="0" applyFont="1" applyBorder="1" applyAlignment="1">
      <alignment horizontal="left" vertical="top" wrapText="1"/>
    </xf>
    <xf numFmtId="0" fontId="18" fillId="0" borderId="98" xfId="0" applyFont="1" applyBorder="1" applyAlignment="1">
      <alignment horizontal="left" vertical="top"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23" fillId="0" borderId="25" xfId="0" applyFont="1" applyBorder="1" applyAlignment="1">
      <alignment horizontal="center" vertical="center" wrapText="1"/>
    </xf>
    <xf numFmtId="0" fontId="23" fillId="0" borderId="27" xfId="0" applyFont="1" applyBorder="1" applyAlignment="1">
      <alignment horizontal="center" vertical="center" wrapText="1"/>
    </xf>
    <xf numFmtId="0" fontId="0" fillId="0" borderId="42" xfId="0" applyBorder="1" applyAlignment="1">
      <alignment horizontal="center" wrapText="1"/>
    </xf>
    <xf numFmtId="0" fontId="0" fillId="0" borderId="26" xfId="0" applyBorder="1" applyAlignment="1">
      <alignment horizontal="center" wrapText="1"/>
    </xf>
    <xf numFmtId="0" fontId="0" fillId="0" borderId="28" xfId="0" applyBorder="1" applyAlignment="1">
      <alignment horizontal="center" wrapText="1"/>
    </xf>
    <xf numFmtId="0" fontId="26" fillId="0" borderId="25" xfId="0" applyFont="1" applyBorder="1" applyAlignment="1">
      <alignment horizontal="center" vertical="center" wrapText="1"/>
    </xf>
    <xf numFmtId="0" fontId="49" fillId="0" borderId="114" xfId="0" applyFont="1" applyBorder="1" applyAlignment="1">
      <alignment horizontal="center" vertical="center" wrapText="1"/>
    </xf>
    <xf numFmtId="0" fontId="49" fillId="0" borderId="115" xfId="0" applyFont="1" applyBorder="1" applyAlignment="1">
      <alignment horizontal="center" vertical="center"/>
    </xf>
    <xf numFmtId="0" fontId="49" fillId="0" borderId="116" xfId="0" applyFont="1" applyBorder="1" applyAlignment="1">
      <alignment horizontal="center" vertical="center"/>
    </xf>
    <xf numFmtId="0" fontId="18"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7" xfId="0" applyFont="1" applyBorder="1" applyAlignment="1">
      <alignment horizontal="center" vertical="center" wrapText="1"/>
    </xf>
    <xf numFmtId="0" fontId="0" fillId="0" borderId="224" xfId="0" applyBorder="1" applyAlignment="1">
      <alignment vertical="center" wrapText="1"/>
    </xf>
    <xf numFmtId="0" fontId="12" fillId="13" borderId="222" xfId="0" applyFont="1" applyFill="1" applyBorder="1" applyAlignment="1">
      <alignment horizontal="center" wrapText="1"/>
    </xf>
    <xf numFmtId="0" fontId="15" fillId="13" borderId="223" xfId="0" applyFont="1" applyFill="1" applyBorder="1" applyAlignment="1">
      <alignment horizontal="center" wrapText="1"/>
    </xf>
    <xf numFmtId="0" fontId="18" fillId="0" borderId="41" xfId="0" applyFont="1" applyBorder="1" applyAlignment="1">
      <alignment horizontal="left" vertical="top" wrapText="1"/>
    </xf>
    <xf numFmtId="0" fontId="0" fillId="0" borderId="224" xfId="0" applyBorder="1" applyAlignment="1">
      <alignment wrapText="1"/>
    </xf>
    <xf numFmtId="0" fontId="22" fillId="13" borderId="227" xfId="0" applyFont="1" applyFill="1" applyBorder="1" applyAlignment="1">
      <alignment horizontal="left" wrapText="1"/>
    </xf>
    <xf numFmtId="0" fontId="23" fillId="13" borderId="228" xfId="0" applyFont="1" applyFill="1" applyBorder="1" applyAlignment="1">
      <alignment horizontal="center" wrapText="1"/>
    </xf>
    <xf numFmtId="0" fontId="23" fillId="13" borderId="223" xfId="0" applyFont="1" applyFill="1" applyBorder="1" applyAlignment="1">
      <alignment horizontal="center" wrapText="1"/>
    </xf>
    <xf numFmtId="0" fontId="23" fillId="13" borderId="225" xfId="0" applyFont="1" applyFill="1" applyBorder="1" applyAlignment="1">
      <alignment horizontal="center" wrapText="1"/>
    </xf>
    <xf numFmtId="0" fontId="23" fillId="0" borderId="124" xfId="0" applyFont="1" applyBorder="1" applyAlignment="1">
      <alignment horizontal="left" vertical="top" wrapText="1"/>
    </xf>
    <xf numFmtId="0" fontId="0" fillId="0" borderId="26" xfId="0" applyBorder="1" applyAlignment="1">
      <alignment vertical="top"/>
    </xf>
    <xf numFmtId="0" fontId="23" fillId="0" borderId="27" xfId="0" applyFont="1" applyBorder="1" applyAlignment="1">
      <alignment horizontal="left" vertical="top"/>
    </xf>
    <xf numFmtId="0" fontId="0" fillId="0" borderId="224" xfId="0" applyBorder="1" applyAlignment="1">
      <alignment vertical="top"/>
    </xf>
    <xf numFmtId="0" fontId="23" fillId="12" borderId="229" xfId="0" applyFont="1" applyFill="1" applyBorder="1" applyAlignment="1">
      <alignment horizontal="center" wrapText="1"/>
    </xf>
    <xf numFmtId="0" fontId="23" fillId="12" borderId="230" xfId="0" applyFont="1" applyFill="1" applyBorder="1" applyAlignment="1">
      <alignment horizontal="center" wrapText="1"/>
    </xf>
    <xf numFmtId="0" fontId="23" fillId="12" borderId="232" xfId="0" applyFont="1" applyFill="1" applyBorder="1" applyAlignment="1">
      <alignment horizontal="center" wrapText="1"/>
    </xf>
    <xf numFmtId="0" fontId="0" fillId="0" borderId="224" xfId="0" applyBorder="1" applyAlignment="1"/>
    <xf numFmtId="0" fontId="22" fillId="12" borderId="221" xfId="0" applyFont="1" applyFill="1" applyBorder="1" applyAlignment="1">
      <alignment horizontal="left" wrapText="1"/>
    </xf>
    <xf numFmtId="0" fontId="32" fillId="12" borderId="222" xfId="0" applyFont="1" applyFill="1" applyBorder="1" applyAlignment="1">
      <alignment horizontal="center" wrapText="1"/>
    </xf>
    <xf numFmtId="0" fontId="23" fillId="12" borderId="233" xfId="0" applyFont="1" applyFill="1" applyBorder="1" applyAlignment="1">
      <alignment horizontal="center" wrapText="1"/>
    </xf>
    <xf numFmtId="0" fontId="23" fillId="12" borderId="228" xfId="0" applyFont="1" applyFill="1" applyBorder="1" applyAlignment="1">
      <alignment horizontal="center" wrapText="1"/>
    </xf>
    <xf numFmtId="0" fontId="22" fillId="11" borderId="227" xfId="0" applyFont="1" applyFill="1" applyBorder="1" applyAlignment="1">
      <alignment horizontal="left" wrapText="1"/>
    </xf>
    <xf numFmtId="0" fontId="32" fillId="11" borderId="222" xfId="0" applyFont="1" applyFill="1" applyBorder="1" applyAlignment="1">
      <alignment horizontal="center" wrapText="1"/>
    </xf>
    <xf numFmtId="0" fontId="22" fillId="12" borderId="227" xfId="0" applyFont="1" applyFill="1" applyBorder="1" applyAlignment="1">
      <alignment horizontal="left" wrapText="1"/>
    </xf>
    <xf numFmtId="0" fontId="23" fillId="11" borderId="228" xfId="0" applyFont="1" applyFill="1" applyBorder="1" applyAlignment="1">
      <alignment horizontal="center" wrapText="1"/>
    </xf>
    <xf numFmtId="0" fontId="26" fillId="0" borderId="124" xfId="0" applyFont="1" applyBorder="1" applyAlignment="1">
      <alignment horizontal="left" vertical="top" wrapText="1"/>
    </xf>
    <xf numFmtId="0" fontId="0" fillId="0" borderId="27" xfId="0" applyBorder="1" applyAlignment="1">
      <alignment vertical="top"/>
    </xf>
    <xf numFmtId="0" fontId="0" fillId="2" borderId="216" xfId="0" applyFill="1" applyBorder="1" applyAlignment="1">
      <alignment horizontal="center"/>
    </xf>
    <xf numFmtId="0" fontId="0" fillId="2" borderId="217" xfId="0" applyFill="1" applyBorder="1" applyAlignment="1">
      <alignment horizontal="center"/>
    </xf>
    <xf numFmtId="0" fontId="6" fillId="2" borderId="218" xfId="0" applyFont="1" applyFill="1" applyBorder="1" applyAlignment="1">
      <alignment horizontal="left" vertical="top" wrapText="1"/>
    </xf>
    <xf numFmtId="0" fontId="6" fillId="2" borderId="219" xfId="0" applyFont="1" applyFill="1" applyBorder="1" applyAlignment="1">
      <alignment horizontal="left" vertical="top" wrapText="1"/>
    </xf>
    <xf numFmtId="0" fontId="6" fillId="2" borderId="220" xfId="0" applyFont="1" applyFill="1" applyBorder="1" applyAlignment="1">
      <alignment horizontal="left" vertical="top" wrapText="1"/>
    </xf>
    <xf numFmtId="0" fontId="14" fillId="3" borderId="223" xfId="0" applyFont="1" applyFill="1" applyBorder="1" applyAlignment="1">
      <alignment horizontal="center" wrapText="1"/>
    </xf>
    <xf numFmtId="0" fontId="0" fillId="0" borderId="224" xfId="0" applyBorder="1" applyAlignment="1">
      <alignment vertical="top" wrapText="1"/>
    </xf>
    <xf numFmtId="0" fontId="13" fillId="3" borderId="223" xfId="0" applyFont="1" applyFill="1" applyBorder="1" applyAlignment="1">
      <alignment horizontal="center" wrapText="1"/>
    </xf>
    <xf numFmtId="0" fontId="13" fillId="3" borderId="225" xfId="0" applyFont="1" applyFill="1" applyBorder="1" applyAlignment="1">
      <alignment horizontal="center" wrapText="1"/>
    </xf>
    <xf numFmtId="0" fontId="0" fillId="0" borderId="118" xfId="0" applyBorder="1" applyAlignment="1">
      <alignment vertical="top" wrapText="1"/>
    </xf>
    <xf numFmtId="0" fontId="22" fillId="6" borderId="227" xfId="0" applyFont="1" applyFill="1" applyBorder="1" applyAlignment="1">
      <alignment horizontal="left"/>
    </xf>
    <xf numFmtId="0" fontId="23" fillId="6" borderId="228" xfId="0" applyFont="1" applyFill="1" applyBorder="1" applyAlignment="1">
      <alignment horizontal="left" wrapText="1"/>
    </xf>
    <xf numFmtId="0" fontId="16" fillId="0" borderId="4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54" fillId="0" borderId="48" xfId="0" applyFont="1" applyBorder="1" applyAlignment="1">
      <alignment horizontal="left" vertical="center" wrapText="1"/>
    </xf>
    <xf numFmtId="0" fontId="54" fillId="0" borderId="18" xfId="0" applyFont="1" applyBorder="1" applyAlignment="1">
      <alignment horizontal="left" vertical="center" wrapText="1"/>
    </xf>
    <xf numFmtId="0" fontId="54" fillId="0" borderId="98" xfId="0" applyFont="1" applyBorder="1" applyAlignment="1">
      <alignment horizontal="left" vertical="center" wrapText="1"/>
    </xf>
    <xf numFmtId="0" fontId="39" fillId="0" borderId="25" xfId="0" applyFont="1" applyBorder="1" applyAlignment="1">
      <alignment horizontal="left" vertical="center" wrapText="1"/>
    </xf>
    <xf numFmtId="0" fontId="39" fillId="0" borderId="27" xfId="0" applyFont="1" applyBorder="1" applyAlignment="1"/>
    <xf numFmtId="0" fontId="0" fillId="11" borderId="12" xfId="0" applyFont="1" applyFill="1" applyBorder="1" applyAlignment="1">
      <alignment horizontal="center" wrapText="1"/>
    </xf>
    <xf numFmtId="0" fontId="0" fillId="11" borderId="57" xfId="0" applyFont="1" applyFill="1" applyBorder="1" applyAlignment="1">
      <alignment horizontal="center" wrapText="1"/>
    </xf>
    <xf numFmtId="0" fontId="0" fillId="11" borderId="107" xfId="0" applyFont="1" applyFill="1" applyBorder="1" applyAlignment="1">
      <alignment horizontal="center" wrapText="1"/>
    </xf>
    <xf numFmtId="0" fontId="0" fillId="11" borderId="49" xfId="0" applyFont="1" applyFill="1" applyBorder="1" applyAlignment="1">
      <alignment horizontal="center" wrapText="1"/>
    </xf>
    <xf numFmtId="0" fontId="29" fillId="11" borderId="106" xfId="0" applyFont="1" applyFill="1" applyBorder="1" applyAlignment="1">
      <alignment horizontal="left" wrapText="1"/>
    </xf>
    <xf numFmtId="0" fontId="29" fillId="11" borderId="95" xfId="0" applyFont="1" applyFill="1" applyBorder="1" applyAlignment="1">
      <alignment horizontal="left" wrapText="1"/>
    </xf>
    <xf numFmtId="0" fontId="13" fillId="11" borderId="105" xfId="0" applyFont="1" applyFill="1" applyBorder="1" applyAlignment="1">
      <alignment horizontal="center" wrapText="1"/>
    </xf>
    <xf numFmtId="0" fontId="13" fillId="11" borderId="18" xfId="0" applyFont="1" applyFill="1" applyBorder="1" applyAlignment="1">
      <alignment horizontal="center" wrapText="1"/>
    </xf>
    <xf numFmtId="0" fontId="52" fillId="0" borderId="26" xfId="0" applyFont="1" applyBorder="1" applyAlignment="1">
      <alignment vertical="center" wrapText="1"/>
    </xf>
    <xf numFmtId="0" fontId="52" fillId="0" borderId="28" xfId="0" applyFont="1" applyBorder="1" applyAlignment="1">
      <alignment vertical="center" wrapText="1"/>
    </xf>
    <xf numFmtId="0" fontId="47" fillId="0" borderId="18" xfId="0" applyFont="1" applyBorder="1" applyAlignment="1">
      <alignment horizontal="center" vertical="center" wrapText="1"/>
    </xf>
    <xf numFmtId="0" fontId="47" fillId="0" borderId="98" xfId="0" applyFont="1" applyBorder="1" applyAlignment="1">
      <alignment horizontal="center" vertical="center" wrapText="1"/>
    </xf>
    <xf numFmtId="0" fontId="59" fillId="0" borderId="119" xfId="0" applyFont="1" applyBorder="1" applyAlignment="1">
      <alignment horizontal="left" vertical="center" wrapText="1"/>
    </xf>
    <xf numFmtId="0" fontId="47" fillId="0" borderId="26" xfId="0" applyFont="1" applyBorder="1" applyAlignment="1"/>
    <xf numFmtId="0" fontId="59" fillId="0" borderId="27" xfId="0" applyFont="1" applyBorder="1" applyAlignment="1">
      <alignment horizontal="left"/>
    </xf>
    <xf numFmtId="0" fontId="47" fillId="0" borderId="28" xfId="0" applyFont="1" applyBorder="1" applyAlignment="1"/>
    <xf numFmtId="0" fontId="58" fillId="0" borderId="119" xfId="0" applyFont="1" applyBorder="1" applyAlignment="1">
      <alignment horizontal="left" vertical="center" wrapText="1"/>
    </xf>
    <xf numFmtId="0" fontId="43" fillId="0" borderId="74" xfId="0" applyFont="1" applyBorder="1" applyAlignment="1">
      <alignment horizontal="left" wrapText="1"/>
    </xf>
    <xf numFmtId="0" fontId="0" fillId="0" borderId="28" xfId="0" applyBorder="1" applyAlignment="1">
      <alignment horizontal="left" wrapText="1"/>
    </xf>
    <xf numFmtId="0" fontId="52" fillId="0" borderId="75" xfId="0" applyFont="1" applyBorder="1" applyAlignment="1">
      <alignment horizontal="left" vertical="center" wrapText="1"/>
    </xf>
    <xf numFmtId="0" fontId="72" fillId="0" borderId="41"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7" xfId="0" applyFont="1" applyBorder="1" applyAlignment="1">
      <alignment horizontal="center" vertical="center" wrapText="1"/>
    </xf>
    <xf numFmtId="0" fontId="73"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5" xfId="0" applyFont="1" applyBorder="1" applyAlignment="1">
      <alignment horizontal="center"/>
    </xf>
    <xf numFmtId="0" fontId="71" fillId="0" borderId="27" xfId="0" applyFont="1" applyBorder="1" applyAlignment="1">
      <alignment horizontal="center"/>
    </xf>
    <xf numFmtId="0" fontId="0" fillId="0" borderId="42" xfId="0" applyNumberFormat="1" applyBorder="1" applyAlignment="1">
      <alignment wrapText="1"/>
    </xf>
    <xf numFmtId="0" fontId="0" fillId="0" borderId="26" xfId="0" applyNumberFormat="1" applyBorder="1" applyAlignment="1">
      <alignment wrapText="1"/>
    </xf>
    <xf numFmtId="0" fontId="0" fillId="0" borderId="28" xfId="0" applyNumberFormat="1" applyBorder="1" applyAlignment="1">
      <alignment wrapText="1"/>
    </xf>
    <xf numFmtId="0" fontId="67" fillId="0" borderId="25" xfId="0" applyFont="1" applyBorder="1" applyAlignment="1">
      <alignment horizontal="center" vertical="center" wrapText="1"/>
    </xf>
    <xf numFmtId="0" fontId="67" fillId="0" borderId="26" xfId="0" applyFont="1" applyBorder="1" applyAlignment="1">
      <alignment horizontal="center"/>
    </xf>
    <xf numFmtId="0" fontId="67" fillId="0" borderId="27" xfId="0" applyFont="1" applyBorder="1" applyAlignment="1">
      <alignment horizontal="center"/>
    </xf>
    <xf numFmtId="0" fontId="67" fillId="0" borderId="28" xfId="0" applyFont="1" applyBorder="1" applyAlignment="1">
      <alignment horizontal="center"/>
    </xf>
    <xf numFmtId="0" fontId="71" fillId="0" borderId="77" xfId="0" applyFont="1" applyBorder="1" applyAlignment="1">
      <alignment horizontal="center" wrapText="1"/>
    </xf>
    <xf numFmtId="0" fontId="71" fillId="0" borderId="42" xfId="0" applyFont="1" applyBorder="1" applyAlignment="1">
      <alignment horizontal="center" wrapText="1"/>
    </xf>
    <xf numFmtId="0" fontId="71" fillId="0" borderId="80" xfId="0" applyFont="1" applyBorder="1" applyAlignment="1">
      <alignment horizontal="center" wrapText="1"/>
    </xf>
    <xf numFmtId="0" fontId="71" fillId="0" borderId="26" xfId="0" applyFont="1" applyBorder="1" applyAlignment="1">
      <alignment horizontal="center" wrapText="1"/>
    </xf>
    <xf numFmtId="0" fontId="71" fillId="0" borderId="82" xfId="0" applyFont="1" applyBorder="1" applyAlignment="1">
      <alignment horizontal="center" wrapText="1"/>
    </xf>
    <xf numFmtId="0" fontId="71" fillId="0" borderId="28" xfId="0" applyFont="1" applyBorder="1" applyAlignment="1">
      <alignment horizontal="center" wrapText="1"/>
    </xf>
    <xf numFmtId="0" fontId="68"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43" fillId="0" borderId="26"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xf>
    <xf numFmtId="0" fontId="70" fillId="0" borderId="27" xfId="0" applyFont="1" applyBorder="1" applyAlignment="1">
      <alignment horizontal="center"/>
    </xf>
    <xf numFmtId="0" fontId="70" fillId="0" borderId="28" xfId="0" applyFont="1" applyBorder="1" applyAlignment="1">
      <alignment horizontal="center"/>
    </xf>
    <xf numFmtId="0" fontId="67" fillId="0" borderId="25" xfId="0" applyFont="1" applyBorder="1" applyAlignment="1">
      <alignment horizontal="center"/>
    </xf>
    <xf numFmtId="0" fontId="69" fillId="0" borderId="25" xfId="0" applyFont="1" applyBorder="1" applyAlignment="1">
      <alignment horizontal="center" vertical="center" wrapText="1"/>
    </xf>
    <xf numFmtId="0" fontId="0" fillId="0" borderId="25" xfId="0" applyBorder="1" applyAlignment="1">
      <alignment horizontal="center"/>
    </xf>
    <xf numFmtId="0" fontId="0" fillId="0" borderId="27" xfId="0" applyBorder="1" applyAlignment="1">
      <alignment horizontal="center"/>
    </xf>
    <xf numFmtId="0" fontId="43" fillId="0" borderId="26" xfId="0" applyFont="1" applyBorder="1" applyAlignment="1">
      <alignment horizontal="center" wrapText="1"/>
    </xf>
    <xf numFmtId="0" fontId="43" fillId="0" borderId="28" xfId="0" applyFont="1" applyBorder="1" applyAlignment="1">
      <alignment horizontal="center" wrapText="1"/>
    </xf>
    <xf numFmtId="0" fontId="65" fillId="0" borderId="25" xfId="0" applyFont="1" applyBorder="1" applyAlignment="1">
      <alignment horizontal="center" vertical="center" wrapText="1"/>
    </xf>
    <xf numFmtId="0" fontId="0" fillId="0" borderId="25" xfId="0" applyBorder="1" applyAlignment="1"/>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0" xfId="0" applyAlignment="1"/>
    <xf numFmtId="0" fontId="66"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6" fillId="0" borderId="28" xfId="0" applyFont="1" applyBorder="1" applyAlignment="1">
      <alignment horizontal="center" vertical="center" wrapText="1"/>
    </xf>
    <xf numFmtId="2" fontId="0" fillId="7" borderId="123" xfId="0" applyNumberFormat="1" applyFill="1" applyBorder="1" applyAlignment="1">
      <alignment horizontal="center" vertical="center"/>
    </xf>
    <xf numFmtId="0" fontId="0" fillId="7" borderId="123" xfId="0" applyFill="1" applyBorder="1" applyAlignment="1">
      <alignment horizontal="center" vertical="center"/>
    </xf>
    <xf numFmtId="0" fontId="0" fillId="7" borderId="123" xfId="0" applyFill="1" applyBorder="1" applyAlignment="1">
      <alignment horizontal="center"/>
    </xf>
    <xf numFmtId="0" fontId="0" fillId="7" borderId="122" xfId="0" applyFill="1" applyBorder="1" applyAlignment="1">
      <alignment horizontal="center" vertical="center"/>
    </xf>
    <xf numFmtId="0" fontId="0" fillId="7" borderId="133" xfId="0" applyFill="1" applyBorder="1" applyAlignment="1">
      <alignment horizontal="left" vertical="center"/>
    </xf>
    <xf numFmtId="0" fontId="0" fillId="7" borderId="123" xfId="0" applyFill="1" applyBorder="1" applyAlignment="1">
      <alignment horizontal="left" vertical="center"/>
    </xf>
    <xf numFmtId="0" fontId="43" fillId="7" borderId="133" xfId="0" applyFont="1" applyFill="1" applyBorder="1" applyAlignment="1">
      <alignment horizontal="left"/>
    </xf>
    <xf numFmtId="0" fontId="0" fillId="7" borderId="123" xfId="0" applyFill="1" applyBorder="1" applyAlignment="1">
      <alignment horizontal="left"/>
    </xf>
    <xf numFmtId="0" fontId="21" fillId="7" borderId="122" xfId="0" applyFont="1" applyFill="1" applyBorder="1" applyAlignment="1">
      <alignment horizontal="left" wrapText="1"/>
    </xf>
    <xf numFmtId="0" fontId="21" fillId="7" borderId="123" xfId="0" applyFont="1" applyFill="1" applyBorder="1" applyAlignment="1">
      <alignment horizontal="left" wrapText="1"/>
    </xf>
    <xf numFmtId="0" fontId="48" fillId="7" borderId="123" xfId="0" applyFont="1" applyFill="1" applyBorder="1" applyAlignment="1">
      <alignment horizontal="left" vertical="center" wrapText="1"/>
    </xf>
    <xf numFmtId="0" fontId="13" fillId="3" borderId="72" xfId="0" applyFont="1" applyFill="1" applyBorder="1" applyAlignment="1">
      <alignment horizontal="center" wrapText="1"/>
    </xf>
    <xf numFmtId="0" fontId="48" fillId="7" borderId="123" xfId="0" applyFont="1" applyFill="1" applyBorder="1" applyAlignment="1">
      <alignment horizontal="left" vertical="top" wrapText="1"/>
    </xf>
    <xf numFmtId="0" fontId="74" fillId="0" borderId="0" xfId="0" applyFont="1" applyAlignment="1"/>
    <xf numFmtId="0" fontId="75" fillId="0" borderId="0" xfId="0" applyFont="1" applyAlignment="1"/>
    <xf numFmtId="0" fontId="1" fillId="0" borderId="48" xfId="0" applyFont="1" applyBorder="1" applyAlignment="1">
      <alignment horizontal="left" vertical="top" wrapText="1"/>
    </xf>
    <xf numFmtId="0" fontId="16" fillId="0" borderId="41" xfId="0" applyFont="1" applyBorder="1" applyAlignment="1">
      <alignment horizontal="left" vertical="top" wrapText="1"/>
    </xf>
    <xf numFmtId="0" fontId="0" fillId="0" borderId="42" xfId="0" applyBorder="1" applyAlignment="1">
      <alignment horizontal="left" vertical="top" wrapText="1"/>
    </xf>
    <xf numFmtId="0" fontId="16" fillId="0" borderId="124" xfId="0" applyFont="1" applyBorder="1" applyAlignment="1">
      <alignment horizontal="left" vertical="top" wrapText="1"/>
    </xf>
    <xf numFmtId="0" fontId="16" fillId="0" borderId="27" xfId="0" applyFont="1" applyBorder="1" applyAlignment="1">
      <alignment horizontal="left" vertical="top" wrapText="1"/>
    </xf>
    <xf numFmtId="0" fontId="23" fillId="0" borderId="77" xfId="0" applyFont="1" applyBorder="1" applyAlignment="1">
      <alignment horizontal="left" vertical="top" wrapText="1"/>
    </xf>
    <xf numFmtId="0" fontId="23" fillId="0" borderId="80" xfId="0" applyFont="1" applyBorder="1" applyAlignment="1">
      <alignment horizontal="left" vertical="top" wrapText="1"/>
    </xf>
    <xf numFmtId="0" fontId="23" fillId="0" borderId="82" xfId="0" applyFont="1" applyBorder="1" applyAlignment="1">
      <alignment horizontal="left" vertical="top" wrapText="1"/>
    </xf>
    <xf numFmtId="0" fontId="27" fillId="0" borderId="124" xfId="0" applyFont="1" applyBorder="1" applyAlignment="1">
      <alignment horizontal="left" vertical="top" wrapText="1"/>
    </xf>
    <xf numFmtId="0" fontId="0" fillId="0" borderId="26" xfId="0" applyBorder="1" applyAlignment="1">
      <alignment horizontal="left" vertical="top"/>
    </xf>
    <xf numFmtId="0" fontId="0" fillId="0" borderId="28" xfId="0" applyBorder="1" applyAlignment="1">
      <alignment horizontal="left" vertical="top"/>
    </xf>
    <xf numFmtId="0" fontId="27" fillId="0" borderId="124" xfId="0" applyFont="1" applyBorder="1" applyAlignment="1">
      <alignment horizontal="left" vertical="top" wrapText="1" readingOrder="1"/>
    </xf>
    <xf numFmtId="0" fontId="0" fillId="0" borderId="26" xfId="0" applyBorder="1" applyAlignment="1">
      <alignment horizontal="left" vertical="top" readingOrder="1"/>
    </xf>
    <xf numFmtId="0" fontId="23" fillId="0" borderId="124" xfId="0" applyFont="1" applyBorder="1" applyAlignment="1">
      <alignment horizontal="left" vertical="top" wrapText="1" readingOrder="1"/>
    </xf>
    <xf numFmtId="0" fontId="23" fillId="0" borderId="27" xfId="0" applyFont="1" applyBorder="1" applyAlignment="1">
      <alignment horizontal="left" vertical="top" readingOrder="1"/>
    </xf>
    <xf numFmtId="0" fontId="0" fillId="0" borderId="28" xfId="0" applyBorder="1" applyAlignment="1">
      <alignment horizontal="left" vertical="top" readingOrder="1"/>
    </xf>
    <xf numFmtId="0" fontId="27" fillId="0" borderId="124" xfId="0" applyFont="1" applyBorder="1" applyAlignment="1">
      <alignment horizontal="left" vertical="center" wrapText="1"/>
    </xf>
    <xf numFmtId="0" fontId="30" fillId="0" borderId="27" xfId="0" applyFont="1" applyBorder="1" applyAlignment="1">
      <alignment horizontal="left" vertical="top"/>
    </xf>
    <xf numFmtId="0" fontId="11" fillId="0" borderId="0" xfId="0" applyFont="1" applyAlignment="1"/>
    <xf numFmtId="0" fontId="77" fillId="0" borderId="0" xfId="0" applyFont="1" applyAlignment="1"/>
    <xf numFmtId="0" fontId="19" fillId="0" borderId="104" xfId="0" applyFont="1" applyBorder="1" applyAlignment="1">
      <alignment horizontal="left" vertical="top" wrapText="1"/>
    </xf>
    <xf numFmtId="0" fontId="0" fillId="0" borderId="144" xfId="0" applyBorder="1" applyAlignment="1">
      <alignment horizontal="left" vertical="top" wrapText="1"/>
    </xf>
    <xf numFmtId="0" fontId="47" fillId="0" borderId="124" xfId="1" applyFont="1" applyBorder="1" applyAlignment="1">
      <alignment horizontal="left" vertical="center" wrapText="1"/>
    </xf>
    <xf numFmtId="0" fontId="47" fillId="0" borderId="26" xfId="1" applyFont="1" applyBorder="1" applyAlignment="1">
      <alignment vertical="center" wrapText="1"/>
    </xf>
    <xf numFmtId="0" fontId="47" fillId="0" borderId="27" xfId="1" applyFont="1" applyBorder="1" applyAlignment="1">
      <alignment horizontal="left" vertical="center" wrapText="1"/>
    </xf>
    <xf numFmtId="0" fontId="47" fillId="0" borderId="28" xfId="1" applyFont="1" applyBorder="1" applyAlignment="1">
      <alignment vertical="center" wrapText="1"/>
    </xf>
    <xf numFmtId="0" fontId="19" fillId="0" borderId="124" xfId="0" applyFont="1" applyBorder="1" applyAlignment="1">
      <alignment horizontal="left" vertical="top" wrapText="1"/>
    </xf>
    <xf numFmtId="0" fontId="0" fillId="0" borderId="192" xfId="0" applyBorder="1" applyAlignment="1">
      <alignment horizontal="left" vertical="top" wrapText="1"/>
    </xf>
    <xf numFmtId="0" fontId="22" fillId="6" borderId="202" xfId="0" applyFont="1" applyFill="1" applyBorder="1" applyAlignment="1">
      <alignment horizontal="left"/>
    </xf>
    <xf numFmtId="0" fontId="0" fillId="0" borderId="192" xfId="0" applyBorder="1" applyAlignment="1">
      <alignment horizontal="left" vertical="top"/>
    </xf>
    <xf numFmtId="0" fontId="22" fillId="11" borderId="202" xfId="0" applyFont="1" applyFill="1" applyBorder="1" applyAlignment="1">
      <alignment horizontal="left" wrapText="1"/>
    </xf>
    <xf numFmtId="0" fontId="0" fillId="0" borderId="192" xfId="0" applyBorder="1" applyAlignment="1">
      <alignment horizontal="left" vertical="top" readingOrder="1"/>
    </xf>
    <xf numFmtId="0" fontId="22" fillId="12" borderId="202" xfId="0" applyFont="1" applyFill="1" applyBorder="1" applyAlignment="1">
      <alignment horizontal="left" wrapText="1"/>
    </xf>
    <xf numFmtId="0" fontId="22" fillId="12" borderId="201" xfId="0" applyFont="1" applyFill="1" applyBorder="1" applyAlignment="1">
      <alignment horizontal="left" wrapText="1"/>
    </xf>
    <xf numFmtId="0" fontId="22" fillId="13" borderId="202" xfId="0" applyFont="1" applyFill="1" applyBorder="1" applyAlignment="1">
      <alignment horizontal="left" wrapText="1"/>
    </xf>
  </cellXfs>
  <cellStyles count="5">
    <cellStyle name="Excel Built-in Normal" xfId="2"/>
    <cellStyle name="Hiperłącze" xfId="1" builtinId="8"/>
    <cellStyle name="Normalny" xfId="0" builtinId="0"/>
    <cellStyle name="Normalny 2" xfId="4"/>
    <cellStyle name="Normalny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228"/>
  <sheetViews>
    <sheetView topLeftCell="A8" zoomScale="50" zoomScaleNormal="50" workbookViewId="0">
      <selection activeCell="F214" sqref="F214:F218"/>
    </sheetView>
  </sheetViews>
  <sheetFormatPr defaultColWidth="8.85546875" defaultRowHeight="15"/>
  <cols>
    <col min="1" max="1" width="91" customWidth="1"/>
    <col min="2" max="2" width="29.42578125" customWidth="1"/>
    <col min="3" max="3" width="16.140625" customWidth="1"/>
    <col min="4" max="6" width="17.7109375" customWidth="1"/>
    <col min="7" max="7" width="22.42578125" customWidth="1"/>
    <col min="8" max="8" width="24.85546875" customWidth="1"/>
    <col min="9" max="9" width="19.42578125" customWidth="1"/>
    <col min="10" max="10" width="20.85546875" customWidth="1"/>
    <col min="11" max="11" width="17.42578125" customWidth="1"/>
    <col min="12" max="12" width="15.42578125" customWidth="1"/>
    <col min="13" max="13" width="14.5703125" customWidth="1"/>
    <col min="14" max="14" width="14" customWidth="1"/>
    <col min="15" max="15" width="13.5703125" customWidth="1"/>
    <col min="16" max="16" width="18.7109375" customWidth="1"/>
    <col min="17" max="25" width="13.7109375" customWidth="1"/>
  </cols>
  <sheetData>
    <row r="1" spans="1:25" s="2" customFormat="1" ht="31.5">
      <c r="A1" s="1" t="s">
        <v>0</v>
      </c>
      <c r="B1" s="1995" t="s">
        <v>530</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8.25" customHeight="1" thickBot="1">
      <c r="P14" s="8"/>
      <c r="Q14" s="8"/>
      <c r="R14" s="8"/>
      <c r="S14" s="8"/>
      <c r="T14" s="8"/>
      <c r="U14" s="8"/>
      <c r="V14" s="8"/>
      <c r="W14" s="8"/>
      <c r="X14" s="8"/>
    </row>
    <row r="15" spans="1:25" s="19" customFormat="1" ht="29.25" customHeight="1">
      <c r="A15" s="1552"/>
      <c r="B15" s="1553"/>
      <c r="C15" s="1554"/>
      <c r="D15" s="2005" t="s">
        <v>5</v>
      </c>
      <c r="E15" s="2006"/>
      <c r="F15" s="2006"/>
      <c r="G15" s="2006"/>
      <c r="H15" s="1555"/>
      <c r="I15" s="1556" t="s">
        <v>6</v>
      </c>
      <c r="J15" s="1557"/>
      <c r="K15" s="1557"/>
      <c r="L15" s="1557"/>
      <c r="M15" s="1557"/>
      <c r="N15" s="1557"/>
      <c r="O15" s="1558"/>
      <c r="P15" s="16"/>
      <c r="Q15" s="17"/>
      <c r="R15" s="18"/>
      <c r="S15" s="18"/>
      <c r="T15" s="18"/>
      <c r="U15" s="18"/>
      <c r="V15" s="18"/>
      <c r="W15" s="16"/>
      <c r="X15" s="16"/>
      <c r="Y15" s="17"/>
    </row>
    <row r="16" spans="1:25" s="1544" customFormat="1" ht="154.5" customHeight="1">
      <c r="A16" s="1559" t="s">
        <v>7</v>
      </c>
      <c r="B16" s="1560" t="s">
        <v>519</v>
      </c>
      <c r="C16" s="1561" t="s">
        <v>9</v>
      </c>
      <c r="D16" s="565" t="s">
        <v>10</v>
      </c>
      <c r="E16" s="566" t="s">
        <v>11</v>
      </c>
      <c r="F16" s="566" t="s">
        <v>12</v>
      </c>
      <c r="G16" s="567" t="s">
        <v>13</v>
      </c>
      <c r="H16" s="568" t="s">
        <v>14</v>
      </c>
      <c r="I16" s="569" t="s">
        <v>15</v>
      </c>
      <c r="J16" s="569" t="s">
        <v>16</v>
      </c>
      <c r="K16" s="569" t="s">
        <v>17</v>
      </c>
      <c r="L16" s="569" t="s">
        <v>18</v>
      </c>
      <c r="M16" s="570" t="s">
        <v>19</v>
      </c>
      <c r="N16" s="569" t="s">
        <v>20</v>
      </c>
      <c r="O16" s="1562" t="s">
        <v>21</v>
      </c>
      <c r="P16" s="30"/>
      <c r="Q16" s="30"/>
      <c r="R16" s="30"/>
      <c r="S16" s="30"/>
      <c r="T16" s="30"/>
      <c r="U16" s="30"/>
      <c r="V16" s="30"/>
      <c r="W16" s="30"/>
      <c r="X16" s="30"/>
      <c r="Y16" s="30"/>
    </row>
    <row r="17" spans="1:25" ht="15" customHeight="1">
      <c r="A17" s="2007" t="s">
        <v>520</v>
      </c>
      <c r="B17" s="2008"/>
      <c r="C17" s="373">
        <v>2014</v>
      </c>
      <c r="D17" s="374"/>
      <c r="E17" s="375"/>
      <c r="F17" s="375"/>
      <c r="G17" s="376">
        <f t="shared" ref="G17:G23" si="0">SUM(D17:F17)</f>
        <v>0</v>
      </c>
      <c r="H17" s="377"/>
      <c r="I17" s="375"/>
      <c r="J17" s="375"/>
      <c r="K17" s="375"/>
      <c r="L17" s="375"/>
      <c r="M17" s="375"/>
      <c r="N17" s="375"/>
      <c r="O17" s="1563"/>
      <c r="P17" s="38"/>
      <c r="Q17" s="38"/>
      <c r="R17" s="38"/>
      <c r="S17" s="38"/>
      <c r="T17" s="38"/>
      <c r="U17" s="38"/>
      <c r="V17" s="38"/>
      <c r="W17" s="38"/>
      <c r="X17" s="38"/>
      <c r="Y17" s="38"/>
    </row>
    <row r="18" spans="1:25">
      <c r="A18" s="2007"/>
      <c r="B18" s="2008"/>
      <c r="C18" s="380">
        <v>2015</v>
      </c>
      <c r="D18" s="1491"/>
      <c r="E18" s="1492"/>
      <c r="F18" s="382"/>
      <c r="G18" s="376"/>
      <c r="H18" s="1564"/>
      <c r="I18" s="1492"/>
      <c r="J18" s="1492"/>
      <c r="K18" s="1492"/>
      <c r="L18" s="1492"/>
      <c r="M18" s="1492"/>
      <c r="N18" s="1492"/>
      <c r="O18" s="1497"/>
      <c r="P18" s="38"/>
      <c r="Q18" s="38"/>
      <c r="R18" s="38"/>
      <c r="S18" s="38"/>
      <c r="T18" s="38"/>
      <c r="U18" s="38"/>
      <c r="V18" s="38"/>
      <c r="W18" s="38"/>
      <c r="X18" s="38"/>
      <c r="Y18" s="38"/>
    </row>
    <row r="19" spans="1:25">
      <c r="A19" s="2007"/>
      <c r="B19" s="2008"/>
      <c r="C19" s="380">
        <v>2016</v>
      </c>
      <c r="D19" s="1491">
        <f>5+8</f>
        <v>13</v>
      </c>
      <c r="E19" s="1492">
        <v>2</v>
      </c>
      <c r="F19" s="1492">
        <f>4-2</f>
        <v>2</v>
      </c>
      <c r="G19" s="1565">
        <f t="shared" si="0"/>
        <v>17</v>
      </c>
      <c r="H19" s="1564">
        <f>1+2</f>
        <v>3</v>
      </c>
      <c r="I19" s="1492">
        <f>3</f>
        <v>3</v>
      </c>
      <c r="J19" s="1492"/>
      <c r="K19" s="1492">
        <f>2</f>
        <v>2</v>
      </c>
      <c r="L19" s="1492"/>
      <c r="M19" s="1492"/>
      <c r="N19" s="1492"/>
      <c r="O19" s="1497">
        <f>11-2</f>
        <v>9</v>
      </c>
      <c r="P19" s="38"/>
      <c r="Q19" s="38"/>
      <c r="R19" s="38"/>
      <c r="S19" s="38"/>
      <c r="T19" s="38"/>
      <c r="U19" s="38"/>
      <c r="V19" s="38"/>
      <c r="W19" s="38"/>
      <c r="X19" s="38"/>
      <c r="Y19" s="38"/>
    </row>
    <row r="20" spans="1:25">
      <c r="A20" s="2007"/>
      <c r="B20" s="2008"/>
      <c r="C20" s="380">
        <v>2017</v>
      </c>
      <c r="D20" s="381">
        <v>1</v>
      </c>
      <c r="E20" s="382"/>
      <c r="F20" s="382">
        <v>2</v>
      </c>
      <c r="G20" s="376">
        <f t="shared" si="0"/>
        <v>3</v>
      </c>
      <c r="H20" s="383"/>
      <c r="I20" s="382"/>
      <c r="J20" s="382"/>
      <c r="K20" s="382"/>
      <c r="L20" s="382"/>
      <c r="M20" s="382"/>
      <c r="N20" s="382"/>
      <c r="O20" s="571">
        <v>3</v>
      </c>
      <c r="P20" s="38"/>
      <c r="Q20" s="38"/>
      <c r="R20" s="38"/>
      <c r="S20" s="38"/>
      <c r="T20" s="38"/>
      <c r="U20" s="38"/>
      <c r="V20" s="38"/>
      <c r="W20" s="38"/>
      <c r="X20" s="38"/>
      <c r="Y20" s="38"/>
    </row>
    <row r="21" spans="1:25">
      <c r="A21" s="2007"/>
      <c r="B21" s="2008"/>
      <c r="C21" s="380">
        <v>2018</v>
      </c>
      <c r="D21" s="381"/>
      <c r="E21" s="382"/>
      <c r="F21" s="382"/>
      <c r="G21" s="376">
        <f t="shared" si="0"/>
        <v>0</v>
      </c>
      <c r="H21" s="383"/>
      <c r="I21" s="382"/>
      <c r="J21" s="382"/>
      <c r="K21" s="382"/>
      <c r="L21" s="382"/>
      <c r="M21" s="382"/>
      <c r="N21" s="382"/>
      <c r="O21" s="571"/>
      <c r="P21" s="38"/>
      <c r="Q21" s="38"/>
      <c r="R21" s="38"/>
      <c r="S21" s="38"/>
      <c r="T21" s="38"/>
      <c r="U21" s="38"/>
      <c r="V21" s="38"/>
      <c r="W21" s="38"/>
      <c r="X21" s="38"/>
      <c r="Y21" s="38"/>
    </row>
    <row r="22" spans="1:25">
      <c r="A22" s="2007"/>
      <c r="B22" s="2008"/>
      <c r="C22" s="386">
        <v>2019</v>
      </c>
      <c r="D22" s="381"/>
      <c r="E22" s="382"/>
      <c r="F22" s="382"/>
      <c r="G22" s="376">
        <f>SUM(D22:F22)</f>
        <v>0</v>
      </c>
      <c r="H22" s="383"/>
      <c r="I22" s="382"/>
      <c r="J22" s="382"/>
      <c r="K22" s="382"/>
      <c r="L22" s="382"/>
      <c r="M22" s="382"/>
      <c r="N22" s="382"/>
      <c r="O22" s="571"/>
      <c r="P22" s="38"/>
      <c r="Q22" s="38"/>
      <c r="R22" s="38"/>
      <c r="S22" s="38"/>
      <c r="T22" s="38"/>
      <c r="U22" s="38"/>
      <c r="V22" s="38"/>
      <c r="W22" s="38"/>
      <c r="X22" s="38"/>
      <c r="Y22" s="38"/>
    </row>
    <row r="23" spans="1:25">
      <c r="A23" s="2007"/>
      <c r="B23" s="2008"/>
      <c r="C23" s="380">
        <v>2020</v>
      </c>
      <c r="D23" s="381"/>
      <c r="E23" s="382"/>
      <c r="F23" s="382"/>
      <c r="G23" s="376">
        <f t="shared" si="0"/>
        <v>0</v>
      </c>
      <c r="H23" s="383"/>
      <c r="I23" s="382"/>
      <c r="J23" s="382"/>
      <c r="K23" s="382"/>
      <c r="L23" s="382"/>
      <c r="M23" s="382"/>
      <c r="N23" s="382"/>
      <c r="O23" s="571"/>
      <c r="P23" s="38"/>
      <c r="Q23" s="38"/>
      <c r="R23" s="38"/>
      <c r="S23" s="38"/>
      <c r="T23" s="38"/>
      <c r="U23" s="38"/>
      <c r="V23" s="38"/>
      <c r="W23" s="38"/>
      <c r="X23" s="38"/>
      <c r="Y23" s="38"/>
    </row>
    <row r="24" spans="1:25" ht="39" customHeight="1" thickBot="1">
      <c r="A24" s="2009"/>
      <c r="B24" s="2010"/>
      <c r="C24" s="387" t="s">
        <v>13</v>
      </c>
      <c r="D24" s="388">
        <f>SUM(D17:D23)</f>
        <v>14</v>
      </c>
      <c r="E24" s="389">
        <f>SUM(E17:E23)</f>
        <v>2</v>
      </c>
      <c r="F24" s="389">
        <f>SUM(F17:F23)</f>
        <v>4</v>
      </c>
      <c r="G24" s="390">
        <f>SUM(D24:F24)</f>
        <v>20</v>
      </c>
      <c r="H24" s="391">
        <f>SUM(H17:H23)</f>
        <v>3</v>
      </c>
      <c r="I24" s="392">
        <f>SUM(I17:I23)</f>
        <v>3</v>
      </c>
      <c r="J24" s="392">
        <f t="shared" ref="J24:N24" si="1">SUM(J17:J23)</f>
        <v>0</v>
      </c>
      <c r="K24" s="392">
        <f t="shared" si="1"/>
        <v>2</v>
      </c>
      <c r="L24" s="392">
        <f t="shared" si="1"/>
        <v>0</v>
      </c>
      <c r="M24" s="392">
        <f t="shared" si="1"/>
        <v>0</v>
      </c>
      <c r="N24" s="392">
        <f t="shared" si="1"/>
        <v>0</v>
      </c>
      <c r="O24" s="1566">
        <f>SUM(O17:O23)</f>
        <v>12</v>
      </c>
      <c r="P24" s="1567"/>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544"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14" t="s">
        <v>521</v>
      </c>
      <c r="B28" s="2015"/>
      <c r="C28" s="58">
        <v>2014</v>
      </c>
      <c r="D28" s="36"/>
      <c r="E28" s="34"/>
      <c r="F28" s="34"/>
      <c r="G28" s="59">
        <f>SUM(D28:F28)</f>
        <v>0</v>
      </c>
      <c r="H28" s="38"/>
      <c r="I28" s="38"/>
      <c r="J28" s="38"/>
      <c r="K28" s="38"/>
      <c r="L28" s="38"/>
      <c r="M28" s="38"/>
      <c r="N28" s="38"/>
      <c r="O28" s="38"/>
      <c r="P28" s="38"/>
      <c r="Q28" s="8"/>
    </row>
    <row r="29" spans="1:25">
      <c r="A29" s="2014"/>
      <c r="B29" s="2015"/>
      <c r="C29" s="60">
        <v>2015</v>
      </c>
      <c r="D29" s="458"/>
      <c r="E29" s="459"/>
      <c r="F29" s="41"/>
      <c r="G29" s="59">
        <f t="shared" ref="G29:G35" si="2">SUM(D29:F29)</f>
        <v>0</v>
      </c>
      <c r="H29" s="38"/>
      <c r="I29" s="38"/>
      <c r="J29" s="38"/>
      <c r="K29" s="38"/>
      <c r="L29" s="38"/>
      <c r="M29" s="38"/>
      <c r="N29" s="38"/>
      <c r="O29" s="38"/>
      <c r="P29" s="38"/>
      <c r="Q29" s="8"/>
    </row>
    <row r="30" spans="1:25">
      <c r="A30" s="2014"/>
      <c r="B30" s="2015"/>
      <c r="C30" s="60">
        <v>2016</v>
      </c>
      <c r="D30" s="1492">
        <f>2000+3000+6000+600+210+5000+2500+1000+2000+2000+40+80+45</f>
        <v>24475</v>
      </c>
      <c r="E30" s="1568">
        <f>12000+60000</f>
        <v>72000</v>
      </c>
      <c r="F30" s="1492">
        <f>400000+20000</f>
        <v>420000</v>
      </c>
      <c r="G30" s="59">
        <f t="shared" si="2"/>
        <v>516475</v>
      </c>
      <c r="H30" s="38"/>
      <c r="I30" s="38"/>
      <c r="J30" s="38"/>
      <c r="K30" s="38"/>
      <c r="L30" s="38"/>
      <c r="M30" s="38"/>
      <c r="N30" s="38"/>
      <c r="O30" s="38"/>
      <c r="P30" s="38"/>
      <c r="Q30" s="8"/>
    </row>
    <row r="31" spans="1:25">
      <c r="A31" s="2014"/>
      <c r="B31" s="2015"/>
      <c r="C31" s="60">
        <v>2017</v>
      </c>
      <c r="D31" s="1569">
        <f>2000</f>
        <v>2000</v>
      </c>
      <c r="E31" s="1493"/>
      <c r="F31" s="1493">
        <f>400000+20000</f>
        <v>420000</v>
      </c>
      <c r="G31" s="1570">
        <f t="shared" si="2"/>
        <v>422000</v>
      </c>
      <c r="H31" s="38"/>
      <c r="I31" s="38"/>
      <c r="J31" s="38"/>
      <c r="K31" s="38"/>
      <c r="L31" s="38"/>
      <c r="M31" s="38"/>
      <c r="N31" s="38"/>
      <c r="O31" s="38"/>
      <c r="P31" s="38"/>
      <c r="Q31" s="8"/>
    </row>
    <row r="32" spans="1:25">
      <c r="A32" s="2014"/>
      <c r="B32" s="2015"/>
      <c r="C32" s="60">
        <v>2018</v>
      </c>
      <c r="D32" s="1569"/>
      <c r="E32" s="1493"/>
      <c r="F32" s="1493"/>
      <c r="G32" s="1570">
        <f>SUM(D32:F32)</f>
        <v>0</v>
      </c>
      <c r="I32" s="38"/>
      <c r="J32" s="38"/>
      <c r="K32" s="38"/>
      <c r="L32" s="38"/>
      <c r="M32" s="38"/>
      <c r="N32" s="38"/>
      <c r="O32" s="38"/>
      <c r="P32" s="38"/>
      <c r="Q32" s="8"/>
    </row>
    <row r="33" spans="1:17">
      <c r="A33" s="2014"/>
      <c r="B33" s="2015"/>
      <c r="C33" s="61">
        <v>2019</v>
      </c>
      <c r="D33" s="42"/>
      <c r="E33" s="41"/>
      <c r="F33" s="41"/>
      <c r="G33" s="59">
        <f t="shared" si="2"/>
        <v>0</v>
      </c>
      <c r="H33" s="38"/>
      <c r="I33" s="38"/>
      <c r="J33" s="38"/>
      <c r="K33" s="38"/>
      <c r="L33" s="38"/>
      <c r="M33" s="38"/>
      <c r="N33" s="38"/>
      <c r="O33" s="38"/>
      <c r="P33" s="38"/>
      <c r="Q33" s="8"/>
    </row>
    <row r="34" spans="1:17" ht="24" customHeight="1">
      <c r="A34" s="2014"/>
      <c r="B34" s="2015"/>
      <c r="C34" s="60">
        <v>2020</v>
      </c>
      <c r="D34" s="42"/>
      <c r="E34" s="41"/>
      <c r="F34" s="41"/>
      <c r="G34" s="59">
        <f t="shared" si="2"/>
        <v>0</v>
      </c>
      <c r="H34" s="38"/>
      <c r="I34" s="38"/>
      <c r="J34" s="38"/>
      <c r="K34" s="38"/>
      <c r="L34" s="38"/>
      <c r="M34" s="38"/>
      <c r="N34" s="38"/>
      <c r="O34" s="38"/>
      <c r="P34" s="38"/>
      <c r="Q34" s="8"/>
    </row>
    <row r="35" spans="1:17" ht="114.75" customHeight="1" thickBot="1">
      <c r="A35" s="2016"/>
      <c r="B35" s="2017"/>
      <c r="C35" s="62" t="s">
        <v>13</v>
      </c>
      <c r="D35" s="49">
        <f>SUM(D28:D34)</f>
        <v>26475</v>
      </c>
      <c r="E35" s="47">
        <f>SUM(E28:E34)</f>
        <v>72000</v>
      </c>
      <c r="F35" s="47">
        <f>SUM(F28:F34)</f>
        <v>840000</v>
      </c>
      <c r="G35" s="51">
        <f t="shared" si="2"/>
        <v>938475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1571" t="s">
        <v>28</v>
      </c>
      <c r="F39" s="1572"/>
      <c r="G39" s="30"/>
      <c r="H39" s="30"/>
    </row>
    <row r="40" spans="1:17">
      <c r="A40" s="2018" t="s">
        <v>522</v>
      </c>
      <c r="B40" s="2019"/>
      <c r="C40" s="73">
        <v>2014</v>
      </c>
      <c r="D40" s="33"/>
      <c r="E40" s="58"/>
      <c r="F40" s="1573"/>
      <c r="G40" s="38"/>
      <c r="H40" s="38"/>
    </row>
    <row r="41" spans="1:17">
      <c r="A41" s="2020"/>
      <c r="B41" s="2019"/>
      <c r="C41" s="74">
        <v>2015</v>
      </c>
      <c r="D41" s="1574"/>
      <c r="E41" s="1575"/>
      <c r="F41" s="1573"/>
      <c r="G41" s="38"/>
      <c r="H41" s="38"/>
    </row>
    <row r="42" spans="1:17">
      <c r="A42" s="2020"/>
      <c r="B42" s="2019"/>
      <c r="C42" s="74">
        <v>2016</v>
      </c>
      <c r="D42" s="1576">
        <f>23958+3892</f>
        <v>27850</v>
      </c>
      <c r="E42" s="1576">
        <f>1374+2613</f>
        <v>3987</v>
      </c>
      <c r="F42" s="1577"/>
      <c r="G42" s="38"/>
      <c r="H42" s="38"/>
    </row>
    <row r="43" spans="1:17">
      <c r="A43" s="2020"/>
      <c r="B43" s="2019"/>
      <c r="C43" s="74">
        <v>2017</v>
      </c>
      <c r="D43" s="457">
        <v>6414</v>
      </c>
      <c r="E43" s="1578">
        <v>4210</v>
      </c>
      <c r="F43" s="1573"/>
      <c r="G43" s="38"/>
      <c r="H43" s="38"/>
    </row>
    <row r="44" spans="1:17">
      <c r="A44" s="2020"/>
      <c r="B44" s="2019"/>
      <c r="C44" s="74">
        <v>2018</v>
      </c>
      <c r="D44" s="40"/>
      <c r="E44" s="60"/>
      <c r="F44" s="1573"/>
      <c r="G44" s="38"/>
      <c r="H44" s="38"/>
    </row>
    <row r="45" spans="1:17">
      <c r="A45" s="2020"/>
      <c r="B45" s="2019"/>
      <c r="C45" s="74">
        <v>2019</v>
      </c>
      <c r="D45" s="40"/>
      <c r="E45" s="60"/>
      <c r="F45" s="1573"/>
      <c r="G45" s="38"/>
      <c r="H45" s="38"/>
    </row>
    <row r="46" spans="1:17">
      <c r="A46" s="2020"/>
      <c r="B46" s="2019"/>
      <c r="C46" s="74">
        <v>2020</v>
      </c>
      <c r="D46" s="40"/>
      <c r="E46" s="60"/>
      <c r="F46" s="1573"/>
      <c r="G46" s="38"/>
      <c r="H46" s="38"/>
    </row>
    <row r="47" spans="1:17" ht="15.75" thickBot="1">
      <c r="A47" s="2021"/>
      <c r="B47" s="2022"/>
      <c r="C47" s="45" t="s">
        <v>13</v>
      </c>
      <c r="D47" s="46">
        <f>SUM(D40:D46)</f>
        <v>34264</v>
      </c>
      <c r="E47" s="48">
        <f>SUM(E40:E46)</f>
        <v>8197</v>
      </c>
      <c r="F47" s="15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33" t="s">
        <v>523</v>
      </c>
      <c r="B62" s="2034"/>
      <c r="C62" s="99">
        <v>2014</v>
      </c>
      <c r="D62" s="100"/>
      <c r="E62" s="101"/>
      <c r="F62" s="102"/>
      <c r="G62" s="102"/>
      <c r="H62" s="102"/>
      <c r="I62" s="102"/>
      <c r="J62" s="102"/>
      <c r="K62" s="102"/>
      <c r="L62" s="37"/>
      <c r="M62" s="8"/>
      <c r="N62" s="8"/>
      <c r="O62" s="8"/>
    </row>
    <row r="63" spans="1:15">
      <c r="A63" s="2035"/>
      <c r="B63" s="2034"/>
      <c r="C63" s="103">
        <v>2015</v>
      </c>
      <c r="D63" s="104"/>
      <c r="E63" s="105"/>
      <c r="F63" s="41"/>
      <c r="G63" s="41"/>
      <c r="H63" s="41"/>
      <c r="I63" s="41"/>
      <c r="J63" s="41"/>
      <c r="K63" s="41"/>
      <c r="L63" s="86"/>
      <c r="M63" s="8"/>
      <c r="N63" s="8"/>
      <c r="O63" s="8"/>
    </row>
    <row r="64" spans="1:15">
      <c r="A64" s="2035"/>
      <c r="B64" s="2034"/>
      <c r="C64" s="103">
        <v>2016</v>
      </c>
      <c r="D64" s="461">
        <v>4</v>
      </c>
      <c r="E64" s="462"/>
      <c r="F64" s="459"/>
      <c r="G64" s="459"/>
      <c r="H64" s="459"/>
      <c r="I64" s="459"/>
      <c r="J64" s="459"/>
      <c r="K64" s="459"/>
      <c r="L64" s="463">
        <v>4</v>
      </c>
      <c r="M64" s="8"/>
      <c r="N64" s="8"/>
      <c r="O64" s="8"/>
    </row>
    <row r="65" spans="1:20">
      <c r="A65" s="2035"/>
      <c r="B65" s="2034"/>
      <c r="C65" s="103">
        <v>2017</v>
      </c>
      <c r="D65" s="461">
        <v>0</v>
      </c>
      <c r="E65" s="105"/>
      <c r="F65" s="41"/>
      <c r="G65" s="41"/>
      <c r="H65" s="41"/>
      <c r="I65" s="41"/>
      <c r="J65" s="41"/>
      <c r="K65" s="41"/>
      <c r="L65" s="86"/>
      <c r="M65" s="8"/>
      <c r="N65" s="8"/>
      <c r="O65" s="8"/>
    </row>
    <row r="66" spans="1:20">
      <c r="A66" s="2035"/>
      <c r="B66" s="2034"/>
      <c r="C66" s="103">
        <v>2018</v>
      </c>
      <c r="D66" s="104"/>
      <c r="E66" s="105"/>
      <c r="F66" s="41"/>
      <c r="G66" s="41"/>
      <c r="H66" s="41"/>
      <c r="I66" s="41"/>
      <c r="J66" s="41"/>
      <c r="K66" s="41"/>
      <c r="L66" s="86"/>
      <c r="M66" s="8"/>
      <c r="N66" s="8"/>
      <c r="O66" s="8"/>
    </row>
    <row r="67" spans="1:20" ht="17.25" customHeight="1">
      <c r="A67" s="2035"/>
      <c r="B67" s="2034"/>
      <c r="C67" s="103">
        <v>2019</v>
      </c>
      <c r="D67" s="104"/>
      <c r="E67" s="105"/>
      <c r="F67" s="41"/>
      <c r="G67" s="41"/>
      <c r="H67" s="41"/>
      <c r="I67" s="41"/>
      <c r="J67" s="41"/>
      <c r="K67" s="41"/>
      <c r="L67" s="86"/>
      <c r="M67" s="8"/>
      <c r="N67" s="8"/>
      <c r="O67" s="8"/>
    </row>
    <row r="68" spans="1:20" ht="16.5" customHeight="1">
      <c r="A68" s="2035"/>
      <c r="B68" s="2034"/>
      <c r="C68" s="103">
        <v>2020</v>
      </c>
      <c r="D68" s="104"/>
      <c r="E68" s="105"/>
      <c r="F68" s="41"/>
      <c r="G68" s="41"/>
      <c r="H68" s="41"/>
      <c r="I68" s="41"/>
      <c r="J68" s="41"/>
      <c r="K68" s="41"/>
      <c r="L68" s="86"/>
      <c r="M68" s="77"/>
      <c r="N68" s="77"/>
      <c r="O68" s="77"/>
    </row>
    <row r="69" spans="1:20" ht="18" customHeight="1" thickBot="1">
      <c r="A69" s="2036"/>
      <c r="B69" s="2037"/>
      <c r="C69" s="106" t="s">
        <v>13</v>
      </c>
      <c r="D69" s="107">
        <f>SUM(D62:D68)</f>
        <v>4</v>
      </c>
      <c r="E69" s="108">
        <f>SUM(E62:E68)</f>
        <v>0</v>
      </c>
      <c r="F69" s="109">
        <f t="shared" ref="F69:I69" si="4">SUM(F62:F68)</f>
        <v>0</v>
      </c>
      <c r="G69" s="109">
        <f t="shared" si="4"/>
        <v>0</v>
      </c>
      <c r="H69" s="109">
        <f t="shared" si="4"/>
        <v>0</v>
      </c>
      <c r="I69" s="109">
        <f t="shared" si="4"/>
        <v>0</v>
      </c>
      <c r="J69" s="109"/>
      <c r="K69" s="109">
        <f>SUM(K62:K68)</f>
        <v>0</v>
      </c>
      <c r="L69" s="110">
        <f>SUM(L62:L68)</f>
        <v>4</v>
      </c>
      <c r="M69" s="77"/>
      <c r="N69" s="77"/>
      <c r="O69" s="77"/>
    </row>
    <row r="70" spans="1:20" ht="20.25" customHeight="1" thickBot="1">
      <c r="A70" s="111"/>
      <c r="B70" s="112"/>
      <c r="C70" s="113"/>
      <c r="D70" s="114"/>
      <c r="E70" s="114"/>
      <c r="F70" s="114"/>
      <c r="G70" s="114"/>
      <c r="H70" s="113"/>
      <c r="I70" s="115"/>
      <c r="J70" s="115"/>
      <c r="K70" s="115"/>
      <c r="L70" s="115"/>
      <c r="M70" s="115"/>
      <c r="N70" s="115"/>
      <c r="O70" s="115"/>
      <c r="P70" s="1544"/>
      <c r="Q70" s="1544"/>
      <c r="R70" s="1544"/>
      <c r="S70" s="1544"/>
      <c r="T70" s="1544"/>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18" t="s">
        <v>524</v>
      </c>
      <c r="B72" s="2034"/>
      <c r="C72" s="73">
        <v>2014</v>
      </c>
      <c r="D72" s="124"/>
      <c r="E72" s="124"/>
      <c r="F72" s="124"/>
      <c r="G72" s="125">
        <f>SUM(D72:F72)</f>
        <v>0</v>
      </c>
      <c r="H72" s="33"/>
      <c r="I72" s="126"/>
      <c r="J72" s="102"/>
      <c r="K72" s="102"/>
      <c r="L72" s="102"/>
      <c r="M72" s="102"/>
      <c r="N72" s="102"/>
      <c r="O72" s="127"/>
    </row>
    <row r="73" spans="1:20">
      <c r="A73" s="2020"/>
      <c r="B73" s="2034"/>
      <c r="C73" s="74">
        <v>2015</v>
      </c>
      <c r="D73" s="1535"/>
      <c r="E73" s="1535"/>
      <c r="F73" s="1535"/>
      <c r="G73" s="125">
        <f t="shared" ref="G73:G78" si="5">SUM(D73:F73)</f>
        <v>0</v>
      </c>
      <c r="H73" s="457"/>
      <c r="I73" s="457"/>
      <c r="J73" s="459"/>
      <c r="K73" s="459"/>
      <c r="L73" s="459"/>
      <c r="M73" s="41"/>
      <c r="N73" s="41"/>
      <c r="O73" s="86"/>
    </row>
    <row r="74" spans="1:20">
      <c r="A74" s="2020"/>
      <c r="B74" s="2034"/>
      <c r="C74" s="74">
        <v>2016</v>
      </c>
      <c r="D74" s="1499">
        <f>7+1</f>
        <v>8</v>
      </c>
      <c r="E74" s="1499">
        <v>2</v>
      </c>
      <c r="F74" s="1499"/>
      <c r="G74" s="411">
        <f t="shared" si="5"/>
        <v>10</v>
      </c>
      <c r="H74" s="1491"/>
      <c r="I74" s="1491"/>
      <c r="J74" s="1492"/>
      <c r="K74" s="1492">
        <f>5+1</f>
        <v>6</v>
      </c>
      <c r="L74" s="1492">
        <v>2</v>
      </c>
      <c r="M74" s="41"/>
      <c r="N74" s="41"/>
      <c r="O74" s="463">
        <f>1+1</f>
        <v>2</v>
      </c>
    </row>
    <row r="75" spans="1:20">
      <c r="A75" s="2020"/>
      <c r="B75" s="2034"/>
      <c r="C75" s="74">
        <v>2017</v>
      </c>
      <c r="D75" s="1535">
        <v>0</v>
      </c>
      <c r="E75" s="1535">
        <v>0</v>
      </c>
      <c r="F75" s="128"/>
      <c r="G75" s="125">
        <f t="shared" si="5"/>
        <v>0</v>
      </c>
      <c r="H75" s="457"/>
      <c r="I75" s="457"/>
      <c r="J75" s="459"/>
      <c r="K75" s="459"/>
      <c r="L75" s="459"/>
      <c r="M75" s="41"/>
      <c r="N75" s="41"/>
      <c r="O75" s="86"/>
    </row>
    <row r="76" spans="1:20">
      <c r="A76" s="2020"/>
      <c r="B76" s="2034"/>
      <c r="C76" s="74">
        <v>2018</v>
      </c>
      <c r="D76" s="128"/>
      <c r="E76" s="128"/>
      <c r="F76" s="128"/>
      <c r="G76" s="125">
        <f t="shared" si="5"/>
        <v>0</v>
      </c>
      <c r="H76" s="40"/>
      <c r="I76" s="40"/>
      <c r="J76" s="41"/>
      <c r="K76" s="41"/>
      <c r="L76" s="41"/>
      <c r="M76" s="41"/>
      <c r="N76" s="41"/>
      <c r="O76" s="86"/>
    </row>
    <row r="77" spans="1:20" ht="15.75" customHeight="1">
      <c r="A77" s="2020"/>
      <c r="B77" s="2034"/>
      <c r="C77" s="74">
        <v>2019</v>
      </c>
      <c r="D77" s="128"/>
      <c r="E77" s="128"/>
      <c r="F77" s="128"/>
      <c r="G77" s="125">
        <f t="shared" si="5"/>
        <v>0</v>
      </c>
      <c r="H77" s="40"/>
      <c r="I77" s="40"/>
      <c r="J77" s="41"/>
      <c r="K77" s="41"/>
      <c r="L77" s="41"/>
      <c r="M77" s="41"/>
      <c r="N77" s="41"/>
      <c r="O77" s="86"/>
    </row>
    <row r="78" spans="1:20" ht="17.25" customHeight="1">
      <c r="A78" s="2020"/>
      <c r="B78" s="2034"/>
      <c r="C78" s="74">
        <v>2020</v>
      </c>
      <c r="D78" s="128"/>
      <c r="E78" s="128"/>
      <c r="F78" s="128"/>
      <c r="G78" s="125">
        <f t="shared" si="5"/>
        <v>0</v>
      </c>
      <c r="H78" s="40"/>
      <c r="I78" s="40"/>
      <c r="J78" s="41"/>
      <c r="K78" s="41"/>
      <c r="L78" s="41"/>
      <c r="M78" s="41"/>
      <c r="N78" s="41"/>
      <c r="O78" s="86"/>
    </row>
    <row r="79" spans="1:20" ht="20.25" customHeight="1" thickBot="1">
      <c r="A79" s="2036"/>
      <c r="B79" s="2037"/>
      <c r="C79" s="129" t="s">
        <v>13</v>
      </c>
      <c r="D79" s="107">
        <f>SUM(D72:D78)</f>
        <v>8</v>
      </c>
      <c r="E79" s="107">
        <f>SUM(E72:E78)</f>
        <v>2</v>
      </c>
      <c r="F79" s="107">
        <f>SUM(F72:F78)</f>
        <v>0</v>
      </c>
      <c r="G79" s="130">
        <f>SUM(G72:G78)</f>
        <v>10</v>
      </c>
      <c r="H79" s="131">
        <f>SUM(H73:H78)</f>
        <v>0</v>
      </c>
      <c r="I79" s="132">
        <f t="shared" ref="I79:O79" si="6">SUM(I72:I78)</f>
        <v>0</v>
      </c>
      <c r="J79" s="109">
        <f t="shared" si="6"/>
        <v>0</v>
      </c>
      <c r="K79" s="109">
        <f t="shared" si="6"/>
        <v>6</v>
      </c>
      <c r="L79" s="109">
        <f t="shared" si="6"/>
        <v>2</v>
      </c>
      <c r="M79" s="109">
        <f t="shared" si="6"/>
        <v>0</v>
      </c>
      <c r="N79" s="109">
        <f t="shared" si="6"/>
        <v>0</v>
      </c>
      <c r="O79" s="110">
        <f t="shared" si="6"/>
        <v>2</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544" customFormat="1" ht="150.7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52" t="s">
        <v>525</v>
      </c>
      <c r="B98" s="2055"/>
      <c r="C98" s="99">
        <v>2014</v>
      </c>
      <c r="D98" s="33"/>
      <c r="E98" s="34"/>
      <c r="F98" s="167"/>
      <c r="G98" s="168"/>
      <c r="H98" s="168"/>
      <c r="I98" s="168"/>
      <c r="J98" s="168"/>
      <c r="K98" s="168"/>
      <c r="L98" s="168"/>
      <c r="M98" s="169"/>
      <c r="N98" s="158"/>
      <c r="O98" s="158"/>
      <c r="P98" s="158"/>
    </row>
    <row r="99" spans="1:16" ht="16.5" customHeight="1">
      <c r="A99" s="2053"/>
      <c r="B99" s="2056"/>
      <c r="C99" s="103">
        <v>2015</v>
      </c>
      <c r="D99" s="457"/>
      <c r="E99" s="459"/>
      <c r="F99" s="170"/>
      <c r="G99" s="171"/>
      <c r="H99" s="171"/>
      <c r="I99" s="171"/>
      <c r="J99" s="171"/>
      <c r="K99" s="171"/>
      <c r="L99" s="171"/>
      <c r="M99" s="1579"/>
      <c r="N99" s="158"/>
      <c r="O99" s="158"/>
      <c r="P99" s="158"/>
    </row>
    <row r="100" spans="1:16" ht="16.5" customHeight="1">
      <c r="A100" s="2053"/>
      <c r="B100" s="2056"/>
      <c r="C100" s="103">
        <v>2016</v>
      </c>
      <c r="D100" s="1580">
        <v>1</v>
      </c>
      <c r="E100" s="1581">
        <v>9</v>
      </c>
      <c r="F100" s="170"/>
      <c r="G100" s="171"/>
      <c r="H100" s="171"/>
      <c r="I100" s="171"/>
      <c r="J100" s="171"/>
      <c r="K100" s="171"/>
      <c r="L100" s="171"/>
      <c r="M100" s="408">
        <v>1</v>
      </c>
      <c r="N100" s="158"/>
      <c r="O100" s="158"/>
      <c r="P100" s="158"/>
    </row>
    <row r="101" spans="1:16" ht="16.5" customHeight="1">
      <c r="A101" s="2053"/>
      <c r="B101" s="2056"/>
      <c r="C101" s="103">
        <v>2017</v>
      </c>
      <c r="D101" s="1125">
        <v>1</v>
      </c>
      <c r="E101" s="1582">
        <v>7</v>
      </c>
      <c r="F101" s="170"/>
      <c r="G101" s="171"/>
      <c r="H101" s="171"/>
      <c r="I101" s="171"/>
      <c r="J101" s="171"/>
      <c r="K101" s="171"/>
      <c r="L101" s="171"/>
      <c r="M101" s="1579">
        <v>1</v>
      </c>
      <c r="N101" s="158"/>
      <c r="O101" s="158"/>
      <c r="P101" s="158"/>
    </row>
    <row r="102" spans="1:16" ht="15.75" customHeight="1">
      <c r="A102" s="2053"/>
      <c r="B102" s="2056"/>
      <c r="C102" s="103">
        <v>2018</v>
      </c>
      <c r="D102" s="1502"/>
      <c r="E102" s="1493"/>
      <c r="F102" s="170"/>
      <c r="G102" s="171"/>
      <c r="H102" s="171"/>
      <c r="I102" s="171"/>
      <c r="J102" s="171"/>
      <c r="K102" s="171"/>
      <c r="L102" s="171"/>
      <c r="M102" s="172"/>
      <c r="N102" s="158"/>
      <c r="O102" s="158"/>
      <c r="P102" s="158"/>
    </row>
    <row r="103" spans="1:16" ht="14.25" customHeight="1">
      <c r="A103" s="2053"/>
      <c r="B103" s="2056"/>
      <c r="C103" s="103">
        <v>2019</v>
      </c>
      <c r="D103" s="40"/>
      <c r="E103" s="41"/>
      <c r="F103" s="170"/>
      <c r="G103" s="171"/>
      <c r="H103" s="171"/>
      <c r="I103" s="171"/>
      <c r="J103" s="171"/>
      <c r="K103" s="171"/>
      <c r="L103" s="171"/>
      <c r="M103" s="172"/>
      <c r="N103" s="158"/>
      <c r="O103" s="158"/>
      <c r="P103" s="158"/>
    </row>
    <row r="104" spans="1:16" ht="14.25" customHeight="1">
      <c r="A104" s="2053"/>
      <c r="B104" s="2056"/>
      <c r="C104" s="103">
        <v>2020</v>
      </c>
      <c r="D104" s="40"/>
      <c r="E104" s="41"/>
      <c r="F104" s="170"/>
      <c r="G104" s="171"/>
      <c r="H104" s="171"/>
      <c r="I104" s="171"/>
      <c r="J104" s="171"/>
      <c r="K104" s="171"/>
      <c r="L104" s="171"/>
      <c r="M104" s="172"/>
      <c r="N104" s="158"/>
      <c r="O104" s="158"/>
      <c r="P104" s="158"/>
    </row>
    <row r="105" spans="1:16" ht="19.5" customHeight="1" thickBot="1">
      <c r="A105" s="2054"/>
      <c r="B105" s="2057"/>
      <c r="C105" s="106" t="s">
        <v>13</v>
      </c>
      <c r="D105" s="1583">
        <f>SUM(D98:D104)</f>
        <v>2</v>
      </c>
      <c r="E105" s="1584">
        <f t="shared" ref="E105:K105" si="8">SUM(E98:E104)</f>
        <v>16</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62"/>
      <c r="B109" s="2063"/>
      <c r="C109" s="99">
        <v>2014</v>
      </c>
      <c r="D109" s="34"/>
      <c r="E109" s="167"/>
      <c r="F109" s="168"/>
      <c r="G109" s="168"/>
      <c r="H109" s="168"/>
      <c r="I109" s="168"/>
      <c r="J109" s="168"/>
      <c r="K109" s="168"/>
      <c r="L109" s="169"/>
      <c r="M109" s="178"/>
      <c r="N109" s="178"/>
    </row>
    <row r="110" spans="1:16">
      <c r="A110" s="2064"/>
      <c r="B110" s="2063"/>
      <c r="C110" s="103">
        <v>2015</v>
      </c>
      <c r="D110" s="41"/>
      <c r="E110" s="170"/>
      <c r="F110" s="171"/>
      <c r="G110" s="171"/>
      <c r="H110" s="171"/>
      <c r="I110" s="171"/>
      <c r="J110" s="171"/>
      <c r="K110" s="171"/>
      <c r="L110" s="172"/>
      <c r="M110" s="178"/>
      <c r="N110" s="178"/>
    </row>
    <row r="111" spans="1:16">
      <c r="A111" s="2064"/>
      <c r="B111" s="2063"/>
      <c r="C111" s="103">
        <v>2016</v>
      </c>
      <c r="D111" s="41"/>
      <c r="E111" s="170"/>
      <c r="F111" s="171"/>
      <c r="G111" s="171"/>
      <c r="H111" s="171"/>
      <c r="I111" s="171"/>
      <c r="J111" s="171"/>
      <c r="K111" s="171"/>
      <c r="L111" s="172"/>
      <c r="M111" s="178"/>
      <c r="N111" s="178"/>
    </row>
    <row r="112" spans="1:16">
      <c r="A112" s="2064"/>
      <c r="B112" s="2063"/>
      <c r="C112" s="103">
        <v>2017</v>
      </c>
      <c r="D112" s="41"/>
      <c r="E112" s="170"/>
      <c r="F112" s="171"/>
      <c r="G112" s="171"/>
      <c r="H112" s="171"/>
      <c r="I112" s="171"/>
      <c r="J112" s="171"/>
      <c r="K112" s="171"/>
      <c r="L112" s="172"/>
      <c r="M112" s="178"/>
      <c r="N112" s="178"/>
    </row>
    <row r="113" spans="1:14">
      <c r="A113" s="2064"/>
      <c r="B113" s="2063"/>
      <c r="C113" s="103">
        <v>2018</v>
      </c>
      <c r="D113" s="41"/>
      <c r="E113" s="170"/>
      <c r="F113" s="171"/>
      <c r="G113" s="171"/>
      <c r="H113" s="171"/>
      <c r="I113" s="171"/>
      <c r="J113" s="171"/>
      <c r="K113" s="171"/>
      <c r="L113" s="172"/>
      <c r="M113" s="178"/>
      <c r="N113" s="178"/>
    </row>
    <row r="114" spans="1:14">
      <c r="A114" s="2064"/>
      <c r="B114" s="2063"/>
      <c r="C114" s="103">
        <v>2019</v>
      </c>
      <c r="D114" s="41"/>
      <c r="E114" s="170"/>
      <c r="F114" s="171"/>
      <c r="G114" s="171"/>
      <c r="H114" s="171"/>
      <c r="I114" s="171"/>
      <c r="J114" s="171"/>
      <c r="K114" s="171"/>
      <c r="L114" s="172"/>
      <c r="M114" s="178"/>
      <c r="N114" s="178"/>
    </row>
    <row r="115" spans="1:14">
      <c r="A115" s="2064"/>
      <c r="B115" s="2063"/>
      <c r="C115" s="103">
        <v>2020</v>
      </c>
      <c r="D115" s="41"/>
      <c r="E115" s="170"/>
      <c r="F115" s="171"/>
      <c r="G115" s="171"/>
      <c r="H115" s="171"/>
      <c r="I115" s="171"/>
      <c r="J115" s="171"/>
      <c r="K115" s="171"/>
      <c r="L115" s="172"/>
      <c r="M115" s="178"/>
      <c r="N115" s="178"/>
    </row>
    <row r="116" spans="1:14" ht="25.5" customHeight="1" thickBot="1">
      <c r="A116" s="2065"/>
      <c r="B116" s="2066"/>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542" t="s">
        <v>9</v>
      </c>
      <c r="D129" s="182" t="s">
        <v>76</v>
      </c>
      <c r="E129" s="183"/>
      <c r="F129" s="183"/>
      <c r="G129" s="184"/>
      <c r="H129" s="178"/>
      <c r="I129" s="178"/>
      <c r="J129" s="178"/>
      <c r="K129" s="178"/>
      <c r="L129" s="178"/>
      <c r="M129" s="178"/>
      <c r="N129" s="178"/>
    </row>
    <row r="130" spans="1:16" ht="77.25" customHeight="1">
      <c r="A130" s="2044"/>
      <c r="B130" s="2046"/>
      <c r="C130" s="1543"/>
      <c r="D130" s="159" t="s">
        <v>77</v>
      </c>
      <c r="E130" s="186" t="s">
        <v>78</v>
      </c>
      <c r="F130" s="160" t="s">
        <v>79</v>
      </c>
      <c r="G130" s="187" t="s">
        <v>13</v>
      </c>
      <c r="H130" s="178"/>
      <c r="I130" s="178"/>
      <c r="J130" s="178"/>
      <c r="K130" s="178"/>
      <c r="L130" s="178"/>
      <c r="M130" s="178"/>
      <c r="N130" s="178"/>
    </row>
    <row r="131" spans="1:16" ht="15" customHeight="1">
      <c r="A131" s="2025"/>
      <c r="B131" s="2068"/>
      <c r="C131" s="99">
        <v>2015</v>
      </c>
      <c r="D131" s="1585"/>
      <c r="E131" s="34"/>
      <c r="F131" s="34"/>
      <c r="G131" s="191">
        <f t="shared" ref="G131:G136" si="11">SUM(D131:F131)</f>
        <v>0</v>
      </c>
      <c r="H131" s="178"/>
      <c r="I131" s="178"/>
      <c r="J131" s="178"/>
      <c r="K131" s="178"/>
      <c r="L131" s="178"/>
      <c r="M131" s="178"/>
      <c r="N131" s="178"/>
    </row>
    <row r="132" spans="1:16">
      <c r="A132" s="2069"/>
      <c r="B132" s="2068"/>
      <c r="C132" s="103">
        <v>2016</v>
      </c>
      <c r="D132" s="457">
        <f>9*13</f>
        <v>117</v>
      </c>
      <c r="E132" s="41"/>
      <c r="F132" s="41"/>
      <c r="G132" s="191">
        <f>SUM(D132:F132)</f>
        <v>117</v>
      </c>
      <c r="H132" s="178"/>
      <c r="I132" s="178"/>
      <c r="J132" s="178"/>
      <c r="K132" s="178"/>
      <c r="L132" s="178"/>
      <c r="M132" s="178"/>
      <c r="N132" s="178"/>
    </row>
    <row r="133" spans="1:16">
      <c r="A133" s="2069"/>
      <c r="B133" s="2068"/>
      <c r="C133" s="103">
        <v>2017</v>
      </c>
      <c r="D133" s="153">
        <f>7*13</f>
        <v>91</v>
      </c>
      <c r="E133" s="41"/>
      <c r="F133" s="41"/>
      <c r="G133" s="191">
        <f t="shared" si="11"/>
        <v>91</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208</v>
      </c>
      <c r="E137" s="132">
        <f t="shared" ref="E137:F137" si="12">SUM(E131:E136)</f>
        <v>0</v>
      </c>
      <c r="F137" s="132">
        <f t="shared" si="12"/>
        <v>0</v>
      </c>
      <c r="G137" s="192">
        <f>SUM(G131:G136)</f>
        <v>208</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57.75" customHeight="1">
      <c r="A153" s="2079" t="s">
        <v>94</v>
      </c>
      <c r="B153" s="2074" t="s">
        <v>62</v>
      </c>
      <c r="C153" s="2081" t="s">
        <v>9</v>
      </c>
      <c r="D153" s="222" t="s">
        <v>95</v>
      </c>
      <c r="E153" s="222"/>
      <c r="F153" s="223"/>
      <c r="G153" s="223"/>
      <c r="H153" s="222" t="s">
        <v>96</v>
      </c>
      <c r="I153" s="222"/>
      <c r="J153" s="224"/>
      <c r="K153" s="1544"/>
      <c r="L153" s="1544"/>
      <c r="M153" s="1544"/>
      <c r="N153" s="1544"/>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1544"/>
      <c r="L154" s="1544"/>
      <c r="M154" s="1544"/>
      <c r="N154" s="1544"/>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544"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544"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8"/>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57"/>
      <c r="E179" s="41"/>
      <c r="F179" s="41"/>
      <c r="G179" s="278">
        <f t="shared" ref="G179:G184" si="19">SUM(D179:F179)</f>
        <v>0</v>
      </c>
      <c r="H179" s="279"/>
      <c r="I179" s="105"/>
      <c r="J179" s="41"/>
      <c r="K179" s="41"/>
      <c r="L179" s="459"/>
      <c r="M179" s="459"/>
      <c r="N179" s="41"/>
      <c r="O179" s="86"/>
    </row>
    <row r="180" spans="1:15">
      <c r="A180" s="2048"/>
      <c r="B180" s="2039"/>
      <c r="C180" s="103">
        <v>2016</v>
      </c>
      <c r="D180" s="457">
        <v>4</v>
      </c>
      <c r="E180" s="41"/>
      <c r="F180" s="41"/>
      <c r="G180" s="278">
        <f t="shared" si="19"/>
        <v>4</v>
      </c>
      <c r="H180" s="279">
        <v>4</v>
      </c>
      <c r="I180" s="105"/>
      <c r="J180" s="41"/>
      <c r="K180" s="41"/>
      <c r="L180" s="459">
        <v>3</v>
      </c>
      <c r="M180" s="459">
        <v>1</v>
      </c>
      <c r="N180" s="41"/>
      <c r="O180" s="86"/>
    </row>
    <row r="181" spans="1:15">
      <c r="A181" s="2048"/>
      <c r="B181" s="2039"/>
      <c r="C181" s="103">
        <v>2017</v>
      </c>
      <c r="D181" s="457"/>
      <c r="E181" s="41"/>
      <c r="F181" s="41"/>
      <c r="G181" s="278">
        <f t="shared" si="19"/>
        <v>0</v>
      </c>
      <c r="H181" s="279"/>
      <c r="I181" s="105"/>
      <c r="J181" s="41"/>
      <c r="K181" s="41"/>
      <c r="L181" s="41"/>
      <c r="M181" s="41"/>
      <c r="N181" s="41"/>
      <c r="O181" s="86"/>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4</v>
      </c>
      <c r="E185" s="109">
        <f>SUM(E178:E184)</f>
        <v>0</v>
      </c>
      <c r="F185" s="109">
        <f>SUM(F178:F184)</f>
        <v>0</v>
      </c>
      <c r="G185" s="217">
        <f t="shared" ref="G185:O185" si="20">SUM(G178:G184)</f>
        <v>4</v>
      </c>
      <c r="H185" s="280">
        <f t="shared" si="20"/>
        <v>4</v>
      </c>
      <c r="I185" s="108">
        <f t="shared" si="20"/>
        <v>0</v>
      </c>
      <c r="J185" s="109">
        <f t="shared" si="20"/>
        <v>0</v>
      </c>
      <c r="K185" s="109">
        <f t="shared" si="20"/>
        <v>0</v>
      </c>
      <c r="L185" s="109">
        <f t="shared" si="20"/>
        <v>3</v>
      </c>
      <c r="M185" s="109">
        <f t="shared" si="20"/>
        <v>1</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023" t="s">
        <v>526</v>
      </c>
      <c r="B189" s="2091"/>
      <c r="C189" s="1586">
        <v>2014</v>
      </c>
      <c r="D189" s="126"/>
      <c r="E189" s="102"/>
      <c r="F189" s="102"/>
      <c r="G189" s="286">
        <f>SUM(D189:F189)</f>
        <v>0</v>
      </c>
      <c r="H189" s="101"/>
      <c r="I189" s="102"/>
      <c r="J189" s="102"/>
      <c r="K189" s="102"/>
      <c r="L189" s="127"/>
    </row>
    <row r="190" spans="1:15">
      <c r="A190" s="2025"/>
      <c r="B190" s="2092"/>
      <c r="C190" s="1587">
        <v>2015</v>
      </c>
      <c r="D190" s="40"/>
      <c r="E190" s="41"/>
      <c r="F190" s="41"/>
      <c r="G190" s="286">
        <f t="shared" ref="G190:G195" si="21">SUM(D190:F190)</f>
        <v>0</v>
      </c>
      <c r="H190" s="105"/>
      <c r="I190" s="41"/>
      <c r="J190" s="41"/>
      <c r="K190" s="41"/>
      <c r="L190" s="86"/>
    </row>
    <row r="191" spans="1:15">
      <c r="A191" s="2025"/>
      <c r="B191" s="2092"/>
      <c r="C191" s="1587">
        <v>2016</v>
      </c>
      <c r="D191" s="40">
        <v>221</v>
      </c>
      <c r="E191" s="41"/>
      <c r="F191" s="41"/>
      <c r="G191" s="286">
        <f t="shared" si="21"/>
        <v>221</v>
      </c>
      <c r="H191" s="105">
        <v>0</v>
      </c>
      <c r="I191" s="41">
        <v>55</v>
      </c>
      <c r="J191" s="41"/>
      <c r="K191" s="41"/>
      <c r="L191" s="86">
        <v>166</v>
      </c>
    </row>
    <row r="192" spans="1:15">
      <c r="A192" s="2025"/>
      <c r="B192" s="2092"/>
      <c r="C192" s="1587">
        <v>2017</v>
      </c>
      <c r="D192" s="457">
        <v>0</v>
      </c>
      <c r="E192" s="459"/>
      <c r="F192" s="459"/>
      <c r="G192" s="286">
        <f t="shared" si="21"/>
        <v>0</v>
      </c>
      <c r="H192" s="462">
        <v>0</v>
      </c>
      <c r="I192" s="459">
        <v>0</v>
      </c>
      <c r="J192" s="459">
        <v>0</v>
      </c>
      <c r="K192" s="459">
        <v>0</v>
      </c>
      <c r="L192" s="463">
        <v>0</v>
      </c>
    </row>
    <row r="193" spans="1:14">
      <c r="A193" s="2025"/>
      <c r="B193" s="2092"/>
      <c r="C193" s="1587">
        <v>2018</v>
      </c>
      <c r="D193" s="40"/>
      <c r="E193" s="41"/>
      <c r="F193" s="41"/>
      <c r="G193" s="286">
        <f t="shared" si="21"/>
        <v>0</v>
      </c>
      <c r="H193" s="105"/>
      <c r="I193" s="41"/>
      <c r="J193" s="41"/>
      <c r="K193" s="41"/>
      <c r="L193" s="86"/>
    </row>
    <row r="194" spans="1:14">
      <c r="A194" s="2025"/>
      <c r="B194" s="2092"/>
      <c r="C194" s="1587">
        <v>2019</v>
      </c>
      <c r="D194" s="40"/>
      <c r="E194" s="41"/>
      <c r="F194" s="41"/>
      <c r="G194" s="286">
        <f t="shared" si="21"/>
        <v>0</v>
      </c>
      <c r="H194" s="105"/>
      <c r="I194" s="41"/>
      <c r="J194" s="41"/>
      <c r="K194" s="41"/>
      <c r="L194" s="86"/>
    </row>
    <row r="195" spans="1:14">
      <c r="A195" s="2025"/>
      <c r="B195" s="2092"/>
      <c r="C195" s="1587">
        <v>2020</v>
      </c>
      <c r="D195" s="40"/>
      <c r="E195" s="41"/>
      <c r="F195" s="41"/>
      <c r="G195" s="286">
        <f t="shared" si="21"/>
        <v>0</v>
      </c>
      <c r="H195" s="105"/>
      <c r="I195" s="41"/>
      <c r="J195" s="41"/>
      <c r="K195" s="41"/>
      <c r="L195" s="86"/>
    </row>
    <row r="196" spans="1:14" ht="15.75" thickBot="1">
      <c r="A196" s="2027"/>
      <c r="B196" s="2093"/>
      <c r="C196" s="1588" t="s">
        <v>13</v>
      </c>
      <c r="D196" s="132">
        <f t="shared" ref="D196:L196" si="22">SUM(D189:D195)</f>
        <v>221</v>
      </c>
      <c r="E196" s="109">
        <f t="shared" si="22"/>
        <v>0</v>
      </c>
      <c r="F196" s="109">
        <f t="shared" si="22"/>
        <v>0</v>
      </c>
      <c r="G196" s="290">
        <f t="shared" si="22"/>
        <v>221</v>
      </c>
      <c r="H196" s="108">
        <f t="shared" si="22"/>
        <v>0</v>
      </c>
      <c r="I196" s="109">
        <f t="shared" si="22"/>
        <v>55</v>
      </c>
      <c r="J196" s="109">
        <f t="shared" si="22"/>
        <v>0</v>
      </c>
      <c r="K196" s="109">
        <f t="shared" si="22"/>
        <v>0</v>
      </c>
      <c r="L196" s="110">
        <f t="shared" si="22"/>
        <v>166</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544"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06" t="s">
        <v>527</v>
      </c>
      <c r="C213" s="73"/>
      <c r="D213" s="1535"/>
      <c r="E213" s="1499">
        <f>E214+E216+E217</f>
        <v>627874.43000000005</v>
      </c>
      <c r="F213" s="1535">
        <f>F214+F216+F217</f>
        <v>120193.44</v>
      </c>
      <c r="G213" s="128"/>
      <c r="H213" s="128"/>
      <c r="I213" s="327"/>
    </row>
    <row r="214" spans="1:12">
      <c r="A214" t="s">
        <v>153</v>
      </c>
      <c r="B214" s="2107"/>
      <c r="C214" s="73"/>
      <c r="D214" s="1535"/>
      <c r="E214" s="1499">
        <f>452148.32-32338</f>
        <v>419810.32</v>
      </c>
      <c r="F214" s="1535">
        <f>120193.44</f>
        <v>120193.44</v>
      </c>
      <c r="G214" s="128"/>
      <c r="H214" s="128"/>
      <c r="I214" s="327"/>
    </row>
    <row r="215" spans="1:12">
      <c r="A215" t="s">
        <v>155</v>
      </c>
      <c r="B215" s="2107"/>
      <c r="C215" s="73"/>
      <c r="D215" s="1535"/>
      <c r="E215" s="1499">
        <v>0</v>
      </c>
      <c r="F215" s="1535"/>
      <c r="G215" s="128"/>
      <c r="H215" s="128"/>
      <c r="I215" s="327"/>
    </row>
    <row r="216" spans="1:12">
      <c r="A216" t="s">
        <v>157</v>
      </c>
      <c r="B216" s="2107"/>
      <c r="C216" s="73"/>
      <c r="D216" s="1535"/>
      <c r="E216" s="1499">
        <f>73800+62715.08+13777.43+42000</f>
        <v>192292.51</v>
      </c>
      <c r="F216" s="1535"/>
      <c r="G216" s="128"/>
      <c r="H216" s="128"/>
      <c r="I216" s="327"/>
    </row>
    <row r="217" spans="1:12">
      <c r="A217" t="s">
        <v>158</v>
      </c>
      <c r="B217" s="2107"/>
      <c r="C217" s="73"/>
      <c r="D217" s="1535"/>
      <c r="E217" s="1499">
        <f>15771.6</f>
        <v>15771.6</v>
      </c>
      <c r="F217" s="1535"/>
      <c r="G217" s="128"/>
      <c r="H217" s="128"/>
      <c r="I217" s="327"/>
    </row>
    <row r="218" spans="1:12" ht="50.25" customHeight="1">
      <c r="A218" s="1544" t="s">
        <v>159</v>
      </c>
      <c r="B218" s="2107"/>
      <c r="C218" s="73"/>
      <c r="D218" s="1535"/>
      <c r="E218" s="1499">
        <f>237305.13+36602.34+32338-32338</f>
        <v>273907.46999999997</v>
      </c>
      <c r="F218" s="1535">
        <f>101150.18+18586.48</f>
        <v>119736.65999999999</v>
      </c>
      <c r="G218" s="128"/>
      <c r="H218" s="128"/>
      <c r="I218" s="327"/>
    </row>
    <row r="219" spans="1:12" ht="124.5" customHeight="1" thickBot="1">
      <c r="A219" s="349"/>
      <c r="B219" s="2108"/>
      <c r="C219" s="45" t="s">
        <v>13</v>
      </c>
      <c r="D219" s="333">
        <f>SUM(D214:D218)</f>
        <v>0</v>
      </c>
      <c r="E219" s="370">
        <f t="shared" ref="E219:I219" si="24">SUM(E214:E218)</f>
        <v>901781.9</v>
      </c>
      <c r="F219" s="333">
        <f t="shared" si="24"/>
        <v>239930.09999999998</v>
      </c>
      <c r="G219" s="333">
        <f t="shared" si="24"/>
        <v>0</v>
      </c>
      <c r="H219" s="333">
        <f t="shared" si="24"/>
        <v>0</v>
      </c>
      <c r="I219" s="333">
        <f t="shared" si="24"/>
        <v>0</v>
      </c>
    </row>
    <row r="224" spans="1:12">
      <c r="G224" t="s">
        <v>528</v>
      </c>
    </row>
    <row r="226" spans="1:7">
      <c r="G226" t="s">
        <v>529</v>
      </c>
    </row>
    <row r="228" spans="1:7">
      <c r="A228" s="1544"/>
    </row>
  </sheetData>
  <mergeCells count="57">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A105"/>
    <mergeCell ref="B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dimension ref="A1:Y227"/>
  <sheetViews>
    <sheetView topLeftCell="C172" workbookViewId="0">
      <selection activeCell="I185" sqref="I185:O185"/>
    </sheetView>
  </sheetViews>
  <sheetFormatPr defaultColWidth="8.85546875" defaultRowHeight="15"/>
  <cols>
    <col min="1" max="1" width="91" customWidth="1"/>
    <col min="2" max="2" width="44"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427</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827" customFormat="1" ht="148.5" customHeight="1">
      <c r="A16" s="979" t="s">
        <v>7</v>
      </c>
      <c r="B16" s="980" t="s">
        <v>8</v>
      </c>
      <c r="C16" s="981" t="s">
        <v>9</v>
      </c>
      <c r="D16" s="982" t="s">
        <v>10</v>
      </c>
      <c r="E16" s="983" t="s">
        <v>11</v>
      </c>
      <c r="F16" s="983" t="s">
        <v>12</v>
      </c>
      <c r="G16" s="984" t="s">
        <v>13</v>
      </c>
      <c r="H16" s="985" t="s">
        <v>14</v>
      </c>
      <c r="I16" s="983" t="s">
        <v>15</v>
      </c>
      <c r="J16" s="983" t="s">
        <v>16</v>
      </c>
      <c r="K16" s="983" t="s">
        <v>17</v>
      </c>
      <c r="L16" s="983" t="s">
        <v>18</v>
      </c>
      <c r="M16" s="986" t="s">
        <v>19</v>
      </c>
      <c r="N16" s="983" t="s">
        <v>20</v>
      </c>
      <c r="O16" s="987" t="s">
        <v>21</v>
      </c>
      <c r="P16" s="30"/>
      <c r="Q16" s="30"/>
      <c r="R16" s="30"/>
      <c r="S16" s="30"/>
      <c r="T16" s="30"/>
      <c r="U16" s="30"/>
      <c r="V16" s="30"/>
      <c r="W16" s="30"/>
      <c r="X16" s="30"/>
      <c r="Y16" s="30"/>
    </row>
    <row r="17" spans="1:25" ht="17.25" customHeight="1">
      <c r="A17" s="2336" t="s">
        <v>428</v>
      </c>
      <c r="B17" s="2337"/>
      <c r="C17" s="988">
        <v>2014</v>
      </c>
      <c r="D17" s="33"/>
      <c r="E17" s="34"/>
      <c r="F17" s="34"/>
      <c r="G17" s="989">
        <f t="shared" ref="G17:G23" si="0">SUM(D17:F17)</f>
        <v>0</v>
      </c>
      <c r="H17" s="36"/>
      <c r="I17" s="34"/>
      <c r="J17" s="34"/>
      <c r="K17" s="34"/>
      <c r="L17" s="34"/>
      <c r="M17" s="34"/>
      <c r="N17" s="34"/>
      <c r="O17" s="37"/>
      <c r="P17" s="38"/>
      <c r="Q17" s="38"/>
      <c r="R17" s="38"/>
      <c r="S17" s="38"/>
      <c r="T17" s="38"/>
      <c r="U17" s="38"/>
      <c r="V17" s="38"/>
      <c r="W17" s="38"/>
      <c r="X17" s="38"/>
      <c r="Y17" s="38"/>
    </row>
    <row r="18" spans="1:25" ht="19.5" customHeight="1">
      <c r="A18" s="2338"/>
      <c r="B18" s="2337"/>
      <c r="C18" s="990">
        <v>2015</v>
      </c>
      <c r="D18" s="991"/>
      <c r="E18" s="992"/>
      <c r="F18" s="993"/>
      <c r="G18" s="994">
        <f>SUM(D18:F18)</f>
        <v>0</v>
      </c>
      <c r="H18" s="995"/>
      <c r="I18" s="992"/>
      <c r="J18" s="992"/>
      <c r="K18" s="992"/>
      <c r="L18" s="992"/>
      <c r="M18" s="992"/>
      <c r="N18" s="992"/>
      <c r="O18" s="996"/>
      <c r="P18" s="38"/>
      <c r="Q18" s="38"/>
      <c r="R18" s="38"/>
      <c r="S18" s="38"/>
      <c r="T18" s="38"/>
      <c r="U18" s="38"/>
      <c r="V18" s="38"/>
      <c r="W18" s="38"/>
      <c r="X18" s="38"/>
      <c r="Y18" s="38"/>
    </row>
    <row r="19" spans="1:25" ht="18.75" customHeight="1">
      <c r="A19" s="2338"/>
      <c r="B19" s="2337"/>
      <c r="C19" s="990">
        <v>2016</v>
      </c>
      <c r="D19" s="997">
        <v>23</v>
      </c>
      <c r="E19" s="993">
        <v>1</v>
      </c>
      <c r="F19" s="993">
        <v>0</v>
      </c>
      <c r="G19" s="994">
        <f t="shared" si="0"/>
        <v>24</v>
      </c>
      <c r="H19" s="998">
        <v>0</v>
      </c>
      <c r="I19" s="993">
        <v>8</v>
      </c>
      <c r="J19" s="993">
        <v>0</v>
      </c>
      <c r="K19" s="993">
        <v>9</v>
      </c>
      <c r="L19" s="993">
        <v>0</v>
      </c>
      <c r="M19" s="993">
        <v>0</v>
      </c>
      <c r="N19" s="993">
        <v>0</v>
      </c>
      <c r="O19" s="999">
        <v>7</v>
      </c>
      <c r="P19" s="38"/>
      <c r="Q19" s="38"/>
      <c r="R19" s="38"/>
      <c r="S19" s="38"/>
      <c r="T19" s="38"/>
      <c r="U19" s="38"/>
      <c r="V19" s="38"/>
      <c r="W19" s="38"/>
      <c r="X19" s="38"/>
      <c r="Y19" s="38"/>
    </row>
    <row r="20" spans="1:25" ht="16.5" customHeight="1">
      <c r="A20" s="2338"/>
      <c r="B20" s="2337"/>
      <c r="C20" s="990">
        <v>2017</v>
      </c>
      <c r="D20" s="1000">
        <v>3</v>
      </c>
      <c r="E20" s="1001">
        <v>3</v>
      </c>
      <c r="F20" s="1001">
        <v>0</v>
      </c>
      <c r="G20" s="1002">
        <f t="shared" si="0"/>
        <v>6</v>
      </c>
      <c r="H20" s="1003">
        <v>0</v>
      </c>
      <c r="I20" s="1001">
        <v>5</v>
      </c>
      <c r="J20" s="1001">
        <v>0</v>
      </c>
      <c r="K20" s="1001">
        <v>1</v>
      </c>
      <c r="L20" s="1001">
        <v>0</v>
      </c>
      <c r="M20" s="1001">
        <v>0</v>
      </c>
      <c r="N20" s="1001">
        <v>0</v>
      </c>
      <c r="O20" s="1004">
        <v>0</v>
      </c>
      <c r="P20" s="38"/>
      <c r="Q20" s="38"/>
      <c r="R20" s="38"/>
      <c r="S20" s="38"/>
      <c r="T20" s="38"/>
      <c r="U20" s="38"/>
      <c r="V20" s="38"/>
      <c r="W20" s="38"/>
      <c r="X20" s="38"/>
      <c r="Y20" s="38"/>
    </row>
    <row r="21" spans="1:25" ht="17.25" customHeight="1">
      <c r="A21" s="2338"/>
      <c r="B21" s="2337"/>
      <c r="C21" s="990">
        <v>2018</v>
      </c>
      <c r="D21" s="1000"/>
      <c r="E21" s="1001"/>
      <c r="F21" s="1001"/>
      <c r="G21" s="1002">
        <f t="shared" si="0"/>
        <v>0</v>
      </c>
      <c r="H21" s="1003"/>
      <c r="I21" s="1001"/>
      <c r="J21" s="1001"/>
      <c r="K21" s="1001"/>
      <c r="L21" s="1001"/>
      <c r="M21" s="1001"/>
      <c r="N21" s="1001"/>
      <c r="O21" s="1004"/>
      <c r="P21" s="38"/>
      <c r="Q21" s="38"/>
      <c r="R21" s="38"/>
      <c r="S21" s="38"/>
      <c r="T21" s="38"/>
      <c r="U21" s="38"/>
      <c r="V21" s="38"/>
      <c r="W21" s="38"/>
      <c r="X21" s="38"/>
      <c r="Y21" s="38"/>
    </row>
    <row r="22" spans="1:25" ht="18.75" customHeight="1">
      <c r="A22" s="2338"/>
      <c r="B22" s="2337"/>
      <c r="C22" s="1005">
        <v>2019</v>
      </c>
      <c r="D22" s="1000"/>
      <c r="E22" s="1001"/>
      <c r="F22" s="1001"/>
      <c r="G22" s="1002">
        <f>SUM(D22:F22)</f>
        <v>0</v>
      </c>
      <c r="H22" s="1003"/>
      <c r="I22" s="1001"/>
      <c r="J22" s="1001"/>
      <c r="K22" s="1001"/>
      <c r="L22" s="1001"/>
      <c r="M22" s="1001"/>
      <c r="N22" s="1001"/>
      <c r="O22" s="1004"/>
      <c r="P22" s="38"/>
      <c r="Q22" s="38"/>
      <c r="R22" s="38"/>
      <c r="S22" s="38"/>
      <c r="T22" s="38"/>
      <c r="U22" s="38"/>
      <c r="V22" s="38"/>
      <c r="W22" s="38"/>
      <c r="X22" s="38"/>
      <c r="Y22" s="38"/>
    </row>
    <row r="23" spans="1:25" ht="17.25" customHeight="1">
      <c r="A23" s="2338"/>
      <c r="B23" s="2337"/>
      <c r="C23" s="990">
        <v>2020</v>
      </c>
      <c r="D23" s="1000"/>
      <c r="E23" s="1001"/>
      <c r="F23" s="1001"/>
      <c r="G23" s="1002">
        <f t="shared" si="0"/>
        <v>0</v>
      </c>
      <c r="H23" s="1003"/>
      <c r="I23" s="1001"/>
      <c r="J23" s="1001"/>
      <c r="K23" s="1001"/>
      <c r="L23" s="1001"/>
      <c r="M23" s="1001"/>
      <c r="N23" s="1001"/>
      <c r="O23" s="1004"/>
      <c r="P23" s="38"/>
      <c r="Q23" s="38"/>
      <c r="R23" s="38"/>
      <c r="S23" s="38"/>
      <c r="T23" s="38"/>
      <c r="U23" s="38"/>
      <c r="V23" s="38"/>
      <c r="W23" s="38"/>
      <c r="X23" s="38"/>
      <c r="Y23" s="38"/>
    </row>
    <row r="24" spans="1:25" ht="98.25" customHeight="1" thickBot="1">
      <c r="A24" s="2339"/>
      <c r="B24" s="2340"/>
      <c r="C24" s="1006" t="s">
        <v>13</v>
      </c>
      <c r="D24" s="1007">
        <f>SUM(D17:D23)</f>
        <v>26</v>
      </c>
      <c r="E24" s="1008">
        <f>SUM(E17:E23)</f>
        <v>4</v>
      </c>
      <c r="F24" s="1008">
        <f>SUM(F17:F23)</f>
        <v>0</v>
      </c>
      <c r="G24" s="1009">
        <f>SUM(D24:F24)</f>
        <v>30</v>
      </c>
      <c r="H24" s="1010">
        <f>SUM(H17:H23)</f>
        <v>0</v>
      </c>
      <c r="I24" s="1011">
        <f>SUM(I17:I23)</f>
        <v>13</v>
      </c>
      <c r="J24" s="1011">
        <f t="shared" ref="J24:N24" si="1">SUM(J17:J23)</f>
        <v>0</v>
      </c>
      <c r="K24" s="1011">
        <f t="shared" si="1"/>
        <v>10</v>
      </c>
      <c r="L24" s="1011">
        <f t="shared" si="1"/>
        <v>0</v>
      </c>
      <c r="M24" s="1011">
        <f t="shared" si="1"/>
        <v>0</v>
      </c>
      <c r="N24" s="1011">
        <f t="shared" si="1"/>
        <v>0</v>
      </c>
      <c r="O24" s="1012">
        <f>SUM(O17:O23)</f>
        <v>7</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1013"/>
      <c r="C26" s="1014"/>
      <c r="D26" s="2011" t="s">
        <v>5</v>
      </c>
      <c r="E26" s="2012"/>
      <c r="F26" s="2012"/>
      <c r="G26" s="2013"/>
      <c r="H26" s="16"/>
      <c r="I26" s="17"/>
      <c r="J26" s="18"/>
      <c r="K26" s="18"/>
      <c r="L26" s="18"/>
      <c r="M26" s="18"/>
      <c r="N26" s="18"/>
      <c r="O26" s="16"/>
      <c r="P26" s="16"/>
    </row>
    <row r="27" spans="1:25" s="827" customFormat="1" ht="48.75" customHeight="1">
      <c r="A27" s="1015" t="s">
        <v>23</v>
      </c>
      <c r="B27" s="21" t="s">
        <v>8</v>
      </c>
      <c r="C27" s="1016" t="s">
        <v>9</v>
      </c>
      <c r="D27" s="56" t="s">
        <v>10</v>
      </c>
      <c r="E27" s="24" t="s">
        <v>11</v>
      </c>
      <c r="F27" s="24" t="s">
        <v>12</v>
      </c>
      <c r="G27" s="57" t="s">
        <v>13</v>
      </c>
      <c r="H27" s="30"/>
      <c r="I27" s="30"/>
      <c r="J27" s="30"/>
      <c r="K27" s="30"/>
      <c r="L27" s="30"/>
      <c r="M27" s="30"/>
      <c r="N27" s="30"/>
      <c r="O27" s="30"/>
      <c r="P27" s="30"/>
      <c r="Q27" s="19"/>
    </row>
    <row r="28" spans="1:25" ht="15" customHeight="1">
      <c r="A28" s="2336" t="s">
        <v>429</v>
      </c>
      <c r="B28" s="2337"/>
      <c r="C28" s="1017">
        <v>2014</v>
      </c>
      <c r="D28" s="1018"/>
      <c r="E28" s="1019"/>
      <c r="F28" s="1019"/>
      <c r="G28" s="1020">
        <f>SUM(D28:F28)</f>
        <v>0</v>
      </c>
      <c r="H28" s="38"/>
      <c r="I28" s="38"/>
      <c r="J28" s="38"/>
      <c r="K28" s="38"/>
      <c r="L28" s="38"/>
      <c r="M28" s="38"/>
      <c r="N28" s="38"/>
      <c r="O28" s="38"/>
      <c r="P28" s="38"/>
      <c r="Q28" s="8"/>
    </row>
    <row r="29" spans="1:25">
      <c r="A29" s="2338"/>
      <c r="B29" s="2337"/>
      <c r="C29" s="1021">
        <v>2015</v>
      </c>
      <c r="D29" s="1022"/>
      <c r="E29" s="1023"/>
      <c r="F29" s="1023"/>
      <c r="G29" s="1020">
        <f t="shared" ref="G29:G35" si="2">SUM(D29:F29)</f>
        <v>0</v>
      </c>
      <c r="H29" s="38"/>
      <c r="I29" s="38"/>
      <c r="J29" s="38"/>
      <c r="K29" s="38"/>
      <c r="L29" s="38"/>
      <c r="M29" s="38"/>
      <c r="N29" s="38"/>
      <c r="O29" s="38"/>
      <c r="P29" s="38"/>
      <c r="Q29" s="8"/>
    </row>
    <row r="30" spans="1:25">
      <c r="A30" s="2338"/>
      <c r="B30" s="2337"/>
      <c r="C30" s="1021">
        <v>2016</v>
      </c>
      <c r="D30" s="1024">
        <v>2815</v>
      </c>
      <c r="E30" s="1025">
        <v>35000</v>
      </c>
      <c r="F30" s="1025">
        <v>0</v>
      </c>
      <c r="G30" s="1020">
        <f t="shared" si="2"/>
        <v>37815</v>
      </c>
      <c r="H30" s="38"/>
      <c r="I30" s="38"/>
      <c r="J30" s="38"/>
      <c r="K30" s="38"/>
      <c r="L30" s="38"/>
      <c r="M30" s="38"/>
      <c r="N30" s="38"/>
      <c r="O30" s="38"/>
      <c r="P30" s="38"/>
      <c r="Q30" s="8"/>
    </row>
    <row r="31" spans="1:25">
      <c r="A31" s="2338"/>
      <c r="B31" s="2337"/>
      <c r="C31" s="1021">
        <v>2017</v>
      </c>
      <c r="D31" s="1026">
        <v>368</v>
      </c>
      <c r="E31" s="1027">
        <v>38300</v>
      </c>
      <c r="F31" s="1028">
        <v>0</v>
      </c>
      <c r="G31" s="1029">
        <f t="shared" si="2"/>
        <v>38668</v>
      </c>
      <c r="H31" s="38"/>
      <c r="I31" s="38"/>
      <c r="J31" s="38"/>
      <c r="K31" s="38"/>
      <c r="L31" s="38"/>
      <c r="M31" s="38"/>
      <c r="N31" s="38"/>
      <c r="O31" s="38"/>
      <c r="P31" s="38"/>
      <c r="Q31" s="8"/>
    </row>
    <row r="32" spans="1:25">
      <c r="A32" s="2338"/>
      <c r="B32" s="2337"/>
      <c r="C32" s="1021">
        <v>2018</v>
      </c>
      <c r="D32" s="1026"/>
      <c r="E32" s="1028"/>
      <c r="F32" s="1028"/>
      <c r="G32" s="1020">
        <f>SUM(D32:F32)</f>
        <v>0</v>
      </c>
      <c r="H32" s="38"/>
      <c r="I32" s="38"/>
      <c r="J32" s="38"/>
      <c r="K32" s="38"/>
      <c r="L32" s="38"/>
      <c r="M32" s="38"/>
      <c r="N32" s="38"/>
      <c r="O32" s="38"/>
      <c r="P32" s="38"/>
      <c r="Q32" s="8"/>
    </row>
    <row r="33" spans="1:17">
      <c r="A33" s="2338"/>
      <c r="B33" s="2337"/>
      <c r="C33" s="1030">
        <v>2019</v>
      </c>
      <c r="D33" s="1026"/>
      <c r="E33" s="1028"/>
      <c r="F33" s="1028"/>
      <c r="G33" s="1020">
        <f t="shared" si="2"/>
        <v>0</v>
      </c>
      <c r="H33" s="38"/>
      <c r="I33" s="38"/>
      <c r="J33" s="38"/>
      <c r="K33" s="38"/>
      <c r="L33" s="38"/>
      <c r="M33" s="38"/>
      <c r="N33" s="38"/>
      <c r="O33" s="38"/>
      <c r="P33" s="38"/>
      <c r="Q33" s="8"/>
    </row>
    <row r="34" spans="1:17">
      <c r="A34" s="2338"/>
      <c r="B34" s="2337"/>
      <c r="C34" s="1021">
        <v>2020</v>
      </c>
      <c r="D34" s="1026"/>
      <c r="E34" s="1028"/>
      <c r="F34" s="1028"/>
      <c r="G34" s="1020">
        <f t="shared" si="2"/>
        <v>0</v>
      </c>
      <c r="H34" s="38"/>
      <c r="I34" s="38"/>
      <c r="J34" s="38"/>
      <c r="K34" s="38"/>
      <c r="L34" s="38"/>
      <c r="M34" s="38"/>
      <c r="N34" s="38"/>
      <c r="O34" s="38"/>
      <c r="P34" s="38"/>
      <c r="Q34" s="8"/>
    </row>
    <row r="35" spans="1:17" ht="32.25" customHeight="1" thickBot="1">
      <c r="A35" s="2339"/>
      <c r="B35" s="2340"/>
      <c r="C35" s="1031" t="s">
        <v>13</v>
      </c>
      <c r="D35" s="1032">
        <f>SUM(D28:D34)</f>
        <v>3183</v>
      </c>
      <c r="E35" s="1033">
        <f>SUM(E28:E34)</f>
        <v>73300</v>
      </c>
      <c r="F35" s="1033">
        <f>SUM(F28:F34)</f>
        <v>0</v>
      </c>
      <c r="G35" s="1034">
        <f t="shared" si="2"/>
        <v>76483</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F38" s="38"/>
      <c r="G38" s="38"/>
      <c r="H38" s="38"/>
    </row>
    <row r="39" spans="1:17" ht="48" customHeight="1">
      <c r="A39" s="1035" t="s">
        <v>26</v>
      </c>
      <c r="B39" s="1036" t="s">
        <v>8</v>
      </c>
      <c r="C39" s="1037" t="s">
        <v>9</v>
      </c>
      <c r="D39" s="1038" t="s">
        <v>27</v>
      </c>
      <c r="E39" s="1039" t="s">
        <v>28</v>
      </c>
      <c r="F39" s="38"/>
      <c r="G39" s="30"/>
      <c r="H39" s="38"/>
    </row>
    <row r="40" spans="1:17">
      <c r="A40" s="2341" t="s">
        <v>430</v>
      </c>
      <c r="B40" s="2342"/>
      <c r="C40" s="1040">
        <v>2014</v>
      </c>
      <c r="D40" s="33"/>
      <c r="E40" s="58"/>
      <c r="F40" s="38"/>
      <c r="G40" s="38"/>
      <c r="H40" s="38"/>
    </row>
    <row r="41" spans="1:17">
      <c r="A41" s="2343"/>
      <c r="B41" s="2342"/>
      <c r="C41" s="1041">
        <v>2015</v>
      </c>
      <c r="D41" s="1042"/>
      <c r="E41" s="1043"/>
      <c r="F41" s="38"/>
      <c r="G41" s="38"/>
      <c r="H41" s="38"/>
    </row>
    <row r="42" spans="1:17">
      <c r="A42" s="2343"/>
      <c r="B42" s="2342"/>
      <c r="C42" s="1041">
        <v>2016</v>
      </c>
      <c r="D42" s="1044">
        <v>14310</v>
      </c>
      <c r="E42" s="1044">
        <v>6685</v>
      </c>
      <c r="F42" s="38"/>
      <c r="G42" s="38"/>
      <c r="H42" s="38"/>
    </row>
    <row r="43" spans="1:17">
      <c r="A43" s="2343"/>
      <c r="B43" s="2342"/>
      <c r="C43" s="1041">
        <v>2017</v>
      </c>
      <c r="D43" s="1045">
        <v>21180</v>
      </c>
      <c r="E43" s="1046">
        <v>5421</v>
      </c>
      <c r="F43" s="8"/>
      <c r="G43" s="38"/>
      <c r="H43" s="38"/>
    </row>
    <row r="44" spans="1:17">
      <c r="A44" s="2343"/>
      <c r="B44" s="2342"/>
      <c r="C44" s="1041">
        <v>2018</v>
      </c>
      <c r="D44" s="1047"/>
      <c r="E44" s="1048"/>
      <c r="F44" s="8"/>
      <c r="G44" s="38"/>
      <c r="H44" s="38"/>
    </row>
    <row r="45" spans="1:17">
      <c r="A45" s="2343"/>
      <c r="B45" s="2342"/>
      <c r="C45" s="1041">
        <v>2019</v>
      </c>
      <c r="D45" s="1047"/>
      <c r="E45" s="1048"/>
      <c r="F45" s="8"/>
      <c r="G45" s="38"/>
      <c r="H45" s="38"/>
    </row>
    <row r="46" spans="1:17">
      <c r="A46" s="2343"/>
      <c r="B46" s="2342"/>
      <c r="C46" s="1041">
        <v>2020</v>
      </c>
      <c r="D46" s="1047"/>
      <c r="E46" s="1048"/>
      <c r="F46" s="8"/>
      <c r="G46" s="38"/>
      <c r="H46" s="38"/>
    </row>
    <row r="47" spans="1:17" ht="15.75" thickBot="1">
      <c r="A47" s="2344"/>
      <c r="B47" s="2345"/>
      <c r="C47" s="1049" t="s">
        <v>13</v>
      </c>
      <c r="D47" s="1050">
        <f>SUM(D40:D46)</f>
        <v>35490</v>
      </c>
      <c r="E47" s="1051">
        <f>SUM(E40:E46)</f>
        <v>12106</v>
      </c>
      <c r="F47" s="8"/>
      <c r="G47" s="38"/>
      <c r="H47" s="38"/>
    </row>
    <row r="48" spans="1:17" s="38" customFormat="1" ht="15.75" thickBot="1">
      <c r="A48" s="78"/>
      <c r="B48" s="79"/>
      <c r="C48" s="80"/>
    </row>
    <row r="49" spans="1:15" ht="74.25" customHeight="1">
      <c r="A49" s="1052" t="s">
        <v>30</v>
      </c>
      <c r="B49" s="1036" t="s">
        <v>8</v>
      </c>
      <c r="C49" s="1037" t="s">
        <v>9</v>
      </c>
      <c r="D49" s="1038" t="s">
        <v>31</v>
      </c>
      <c r="E49" s="1053" t="s">
        <v>32</v>
      </c>
      <c r="F49" s="1053" t="s">
        <v>33</v>
      </c>
      <c r="G49" s="1053" t="s">
        <v>34</v>
      </c>
      <c r="H49" s="1053" t="s">
        <v>35</v>
      </c>
      <c r="I49" s="1053" t="s">
        <v>36</v>
      </c>
      <c r="J49" s="1053" t="s">
        <v>37</v>
      </c>
      <c r="K49" s="1054" t="s">
        <v>38</v>
      </c>
    </row>
    <row r="50" spans="1:15" ht="17.25" customHeight="1">
      <c r="A50" s="2346" t="s">
        <v>431</v>
      </c>
      <c r="B50" s="2347"/>
      <c r="C50" s="1055" t="s">
        <v>40</v>
      </c>
      <c r="D50" s="33"/>
      <c r="E50" s="34"/>
      <c r="F50" s="34"/>
      <c r="G50" s="34"/>
      <c r="H50" s="34"/>
      <c r="I50" s="34"/>
      <c r="J50" s="34"/>
      <c r="K50" s="37"/>
    </row>
    <row r="51" spans="1:15" ht="15" customHeight="1">
      <c r="A51" s="2040"/>
      <c r="B51" s="2348"/>
      <c r="C51" s="1041">
        <v>2014</v>
      </c>
      <c r="D51" s="40"/>
      <c r="E51" s="41"/>
      <c r="F51" s="41"/>
      <c r="G51" s="41"/>
      <c r="H51" s="41"/>
      <c r="I51" s="41"/>
      <c r="J51" s="41"/>
      <c r="K51" s="86"/>
    </row>
    <row r="52" spans="1:15">
      <c r="A52" s="2040"/>
      <c r="B52" s="2348"/>
      <c r="C52" s="1041">
        <v>2015</v>
      </c>
      <c r="D52" s="1042"/>
      <c r="E52" s="992"/>
      <c r="F52" s="992"/>
      <c r="G52" s="1056"/>
      <c r="H52" s="992"/>
      <c r="I52" s="992"/>
      <c r="J52" s="1056"/>
      <c r="K52" s="1057"/>
    </row>
    <row r="53" spans="1:15">
      <c r="A53" s="2040"/>
      <c r="B53" s="2348"/>
      <c r="C53" s="1041">
        <v>2016</v>
      </c>
      <c r="D53" s="1058">
        <v>2</v>
      </c>
      <c r="E53" s="1001">
        <v>0</v>
      </c>
      <c r="F53" s="1001">
        <v>0</v>
      </c>
      <c r="G53" s="1059">
        <v>360</v>
      </c>
      <c r="H53" s="1001">
        <v>0</v>
      </c>
      <c r="I53" s="1001">
        <v>0</v>
      </c>
      <c r="J53" s="1059">
        <v>119</v>
      </c>
      <c r="K53" s="1060">
        <v>230</v>
      </c>
    </row>
    <row r="54" spans="1:15">
      <c r="A54" s="2040"/>
      <c r="B54" s="2348"/>
      <c r="C54" s="1041">
        <v>2017</v>
      </c>
      <c r="D54" s="1061">
        <v>2</v>
      </c>
      <c r="E54" s="993">
        <v>0</v>
      </c>
      <c r="F54" s="993">
        <v>0</v>
      </c>
      <c r="G54" s="993">
        <v>420</v>
      </c>
      <c r="H54" s="993">
        <v>0</v>
      </c>
      <c r="I54" s="993">
        <v>0</v>
      </c>
      <c r="J54" s="1062">
        <v>58</v>
      </c>
      <c r="K54" s="1063">
        <v>128</v>
      </c>
    </row>
    <row r="55" spans="1:15">
      <c r="A55" s="2040"/>
      <c r="B55" s="2348"/>
      <c r="C55" s="1041">
        <v>2018</v>
      </c>
      <c r="D55" s="40"/>
      <c r="E55" s="41"/>
      <c r="F55" s="41"/>
      <c r="G55" s="41"/>
      <c r="H55" s="41"/>
      <c r="I55" s="41"/>
      <c r="J55" s="41"/>
      <c r="K55" s="86"/>
    </row>
    <row r="56" spans="1:15">
      <c r="A56" s="2040"/>
      <c r="B56" s="2348"/>
      <c r="C56" s="1041">
        <v>2019</v>
      </c>
      <c r="D56" s="40"/>
      <c r="E56" s="41"/>
      <c r="F56" s="41"/>
      <c r="G56" s="41"/>
      <c r="H56" s="41"/>
      <c r="I56" s="41"/>
      <c r="J56" s="41"/>
      <c r="K56" s="86"/>
    </row>
    <row r="57" spans="1:15">
      <c r="A57" s="2040"/>
      <c r="B57" s="2348"/>
      <c r="C57" s="1041">
        <v>2020</v>
      </c>
      <c r="D57" s="40"/>
      <c r="E57" s="41"/>
      <c r="F57" s="41"/>
      <c r="G57" s="41"/>
      <c r="H57" s="41"/>
      <c r="I57" s="41"/>
      <c r="J57" s="41"/>
      <c r="K57" s="87"/>
    </row>
    <row r="58" spans="1:15" ht="20.25" customHeight="1" thickBot="1">
      <c r="A58" s="2349"/>
      <c r="B58" s="2350"/>
      <c r="C58" s="1049" t="s">
        <v>13</v>
      </c>
      <c r="D58" s="1064">
        <f>SUM(D51:D57)</f>
        <v>4</v>
      </c>
      <c r="E58" s="1065">
        <f>SUM(E51:E57)</f>
        <v>0</v>
      </c>
      <c r="F58" s="1065">
        <f>SUM(F51:F57)</f>
        <v>0</v>
      </c>
      <c r="G58" s="1065">
        <f>SUM(G51:G57)</f>
        <v>780</v>
      </c>
      <c r="H58" s="1065">
        <f>SUM(H51:H57)</f>
        <v>0</v>
      </c>
      <c r="I58" s="1065">
        <f t="shared" ref="I58" si="3">SUM(I51:I57)</f>
        <v>0</v>
      </c>
      <c r="J58" s="1065">
        <f>SUM(J51:J57)</f>
        <v>177</v>
      </c>
      <c r="K58" s="1066">
        <f>SUM(K50:K56)</f>
        <v>358</v>
      </c>
    </row>
    <row r="59" spans="1:15" ht="15.75" thickBot="1"/>
    <row r="60" spans="1:15" ht="34.5" customHeight="1">
      <c r="A60" s="2351" t="s">
        <v>41</v>
      </c>
      <c r="B60" s="1036"/>
      <c r="C60" s="2353" t="s">
        <v>9</v>
      </c>
      <c r="D60" s="2334" t="s">
        <v>42</v>
      </c>
      <c r="E60" s="1067" t="s">
        <v>6</v>
      </c>
      <c r="F60" s="1068"/>
      <c r="G60" s="1068"/>
      <c r="H60" s="1068"/>
      <c r="I60" s="1068"/>
      <c r="J60" s="1068"/>
      <c r="K60" s="1068"/>
      <c r="L60" s="1069"/>
    </row>
    <row r="61" spans="1:15" ht="128.25" customHeight="1">
      <c r="A61" s="2352"/>
      <c r="B61" s="1070" t="s">
        <v>8</v>
      </c>
      <c r="C61" s="2354"/>
      <c r="D61" s="2335"/>
      <c r="E61" s="1071" t="s">
        <v>14</v>
      </c>
      <c r="F61" s="1072" t="s">
        <v>15</v>
      </c>
      <c r="G61" s="1072" t="s">
        <v>16</v>
      </c>
      <c r="H61" s="1073" t="s">
        <v>17</v>
      </c>
      <c r="I61" s="1073" t="s">
        <v>18</v>
      </c>
      <c r="J61" s="1074" t="s">
        <v>19</v>
      </c>
      <c r="K61" s="1072" t="s">
        <v>20</v>
      </c>
      <c r="L61" s="1075" t="s">
        <v>21</v>
      </c>
      <c r="M61" s="98"/>
      <c r="N61" s="8"/>
      <c r="O61" s="8"/>
    </row>
    <row r="62" spans="1:15">
      <c r="A62" s="2355" t="s">
        <v>432</v>
      </c>
      <c r="B62" s="2228"/>
      <c r="C62" s="1076">
        <v>2014</v>
      </c>
      <c r="D62" s="100"/>
      <c r="E62" s="101"/>
      <c r="F62" s="102"/>
      <c r="G62" s="102"/>
      <c r="H62" s="102"/>
      <c r="I62" s="102"/>
      <c r="J62" s="102"/>
      <c r="K62" s="102"/>
      <c r="L62" s="37"/>
      <c r="M62" s="8"/>
      <c r="N62" s="8"/>
      <c r="O62" s="8"/>
    </row>
    <row r="63" spans="1:15">
      <c r="A63" s="2355"/>
      <c r="B63" s="2228"/>
      <c r="C63" s="1077">
        <v>2015</v>
      </c>
      <c r="D63" s="1078"/>
      <c r="E63" s="1079"/>
      <c r="F63" s="1028"/>
      <c r="G63" s="1028"/>
      <c r="H63" s="1028"/>
      <c r="I63" s="1028"/>
      <c r="J63" s="1028"/>
      <c r="K63" s="1028"/>
      <c r="L63" s="1080"/>
      <c r="M63" s="8"/>
      <c r="N63" s="8"/>
      <c r="O63" s="8"/>
    </row>
    <row r="64" spans="1:15">
      <c r="A64" s="2355"/>
      <c r="B64" s="2228"/>
      <c r="C64" s="1077">
        <v>2016</v>
      </c>
      <c r="D64" s="1078">
        <v>2</v>
      </c>
      <c r="E64" s="1079">
        <v>0</v>
      </c>
      <c r="F64" s="1028">
        <v>0</v>
      </c>
      <c r="G64" s="1028">
        <v>0</v>
      </c>
      <c r="H64" s="1028">
        <v>0</v>
      </c>
      <c r="I64" s="1028">
        <v>1</v>
      </c>
      <c r="J64" s="1028">
        <v>0</v>
      </c>
      <c r="K64" s="1028">
        <v>0</v>
      </c>
      <c r="L64" s="1080">
        <v>1</v>
      </c>
      <c r="M64" s="8"/>
      <c r="N64" s="8"/>
      <c r="O64" s="8"/>
    </row>
    <row r="65" spans="1:20">
      <c r="A65" s="2355"/>
      <c r="B65" s="2228"/>
      <c r="C65" s="1077">
        <v>2017</v>
      </c>
      <c r="D65" s="1078">
        <v>0</v>
      </c>
      <c r="E65" s="1079">
        <v>0</v>
      </c>
      <c r="F65" s="1028">
        <v>0</v>
      </c>
      <c r="G65" s="1028">
        <v>0</v>
      </c>
      <c r="H65" s="1028">
        <v>0</v>
      </c>
      <c r="I65" s="1028">
        <v>0</v>
      </c>
      <c r="J65" s="1028">
        <v>0</v>
      </c>
      <c r="K65" s="1028">
        <v>0</v>
      </c>
      <c r="L65" s="1080">
        <v>0</v>
      </c>
      <c r="M65" s="8"/>
      <c r="N65" s="8"/>
      <c r="O65" s="8"/>
    </row>
    <row r="66" spans="1:20">
      <c r="A66" s="2355"/>
      <c r="B66" s="2228"/>
      <c r="C66" s="1077">
        <v>2018</v>
      </c>
      <c r="D66" s="104"/>
      <c r="E66" s="105"/>
      <c r="F66" s="41"/>
      <c r="G66" s="41"/>
      <c r="H66" s="41"/>
      <c r="I66" s="41"/>
      <c r="J66" s="41"/>
      <c r="K66" s="41"/>
      <c r="L66" s="86"/>
      <c r="M66" s="8"/>
      <c r="N66" s="8"/>
      <c r="O66" s="8"/>
    </row>
    <row r="67" spans="1:20" ht="17.25" customHeight="1">
      <c r="A67" s="2355"/>
      <c r="B67" s="2228"/>
      <c r="C67" s="1077">
        <v>2019</v>
      </c>
      <c r="D67" s="104"/>
      <c r="E67" s="105"/>
      <c r="F67" s="41"/>
      <c r="G67" s="41"/>
      <c r="H67" s="41"/>
      <c r="I67" s="41"/>
      <c r="J67" s="41"/>
      <c r="K67" s="41"/>
      <c r="L67" s="86"/>
      <c r="M67" s="8"/>
      <c r="N67" s="8"/>
      <c r="O67" s="8"/>
    </row>
    <row r="68" spans="1:20" ht="16.5" customHeight="1">
      <c r="A68" s="2355"/>
      <c r="B68" s="2228"/>
      <c r="C68" s="1077">
        <v>2020</v>
      </c>
      <c r="D68" s="104"/>
      <c r="E68" s="105"/>
      <c r="F68" s="41"/>
      <c r="G68" s="41"/>
      <c r="H68" s="41"/>
      <c r="I68" s="41"/>
      <c r="J68" s="41"/>
      <c r="K68" s="41"/>
      <c r="L68" s="86"/>
      <c r="M68" s="77"/>
      <c r="N68" s="77"/>
      <c r="O68" s="77"/>
    </row>
    <row r="69" spans="1:20" ht="18" customHeight="1" thickBot="1">
      <c r="A69" s="2356"/>
      <c r="B69" s="2229"/>
      <c r="C69" s="1081" t="s">
        <v>13</v>
      </c>
      <c r="D69" s="1082">
        <f>SUM(D62:D68)</f>
        <v>2</v>
      </c>
      <c r="E69" s="1083">
        <f>SUM(E62:E68)</f>
        <v>0</v>
      </c>
      <c r="F69" s="1082">
        <f t="shared" ref="F69:I69" si="4">SUM(F62:F68)</f>
        <v>0</v>
      </c>
      <c r="G69" s="1082">
        <f t="shared" si="4"/>
        <v>0</v>
      </c>
      <c r="H69" s="1082">
        <f t="shared" si="4"/>
        <v>0</v>
      </c>
      <c r="I69" s="1082">
        <f t="shared" si="4"/>
        <v>1</v>
      </c>
      <c r="J69" s="1082"/>
      <c r="K69" s="1082">
        <f>SUM(K62:K68)</f>
        <v>0</v>
      </c>
      <c r="L69" s="1084">
        <f>SUM(L62:L68)</f>
        <v>1</v>
      </c>
      <c r="M69" s="77"/>
      <c r="N69" s="77"/>
      <c r="O69" s="77"/>
    </row>
    <row r="70" spans="1:20" ht="20.25" customHeight="1" thickBot="1">
      <c r="A70" s="111"/>
      <c r="B70" s="112"/>
      <c r="C70" s="113"/>
      <c r="D70" s="114"/>
      <c r="E70" s="114"/>
      <c r="F70" s="114"/>
      <c r="G70" s="114"/>
      <c r="H70" s="113"/>
      <c r="I70" s="115"/>
      <c r="J70" s="115"/>
      <c r="K70" s="115"/>
      <c r="L70" s="115"/>
      <c r="M70" s="115"/>
      <c r="N70" s="115"/>
      <c r="O70" s="115"/>
      <c r="P70" s="827"/>
      <c r="Q70" s="827"/>
      <c r="R70" s="827"/>
      <c r="S70" s="827"/>
      <c r="T70" s="827"/>
    </row>
    <row r="71" spans="1:20" ht="132" customHeight="1">
      <c r="A71" s="1085" t="s">
        <v>44</v>
      </c>
      <c r="B71" s="1036" t="s">
        <v>8</v>
      </c>
      <c r="C71" s="1037" t="s">
        <v>9</v>
      </c>
      <c r="D71" s="1053" t="s">
        <v>45</v>
      </c>
      <c r="E71" s="1053" t="s">
        <v>46</v>
      </c>
      <c r="F71" s="1086" t="s">
        <v>47</v>
      </c>
      <c r="G71" s="1087" t="s">
        <v>48</v>
      </c>
      <c r="H71" s="1088" t="s">
        <v>14</v>
      </c>
      <c r="I71" s="1089" t="s">
        <v>15</v>
      </c>
      <c r="J71" s="1090" t="s">
        <v>16</v>
      </c>
      <c r="K71" s="1089" t="s">
        <v>17</v>
      </c>
      <c r="L71" s="1089" t="s">
        <v>18</v>
      </c>
      <c r="M71" s="1091" t="s">
        <v>19</v>
      </c>
      <c r="N71" s="1090" t="s">
        <v>20</v>
      </c>
      <c r="O71" s="123" t="s">
        <v>21</v>
      </c>
    </row>
    <row r="72" spans="1:20" ht="15" customHeight="1">
      <c r="A72" s="2357" t="s">
        <v>433</v>
      </c>
      <c r="B72" s="2358"/>
      <c r="C72" s="73">
        <v>2014</v>
      </c>
      <c r="D72" s="124"/>
      <c r="E72" s="124"/>
      <c r="F72" s="124"/>
      <c r="G72" s="1092">
        <f>SUM(D72:F72)</f>
        <v>0</v>
      </c>
      <c r="H72" s="33"/>
      <c r="I72" s="126"/>
      <c r="J72" s="102"/>
      <c r="K72" s="102"/>
      <c r="L72" s="102"/>
      <c r="M72" s="102"/>
      <c r="N72" s="102"/>
      <c r="O72" s="127"/>
    </row>
    <row r="73" spans="1:20">
      <c r="A73" s="2357"/>
      <c r="B73" s="2358"/>
      <c r="C73" s="74">
        <v>2015</v>
      </c>
      <c r="D73" s="537"/>
      <c r="E73" s="537"/>
      <c r="F73" s="537"/>
      <c r="G73" s="1092">
        <f t="shared" ref="G73:G78" si="5">SUM(D73:F73)</f>
        <v>0</v>
      </c>
      <c r="H73" s="1093"/>
      <c r="I73" s="1093"/>
      <c r="J73" s="1059"/>
      <c r="K73" s="1059"/>
      <c r="L73" s="1059"/>
      <c r="M73" s="1059"/>
      <c r="N73" s="1059"/>
      <c r="O73" s="1060"/>
    </row>
    <row r="74" spans="1:20">
      <c r="A74" s="2357"/>
      <c r="B74" s="2358"/>
      <c r="C74" s="74">
        <v>2016</v>
      </c>
      <c r="D74" s="537">
        <v>8</v>
      </c>
      <c r="E74" s="537">
        <v>3</v>
      </c>
      <c r="F74" s="537">
        <v>17</v>
      </c>
      <c r="G74" s="1092">
        <f t="shared" si="5"/>
        <v>28</v>
      </c>
      <c r="H74" s="1093">
        <v>0</v>
      </c>
      <c r="I74" s="1093">
        <v>9</v>
      </c>
      <c r="J74" s="1059">
        <v>3</v>
      </c>
      <c r="K74" s="1059">
        <v>3</v>
      </c>
      <c r="L74" s="1059">
        <v>8</v>
      </c>
      <c r="M74" s="1059">
        <v>0</v>
      </c>
      <c r="N74" s="1059">
        <v>0</v>
      </c>
      <c r="O74" s="1060">
        <v>5</v>
      </c>
    </row>
    <row r="75" spans="1:20">
      <c r="A75" s="2357"/>
      <c r="B75" s="2358"/>
      <c r="C75" s="74">
        <v>2017</v>
      </c>
      <c r="D75" s="1094">
        <v>0</v>
      </c>
      <c r="E75" s="1094">
        <v>1</v>
      </c>
      <c r="F75" s="1094">
        <v>0</v>
      </c>
      <c r="G75" s="1092">
        <f t="shared" si="5"/>
        <v>1</v>
      </c>
      <c r="H75" s="1095">
        <v>0</v>
      </c>
      <c r="I75" s="1095">
        <v>0</v>
      </c>
      <c r="J75" s="1095">
        <v>0</v>
      </c>
      <c r="K75" s="1095">
        <v>0</v>
      </c>
      <c r="L75" s="1095">
        <v>0</v>
      </c>
      <c r="M75" s="1095">
        <v>0</v>
      </c>
      <c r="N75" s="1095">
        <v>0</v>
      </c>
      <c r="O75" s="1060">
        <v>1</v>
      </c>
    </row>
    <row r="76" spans="1:20">
      <c r="A76" s="2357"/>
      <c r="B76" s="2358"/>
      <c r="C76" s="74">
        <v>2018</v>
      </c>
      <c r="D76" s="128"/>
      <c r="E76" s="128"/>
      <c r="F76" s="128"/>
      <c r="G76" s="1092">
        <f t="shared" si="5"/>
        <v>0</v>
      </c>
      <c r="H76" s="40"/>
      <c r="I76" s="40"/>
      <c r="J76" s="41"/>
      <c r="K76" s="41"/>
      <c r="L76" s="41"/>
      <c r="M76" s="41"/>
      <c r="N76" s="41"/>
      <c r="O76" s="86"/>
    </row>
    <row r="77" spans="1:20" ht="15.75" customHeight="1">
      <c r="A77" s="2357"/>
      <c r="B77" s="2358"/>
      <c r="C77" s="74">
        <v>2019</v>
      </c>
      <c r="D77" s="128"/>
      <c r="E77" s="128"/>
      <c r="F77" s="128"/>
      <c r="G77" s="1092">
        <f t="shared" si="5"/>
        <v>0</v>
      </c>
      <c r="H77" s="40"/>
      <c r="I77" s="40"/>
      <c r="J77" s="41"/>
      <c r="K77" s="41"/>
      <c r="L77" s="41"/>
      <c r="M77" s="41"/>
      <c r="N77" s="41"/>
      <c r="O77" s="86"/>
    </row>
    <row r="78" spans="1:20" ht="21" customHeight="1">
      <c r="A78" s="2357"/>
      <c r="B78" s="2358"/>
      <c r="C78" s="74">
        <v>2020</v>
      </c>
      <c r="D78" s="128"/>
      <c r="E78" s="128"/>
      <c r="F78" s="128"/>
      <c r="G78" s="1092">
        <f t="shared" si="5"/>
        <v>0</v>
      </c>
      <c r="H78" s="40"/>
      <c r="I78" s="40"/>
      <c r="J78" s="41"/>
      <c r="K78" s="41"/>
      <c r="L78" s="41"/>
      <c r="M78" s="41"/>
      <c r="N78" s="41"/>
      <c r="O78" s="86"/>
    </row>
    <row r="79" spans="1:20" ht="33.75" customHeight="1" thickBot="1">
      <c r="A79" s="2359"/>
      <c r="B79" s="2360"/>
      <c r="C79" s="129" t="s">
        <v>13</v>
      </c>
      <c r="D79" s="1096">
        <f>SUM(D72:D78)</f>
        <v>8</v>
      </c>
      <c r="E79" s="1096">
        <f>SUM(E72:E78)</f>
        <v>4</v>
      </c>
      <c r="F79" s="1096">
        <f>SUM(F72:F78)</f>
        <v>17</v>
      </c>
      <c r="G79" s="1097">
        <f>SUM(G72:G78)</f>
        <v>29</v>
      </c>
      <c r="H79" s="1098">
        <v>0</v>
      </c>
      <c r="I79" s="1099">
        <f t="shared" ref="I79:O79" si="6">SUM(I72:I78)</f>
        <v>9</v>
      </c>
      <c r="J79" s="1096">
        <f t="shared" si="6"/>
        <v>3</v>
      </c>
      <c r="K79" s="1096">
        <f t="shared" si="6"/>
        <v>3</v>
      </c>
      <c r="L79" s="1096">
        <f t="shared" si="6"/>
        <v>8</v>
      </c>
      <c r="M79" s="1096">
        <f t="shared" si="6"/>
        <v>0</v>
      </c>
      <c r="N79" s="1096">
        <f t="shared" si="6"/>
        <v>0</v>
      </c>
      <c r="O79" s="1100">
        <f t="shared" si="6"/>
        <v>6</v>
      </c>
    </row>
    <row r="81" spans="1:17" ht="36.75" customHeight="1">
      <c r="A81" s="133"/>
      <c r="B81" s="112"/>
      <c r="C81" s="134"/>
      <c r="D81" s="135"/>
      <c r="E81" s="77"/>
      <c r="F81" s="77"/>
      <c r="G81" s="77"/>
      <c r="H81" s="77"/>
      <c r="I81" s="77"/>
      <c r="J81" s="77"/>
      <c r="K81" s="77"/>
    </row>
    <row r="82" spans="1:17" ht="28.5" customHeight="1">
      <c r="A82" s="136" t="s">
        <v>49</v>
      </c>
      <c r="B82" s="136"/>
      <c r="C82" s="137"/>
      <c r="D82" s="137"/>
      <c r="E82" s="137"/>
      <c r="F82" s="137"/>
      <c r="G82" s="137"/>
      <c r="H82" s="137"/>
      <c r="I82" s="137"/>
      <c r="J82" s="137"/>
      <c r="K82" s="137"/>
      <c r="L82" s="138"/>
    </row>
    <row r="83" spans="1:17" ht="14.25" customHeight="1" thickBot="1">
      <c r="A83" s="139"/>
      <c r="B83" s="139"/>
    </row>
    <row r="84" spans="1:17" s="827" customFormat="1" ht="128.25" customHeight="1">
      <c r="A84" s="1101" t="s">
        <v>50</v>
      </c>
      <c r="B84" s="1102" t="s">
        <v>51</v>
      </c>
      <c r="C84" s="1103" t="s">
        <v>9</v>
      </c>
      <c r="D84" s="1104" t="s">
        <v>52</v>
      </c>
      <c r="E84" s="1105" t="s">
        <v>53</v>
      </c>
      <c r="F84" s="1106" t="s">
        <v>54</v>
      </c>
      <c r="G84" s="1106" t="s">
        <v>55</v>
      </c>
      <c r="H84" s="1106" t="s">
        <v>56</v>
      </c>
      <c r="I84" s="1106" t="s">
        <v>57</v>
      </c>
      <c r="J84" s="1106" t="s">
        <v>58</v>
      </c>
      <c r="K84" s="1107" t="s">
        <v>59</v>
      </c>
    </row>
    <row r="85" spans="1:17" ht="15" customHeight="1">
      <c r="A85" s="2040" t="s">
        <v>434</v>
      </c>
      <c r="B85" s="2039"/>
      <c r="C85" s="1040">
        <v>2014</v>
      </c>
      <c r="D85" s="147"/>
      <c r="E85" s="148"/>
      <c r="F85" s="34"/>
      <c r="G85" s="34"/>
      <c r="H85" s="34"/>
      <c r="I85" s="34"/>
      <c r="J85" s="34"/>
      <c r="K85" s="37"/>
    </row>
    <row r="86" spans="1:17">
      <c r="A86" s="2040"/>
      <c r="B86" s="2039"/>
      <c r="C86" s="1041">
        <v>2015</v>
      </c>
      <c r="D86" s="149"/>
      <c r="E86" s="105"/>
      <c r="F86" s="41"/>
      <c r="G86" s="41"/>
      <c r="H86" s="41"/>
      <c r="I86" s="41"/>
      <c r="J86" s="41"/>
      <c r="K86" s="86"/>
    </row>
    <row r="87" spans="1:17">
      <c r="A87" s="2040"/>
      <c r="B87" s="2039"/>
      <c r="C87" s="1041">
        <v>2016</v>
      </c>
      <c r="D87" s="149"/>
      <c r="E87" s="105"/>
      <c r="F87" s="41"/>
      <c r="G87" s="41"/>
      <c r="H87" s="41"/>
      <c r="I87" s="41"/>
      <c r="J87" s="41"/>
      <c r="K87" s="86"/>
    </row>
    <row r="88" spans="1:17">
      <c r="A88" s="2040"/>
      <c r="B88" s="2039"/>
      <c r="C88" s="1041">
        <v>2017</v>
      </c>
      <c r="D88" s="149"/>
      <c r="E88" s="105"/>
      <c r="F88" s="41"/>
      <c r="G88" s="41"/>
      <c r="H88" s="41"/>
      <c r="I88" s="41"/>
      <c r="J88" s="41"/>
      <c r="K88" s="86"/>
    </row>
    <row r="89" spans="1:17">
      <c r="A89" s="2040"/>
      <c r="B89" s="2039"/>
      <c r="C89" s="1041">
        <v>2018</v>
      </c>
      <c r="D89" s="149"/>
      <c r="E89" s="105"/>
      <c r="F89" s="41"/>
      <c r="G89" s="41"/>
      <c r="H89" s="41"/>
      <c r="I89" s="41"/>
      <c r="J89" s="41"/>
      <c r="K89" s="86"/>
    </row>
    <row r="90" spans="1:17">
      <c r="A90" s="2040"/>
      <c r="B90" s="2039"/>
      <c r="C90" s="1041">
        <v>2019</v>
      </c>
      <c r="D90" s="149"/>
      <c r="E90" s="105"/>
      <c r="F90" s="41"/>
      <c r="G90" s="41"/>
      <c r="H90" s="41"/>
      <c r="I90" s="41"/>
      <c r="J90" s="41"/>
      <c r="K90" s="86"/>
    </row>
    <row r="91" spans="1:17">
      <c r="A91" s="2040"/>
      <c r="B91" s="2039"/>
      <c r="C91" s="1041">
        <v>2020</v>
      </c>
      <c r="D91" s="149"/>
      <c r="E91" s="105"/>
      <c r="F91" s="41"/>
      <c r="G91" s="41"/>
      <c r="H91" s="41"/>
      <c r="I91" s="41"/>
      <c r="J91" s="41"/>
      <c r="K91" s="86"/>
    </row>
    <row r="92" spans="1:17" ht="18" customHeight="1" thickBot="1">
      <c r="A92" s="2041"/>
      <c r="B92" s="2042"/>
      <c r="C92" s="1108" t="s">
        <v>13</v>
      </c>
      <c r="D92" s="1109">
        <f t="shared" ref="D92:I92" si="7">SUM(D85:D91)</f>
        <v>0</v>
      </c>
      <c r="E92" s="1110">
        <f t="shared" si="7"/>
        <v>0</v>
      </c>
      <c r="F92" s="1096">
        <f t="shared" si="7"/>
        <v>0</v>
      </c>
      <c r="G92" s="1096">
        <f t="shared" si="7"/>
        <v>0</v>
      </c>
      <c r="H92" s="1096">
        <f t="shared" si="7"/>
        <v>0</v>
      </c>
      <c r="I92" s="1096">
        <f t="shared" si="7"/>
        <v>0</v>
      </c>
      <c r="J92" s="1096">
        <f>SUM(J85:J91)</f>
        <v>0</v>
      </c>
      <c r="K92" s="1100">
        <f>SUM(K85:K91)</f>
        <v>0</v>
      </c>
    </row>
    <row r="93" spans="1:17" ht="20.25" customHeight="1"/>
    <row r="94" spans="1:17" ht="21">
      <c r="A94" s="151" t="s">
        <v>60</v>
      </c>
      <c r="B94" s="151"/>
      <c r="C94" s="152"/>
      <c r="D94" s="152"/>
      <c r="E94" s="152"/>
      <c r="F94" s="152"/>
      <c r="G94" s="152"/>
      <c r="H94" s="152"/>
      <c r="I94" s="152"/>
      <c r="J94" s="152"/>
      <c r="K94" s="152"/>
      <c r="L94" s="152"/>
      <c r="M94" s="152"/>
    </row>
    <row r="95" spans="1:17" s="66" customFormat="1" ht="15" customHeight="1" thickBot="1">
      <c r="A95" s="154"/>
      <c r="B95" s="154"/>
      <c r="N95"/>
      <c r="O95"/>
      <c r="P95"/>
      <c r="Q95"/>
    </row>
    <row r="96" spans="1:17" ht="29.25" customHeight="1">
      <c r="A96" s="2361" t="s">
        <v>61</v>
      </c>
      <c r="B96" s="2363" t="s">
        <v>62</v>
      </c>
      <c r="C96" s="2368" t="s">
        <v>9</v>
      </c>
      <c r="D96" s="2050" t="s">
        <v>63</v>
      </c>
      <c r="E96" s="2051"/>
      <c r="F96" s="155" t="s">
        <v>64</v>
      </c>
      <c r="G96" s="156"/>
      <c r="H96" s="156"/>
      <c r="I96" s="156"/>
      <c r="J96" s="156"/>
      <c r="K96" s="156"/>
      <c r="L96" s="156"/>
      <c r="M96" s="157"/>
    </row>
    <row r="97" spans="1:14" ht="100.5" customHeight="1">
      <c r="A97" s="2362"/>
      <c r="B97" s="2364"/>
      <c r="C97" s="2369"/>
      <c r="D97" s="159" t="s">
        <v>65</v>
      </c>
      <c r="E97" s="160" t="s">
        <v>66</v>
      </c>
      <c r="F97" s="161" t="s">
        <v>14</v>
      </c>
      <c r="G97" s="162" t="s">
        <v>67</v>
      </c>
      <c r="H97" s="163" t="s">
        <v>55</v>
      </c>
      <c r="I97" s="164" t="s">
        <v>56</v>
      </c>
      <c r="J97" s="164" t="s">
        <v>57</v>
      </c>
      <c r="K97" s="165" t="s">
        <v>68</v>
      </c>
      <c r="L97" s="163" t="s">
        <v>58</v>
      </c>
      <c r="M97" s="166" t="s">
        <v>59</v>
      </c>
    </row>
    <row r="98" spans="1:14" ht="17.25" customHeight="1">
      <c r="A98" s="2355" t="s">
        <v>435</v>
      </c>
      <c r="B98" s="2365"/>
      <c r="C98" s="1076">
        <v>2014</v>
      </c>
      <c r="D98" s="33"/>
      <c r="E98" s="34"/>
      <c r="F98" s="167"/>
      <c r="G98" s="168"/>
      <c r="H98" s="168"/>
      <c r="I98" s="168"/>
      <c r="J98" s="168"/>
      <c r="K98" s="168"/>
      <c r="L98" s="168"/>
      <c r="M98" s="169"/>
    </row>
    <row r="99" spans="1:14" ht="16.5" customHeight="1">
      <c r="A99" s="2355"/>
      <c r="B99" s="2365"/>
      <c r="C99" s="1077">
        <v>2015</v>
      </c>
      <c r="D99" s="991"/>
      <c r="E99" s="992"/>
      <c r="F99" s="1111"/>
      <c r="G99" s="1023"/>
      <c r="H99" s="1023"/>
      <c r="I99" s="1023"/>
      <c r="J99" s="1023"/>
      <c r="K99" s="1023"/>
      <c r="L99" s="1023"/>
      <c r="M99" s="1112"/>
    </row>
    <row r="100" spans="1:14" ht="16.5" customHeight="1">
      <c r="A100" s="2355"/>
      <c r="B100" s="2365"/>
      <c r="C100" s="1077">
        <v>2016</v>
      </c>
      <c r="D100" s="1000">
        <v>1</v>
      </c>
      <c r="E100" s="1001">
        <v>7</v>
      </c>
      <c r="F100" s="1113">
        <v>0</v>
      </c>
      <c r="G100" s="1114">
        <v>0</v>
      </c>
      <c r="H100" s="1114">
        <v>0</v>
      </c>
      <c r="I100" s="1114">
        <v>0</v>
      </c>
      <c r="J100" s="1114">
        <v>0</v>
      </c>
      <c r="K100" s="1114">
        <v>0</v>
      </c>
      <c r="L100" s="1114">
        <v>0</v>
      </c>
      <c r="M100" s="1115">
        <v>1</v>
      </c>
    </row>
    <row r="101" spans="1:14" ht="16.5" customHeight="1">
      <c r="A101" s="2355"/>
      <c r="B101" s="2365"/>
      <c r="C101" s="1077">
        <v>2017</v>
      </c>
      <c r="D101" s="1095">
        <v>1</v>
      </c>
      <c r="E101" s="1001">
        <v>5</v>
      </c>
      <c r="F101" s="1116">
        <v>0</v>
      </c>
      <c r="G101" s="1117">
        <v>0</v>
      </c>
      <c r="H101" s="1117">
        <v>0</v>
      </c>
      <c r="I101" s="1117">
        <v>0</v>
      </c>
      <c r="J101" s="1117">
        <v>0</v>
      </c>
      <c r="K101" s="1117">
        <v>0</v>
      </c>
      <c r="L101" s="1117">
        <v>0</v>
      </c>
      <c r="M101" s="1118">
        <v>1</v>
      </c>
    </row>
    <row r="102" spans="1:14" ht="15.75" customHeight="1">
      <c r="A102" s="2355"/>
      <c r="B102" s="2365"/>
      <c r="C102" s="1077">
        <v>2018</v>
      </c>
      <c r="D102" s="40"/>
      <c r="E102" s="41"/>
      <c r="F102" s="170"/>
      <c r="G102" s="171"/>
      <c r="H102" s="171"/>
      <c r="I102" s="171"/>
      <c r="J102" s="171"/>
      <c r="K102" s="171"/>
      <c r="L102" s="171"/>
      <c r="M102" s="172"/>
    </row>
    <row r="103" spans="1:14" ht="14.25" customHeight="1">
      <c r="A103" s="2355"/>
      <c r="B103" s="2365"/>
      <c r="C103" s="1077">
        <v>2019</v>
      </c>
      <c r="D103" s="40"/>
      <c r="E103" s="41"/>
      <c r="F103" s="170"/>
      <c r="G103" s="171"/>
      <c r="H103" s="171"/>
      <c r="I103" s="171"/>
      <c r="J103" s="171"/>
      <c r="K103" s="171"/>
      <c r="L103" s="171"/>
      <c r="M103" s="172"/>
    </row>
    <row r="104" spans="1:14" ht="14.25" customHeight="1">
      <c r="A104" s="2355"/>
      <c r="B104" s="2365"/>
      <c r="C104" s="1077">
        <v>2020</v>
      </c>
      <c r="D104" s="40"/>
      <c r="E104" s="41"/>
      <c r="F104" s="170"/>
      <c r="G104" s="171"/>
      <c r="H104" s="171"/>
      <c r="I104" s="171"/>
      <c r="J104" s="171"/>
      <c r="K104" s="171"/>
      <c r="L104" s="171"/>
      <c r="M104" s="172"/>
    </row>
    <row r="105" spans="1:14" ht="19.5" customHeight="1" thickBot="1">
      <c r="A105" s="2366"/>
      <c r="B105" s="2367"/>
      <c r="C105" s="1081" t="s">
        <v>13</v>
      </c>
      <c r="D105" s="1099">
        <f>SUM(D98:D104)</f>
        <v>2</v>
      </c>
      <c r="E105" s="1096">
        <f t="shared" ref="E105:K105" si="8">SUM(E98:E104)</f>
        <v>12</v>
      </c>
      <c r="F105" s="1110">
        <f t="shared" si="8"/>
        <v>0</v>
      </c>
      <c r="G105" s="1096">
        <f t="shared" si="8"/>
        <v>0</v>
      </c>
      <c r="H105" s="1096">
        <f t="shared" si="8"/>
        <v>0</v>
      </c>
      <c r="I105" s="1096">
        <f>SUM(I98:I104)</f>
        <v>0</v>
      </c>
      <c r="J105" s="1096">
        <f t="shared" si="8"/>
        <v>0</v>
      </c>
      <c r="K105" s="1096">
        <f t="shared" si="8"/>
        <v>0</v>
      </c>
      <c r="L105" s="1096">
        <f>SUM(L98:L104)</f>
        <v>0</v>
      </c>
      <c r="M105" s="1100">
        <f>SUM(M98:M104)</f>
        <v>2</v>
      </c>
    </row>
    <row r="106" spans="1:14" ht="15.75" thickBot="1">
      <c r="A106" s="176"/>
      <c r="B106" s="176"/>
      <c r="C106" s="177"/>
      <c r="D106" s="8"/>
      <c r="E106" s="8"/>
      <c r="H106" s="178"/>
      <c r="I106" s="178"/>
      <c r="J106" s="178"/>
      <c r="K106" s="178"/>
      <c r="L106" s="178"/>
      <c r="M106" s="178"/>
    </row>
    <row r="107" spans="1:14" ht="15" customHeight="1">
      <c r="A107" s="2361" t="s">
        <v>69</v>
      </c>
      <c r="B107" s="2363" t="s">
        <v>62</v>
      </c>
      <c r="C107" s="2368" t="s">
        <v>9</v>
      </c>
      <c r="D107" s="2060" t="s">
        <v>70</v>
      </c>
      <c r="E107" s="155" t="s">
        <v>71</v>
      </c>
      <c r="F107" s="156"/>
      <c r="G107" s="156"/>
      <c r="H107" s="156"/>
      <c r="I107" s="156"/>
      <c r="J107" s="156"/>
      <c r="K107" s="156"/>
      <c r="L107" s="157"/>
      <c r="M107" s="178"/>
    </row>
    <row r="108" spans="1:14" ht="112.5" customHeight="1">
      <c r="A108" s="2362"/>
      <c r="B108" s="2364"/>
      <c r="C108" s="2369"/>
      <c r="D108" s="2061"/>
      <c r="E108" s="161" t="s">
        <v>14</v>
      </c>
      <c r="F108" s="162" t="s">
        <v>67</v>
      </c>
      <c r="G108" s="163" t="s">
        <v>55</v>
      </c>
      <c r="H108" s="164" t="s">
        <v>56</v>
      </c>
      <c r="I108" s="164" t="s">
        <v>57</v>
      </c>
      <c r="J108" s="165" t="s">
        <v>68</v>
      </c>
      <c r="K108" s="163" t="s">
        <v>58</v>
      </c>
      <c r="L108" s="166" t="s">
        <v>59</v>
      </c>
      <c r="M108" s="178"/>
      <c r="N108" s="178"/>
    </row>
    <row r="109" spans="1:14">
      <c r="A109" s="2047" t="s">
        <v>434</v>
      </c>
      <c r="B109" s="2370"/>
      <c r="C109" s="1119">
        <v>2014</v>
      </c>
      <c r="D109" s="34"/>
      <c r="E109" s="167"/>
      <c r="F109" s="168"/>
      <c r="G109" s="168"/>
      <c r="H109" s="168"/>
      <c r="I109" s="168"/>
      <c r="J109" s="168"/>
      <c r="K109" s="168"/>
      <c r="L109" s="169"/>
      <c r="M109" s="178"/>
      <c r="N109" s="178"/>
    </row>
    <row r="110" spans="1:14">
      <c r="A110" s="2048"/>
      <c r="B110" s="2370"/>
      <c r="C110" s="1120">
        <v>2015</v>
      </c>
      <c r="D110" s="41"/>
      <c r="E110" s="170"/>
      <c r="F110" s="171"/>
      <c r="G110" s="171"/>
      <c r="H110" s="171"/>
      <c r="I110" s="171"/>
      <c r="J110" s="171"/>
      <c r="K110" s="171"/>
      <c r="L110" s="172"/>
      <c r="M110" s="178"/>
      <c r="N110" s="178"/>
    </row>
    <row r="111" spans="1:14">
      <c r="A111" s="2048"/>
      <c r="B111" s="2370"/>
      <c r="C111" s="1120">
        <v>2016</v>
      </c>
      <c r="D111" s="41"/>
      <c r="E111" s="170"/>
      <c r="F111" s="171"/>
      <c r="G111" s="171"/>
      <c r="H111" s="171"/>
      <c r="I111" s="171"/>
      <c r="J111" s="171"/>
      <c r="K111" s="171"/>
      <c r="L111" s="172"/>
      <c r="M111" s="178"/>
      <c r="N111" s="178"/>
    </row>
    <row r="112" spans="1:14">
      <c r="A112" s="2048"/>
      <c r="B112" s="2370"/>
      <c r="C112" s="1120">
        <v>2017</v>
      </c>
      <c r="D112" s="41"/>
      <c r="E112" s="170"/>
      <c r="F112" s="171"/>
      <c r="G112" s="171"/>
      <c r="H112" s="171"/>
      <c r="I112" s="171"/>
      <c r="J112" s="171"/>
      <c r="K112" s="171"/>
      <c r="L112" s="172"/>
      <c r="M112" s="178"/>
      <c r="N112" s="178"/>
    </row>
    <row r="113" spans="1:14">
      <c r="A113" s="2048"/>
      <c r="B113" s="2370"/>
      <c r="C113" s="1120">
        <v>2018</v>
      </c>
      <c r="D113" s="41"/>
      <c r="E113" s="170"/>
      <c r="F113" s="171"/>
      <c r="G113" s="171"/>
      <c r="H113" s="171"/>
      <c r="I113" s="171"/>
      <c r="J113" s="171"/>
      <c r="K113" s="171"/>
      <c r="L113" s="172"/>
      <c r="M113" s="178"/>
      <c r="N113" s="178"/>
    </row>
    <row r="114" spans="1:14">
      <c r="A114" s="2048"/>
      <c r="B114" s="2370"/>
      <c r="C114" s="1120">
        <v>2019</v>
      </c>
      <c r="D114" s="41"/>
      <c r="E114" s="170"/>
      <c r="F114" s="171"/>
      <c r="G114" s="171"/>
      <c r="H114" s="171"/>
      <c r="I114" s="171"/>
      <c r="J114" s="171"/>
      <c r="K114" s="171"/>
      <c r="L114" s="172"/>
      <c r="M114" s="178"/>
      <c r="N114" s="178"/>
    </row>
    <row r="115" spans="1:14">
      <c r="A115" s="2048"/>
      <c r="B115" s="2370"/>
      <c r="C115" s="1120">
        <v>2020</v>
      </c>
      <c r="D115" s="41"/>
      <c r="E115" s="170"/>
      <c r="F115" s="171"/>
      <c r="G115" s="171"/>
      <c r="H115" s="171"/>
      <c r="I115" s="171"/>
      <c r="J115" s="171"/>
      <c r="K115" s="171"/>
      <c r="L115" s="172"/>
      <c r="M115" s="178"/>
      <c r="N115" s="178"/>
    </row>
    <row r="116" spans="1:14" ht="25.5" customHeight="1" thickBot="1">
      <c r="A116" s="2067"/>
      <c r="B116" s="2371"/>
      <c r="C116" s="1121" t="s">
        <v>13</v>
      </c>
      <c r="D116" s="1096">
        <f t="shared" ref="D116:I116" si="9">SUM(D109:D115)</f>
        <v>0</v>
      </c>
      <c r="E116" s="1110">
        <f t="shared" si="9"/>
        <v>0</v>
      </c>
      <c r="F116" s="1096">
        <f t="shared" si="9"/>
        <v>0</v>
      </c>
      <c r="G116" s="1096">
        <f t="shared" si="9"/>
        <v>0</v>
      </c>
      <c r="H116" s="1096">
        <f t="shared" si="9"/>
        <v>0</v>
      </c>
      <c r="I116" s="1096">
        <f t="shared" si="9"/>
        <v>0</v>
      </c>
      <c r="J116" s="1096"/>
      <c r="K116" s="1096">
        <f>SUM(K109:K115)</f>
        <v>0</v>
      </c>
      <c r="L116" s="1100">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361" t="s">
        <v>72</v>
      </c>
      <c r="B118" s="2363" t="s">
        <v>62</v>
      </c>
      <c r="C118" s="2058" t="s">
        <v>9</v>
      </c>
      <c r="D118" s="2060" t="s">
        <v>73</v>
      </c>
      <c r="E118" s="155" t="s">
        <v>71</v>
      </c>
      <c r="F118" s="156"/>
      <c r="G118" s="156"/>
      <c r="H118" s="156"/>
      <c r="I118" s="156"/>
      <c r="J118" s="156"/>
      <c r="K118" s="156"/>
      <c r="L118" s="157"/>
      <c r="M118" s="178"/>
      <c r="N118" s="178"/>
    </row>
    <row r="119" spans="1:14" ht="120.75" customHeight="1">
      <c r="A119" s="2362"/>
      <c r="B119" s="2364"/>
      <c r="C119" s="2059"/>
      <c r="D119" s="2061"/>
      <c r="E119" s="161" t="s">
        <v>14</v>
      </c>
      <c r="F119" s="162" t="s">
        <v>67</v>
      </c>
      <c r="G119" s="163" t="s">
        <v>55</v>
      </c>
      <c r="H119" s="164" t="s">
        <v>56</v>
      </c>
      <c r="I119" s="164" t="s">
        <v>57</v>
      </c>
      <c r="J119" s="165" t="s">
        <v>68</v>
      </c>
      <c r="K119" s="163" t="s">
        <v>58</v>
      </c>
      <c r="L119" s="166" t="s">
        <v>59</v>
      </c>
      <c r="M119" s="178"/>
      <c r="N119" s="178"/>
    </row>
    <row r="120" spans="1:14">
      <c r="A120" s="2047" t="s">
        <v>434</v>
      </c>
      <c r="B120" s="2039"/>
      <c r="C120" s="99">
        <v>2014</v>
      </c>
      <c r="D120" s="34"/>
      <c r="E120" s="167"/>
      <c r="F120" s="168"/>
      <c r="G120" s="168"/>
      <c r="H120" s="168"/>
      <c r="I120" s="168"/>
      <c r="J120" s="168"/>
      <c r="K120" s="168"/>
      <c r="L120" s="169"/>
      <c r="M120" s="178"/>
      <c r="N120" s="178"/>
    </row>
    <row r="121" spans="1:14">
      <c r="A121" s="2048"/>
      <c r="B121" s="2039"/>
      <c r="C121" s="103">
        <v>2015</v>
      </c>
      <c r="D121" s="1028"/>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82">
        <f t="shared" ref="D127:I127" si="10">SUM(D120:D126)</f>
        <v>0</v>
      </c>
      <c r="E127" s="1083">
        <f t="shared" si="10"/>
        <v>0</v>
      </c>
      <c r="F127" s="1082">
        <f t="shared" si="10"/>
        <v>0</v>
      </c>
      <c r="G127" s="1082">
        <f t="shared" si="10"/>
        <v>0</v>
      </c>
      <c r="H127" s="1082">
        <f t="shared" si="10"/>
        <v>0</v>
      </c>
      <c r="I127" s="1082">
        <f t="shared" si="10"/>
        <v>0</v>
      </c>
      <c r="J127" s="1082"/>
      <c r="K127" s="1082">
        <f>SUM(K120:K126)</f>
        <v>0</v>
      </c>
      <c r="L127" s="1084">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361" t="s">
        <v>75</v>
      </c>
      <c r="B129" s="2363" t="s">
        <v>62</v>
      </c>
      <c r="C129" s="823" t="s">
        <v>9</v>
      </c>
      <c r="D129" s="182" t="s">
        <v>76</v>
      </c>
      <c r="E129" s="183"/>
      <c r="F129" s="183"/>
      <c r="G129" s="184"/>
      <c r="H129" s="178"/>
      <c r="I129" s="178"/>
      <c r="J129" s="178"/>
      <c r="K129" s="178"/>
      <c r="L129" s="178"/>
      <c r="M129" s="178"/>
      <c r="N129" s="178"/>
    </row>
    <row r="130" spans="1:16" ht="77.25" customHeight="1">
      <c r="A130" s="2362"/>
      <c r="B130" s="2364"/>
      <c r="C130" s="824"/>
      <c r="D130" s="159" t="s">
        <v>77</v>
      </c>
      <c r="E130" s="186" t="s">
        <v>78</v>
      </c>
      <c r="F130" s="160" t="s">
        <v>79</v>
      </c>
      <c r="G130" s="187" t="s">
        <v>13</v>
      </c>
      <c r="H130" s="178"/>
      <c r="I130" s="178"/>
      <c r="J130" s="178"/>
      <c r="K130" s="178"/>
      <c r="L130" s="178"/>
      <c r="M130" s="178"/>
      <c r="N130" s="178"/>
    </row>
    <row r="131" spans="1:16" ht="15" customHeight="1">
      <c r="A131" s="2025"/>
      <c r="B131" s="2068"/>
      <c r="C131" s="188">
        <v>2015</v>
      </c>
      <c r="D131" s="1122"/>
      <c r="E131" s="1059"/>
      <c r="F131" s="1059"/>
      <c r="G131" s="1123">
        <f t="shared" ref="G131:G136" si="11">SUM(D131:F131)</f>
        <v>0</v>
      </c>
      <c r="H131" s="178"/>
      <c r="I131" s="178"/>
      <c r="J131" s="178"/>
      <c r="K131" s="178"/>
      <c r="L131" s="178"/>
      <c r="M131" s="178"/>
      <c r="N131" s="178"/>
    </row>
    <row r="132" spans="1:16">
      <c r="A132" s="2069"/>
      <c r="B132" s="2068"/>
      <c r="C132" s="103">
        <v>2016</v>
      </c>
      <c r="D132" s="1124">
        <v>329</v>
      </c>
      <c r="E132" s="1001"/>
      <c r="F132" s="1001"/>
      <c r="G132" s="1123">
        <f t="shared" si="11"/>
        <v>329</v>
      </c>
      <c r="H132" s="178"/>
      <c r="I132" s="178"/>
      <c r="J132" s="178"/>
      <c r="K132" s="178"/>
      <c r="L132" s="178"/>
      <c r="M132" s="178"/>
      <c r="N132" s="178"/>
    </row>
    <row r="133" spans="1:16">
      <c r="A133" s="2069"/>
      <c r="B133" s="2068"/>
      <c r="C133" s="103">
        <v>2017</v>
      </c>
      <c r="D133" s="1125">
        <v>217</v>
      </c>
      <c r="E133" s="1001"/>
      <c r="F133" s="1001"/>
      <c r="G133" s="1123">
        <f>SUM(D133:F133)</f>
        <v>217</v>
      </c>
      <c r="H133" s="178"/>
      <c r="I133" s="178"/>
      <c r="J133" s="178"/>
      <c r="K133" s="178"/>
      <c r="L133" s="178"/>
      <c r="M133" s="178"/>
      <c r="N133" s="178"/>
    </row>
    <row r="134" spans="1:16">
      <c r="A134" s="2069"/>
      <c r="B134" s="2068"/>
      <c r="C134" s="103">
        <v>2018</v>
      </c>
      <c r="D134" s="1000"/>
      <c r="E134" s="1001"/>
      <c r="F134" s="1001"/>
      <c r="G134" s="1123">
        <f t="shared" si="11"/>
        <v>0</v>
      </c>
      <c r="H134" s="178"/>
      <c r="I134" s="178"/>
      <c r="J134" s="178"/>
      <c r="K134" s="178"/>
      <c r="L134" s="178"/>
      <c r="M134" s="178"/>
      <c r="N134" s="178"/>
    </row>
    <row r="135" spans="1:16">
      <c r="A135" s="2069"/>
      <c r="B135" s="2068"/>
      <c r="C135" s="103">
        <v>2019</v>
      </c>
      <c r="D135" s="1000"/>
      <c r="E135" s="1001"/>
      <c r="F135" s="1001"/>
      <c r="G135" s="1123">
        <f t="shared" si="11"/>
        <v>0</v>
      </c>
      <c r="H135" s="178"/>
      <c r="I135" s="178"/>
      <c r="J135" s="178"/>
      <c r="K135" s="178"/>
      <c r="L135" s="178"/>
      <c r="M135" s="178"/>
      <c r="N135" s="178"/>
    </row>
    <row r="136" spans="1:16">
      <c r="A136" s="2069"/>
      <c r="B136" s="2068"/>
      <c r="C136" s="103">
        <v>2020</v>
      </c>
      <c r="D136" s="1000"/>
      <c r="E136" s="1001"/>
      <c r="F136" s="1001"/>
      <c r="G136" s="1123">
        <f t="shared" si="11"/>
        <v>0</v>
      </c>
      <c r="H136" s="178"/>
      <c r="I136" s="178"/>
      <c r="J136" s="178"/>
      <c r="K136" s="178"/>
      <c r="L136" s="178"/>
      <c r="M136" s="178"/>
      <c r="N136" s="178"/>
    </row>
    <row r="137" spans="1:16" ht="17.25" customHeight="1" thickBot="1">
      <c r="A137" s="2070"/>
      <c r="B137" s="2071"/>
      <c r="C137" s="106" t="s">
        <v>13</v>
      </c>
      <c r="D137" s="1099">
        <f>SUM(D131:D136)</f>
        <v>546</v>
      </c>
      <c r="E137" s="1099">
        <f t="shared" ref="E137:F137" si="12">SUM(E131:E136)</f>
        <v>0</v>
      </c>
      <c r="F137" s="1099">
        <f t="shared" si="12"/>
        <v>0</v>
      </c>
      <c r="G137" s="1126">
        <f>SUM(G131:G136)</f>
        <v>546</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827"/>
      <c r="L153" s="827"/>
      <c r="M153" s="827"/>
      <c r="N153" s="827"/>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827"/>
      <c r="L154" s="827"/>
      <c r="M154" s="827"/>
      <c r="N154" s="827"/>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827" customFormat="1" ht="22.5" customHeight="1" thickBot="1">
      <c r="A176" s="2378" t="s">
        <v>115</v>
      </c>
      <c r="B176" s="2380" t="s">
        <v>116</v>
      </c>
      <c r="C176" s="2382" t="s">
        <v>9</v>
      </c>
      <c r="D176" s="267" t="s">
        <v>117</v>
      </c>
      <c r="E176" s="268"/>
      <c r="F176" s="268"/>
      <c r="G176" s="269"/>
      <c r="H176" s="270"/>
      <c r="I176" s="2103" t="s">
        <v>118</v>
      </c>
      <c r="J176" s="2104"/>
      <c r="K176" s="2104"/>
      <c r="L176" s="2104"/>
      <c r="M176" s="2104"/>
      <c r="N176" s="2104"/>
      <c r="O176" s="2105"/>
    </row>
    <row r="177" spans="1:15" s="827" customFormat="1" ht="129.75" customHeight="1">
      <c r="A177" s="2379"/>
      <c r="B177" s="2381"/>
      <c r="C177" s="2383"/>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384" t="s">
        <v>436</v>
      </c>
      <c r="B178" s="2385"/>
      <c r="C178" s="1076">
        <v>2014</v>
      </c>
      <c r="D178" s="33"/>
      <c r="E178" s="34"/>
      <c r="F178" s="34"/>
      <c r="G178" s="1127">
        <f>SUM(D178:F178)</f>
        <v>0</v>
      </c>
      <c r="H178" s="148"/>
      <c r="I178" s="148"/>
      <c r="J178" s="34"/>
      <c r="K178" s="34"/>
      <c r="L178" s="34"/>
      <c r="M178" s="34"/>
      <c r="N178" s="34"/>
      <c r="O178" s="37"/>
    </row>
    <row r="179" spans="1:15">
      <c r="A179" s="2384"/>
      <c r="B179" s="2385"/>
      <c r="C179" s="1077">
        <v>2015</v>
      </c>
      <c r="D179" s="1128"/>
      <c r="E179" s="1023"/>
      <c r="F179" s="1023"/>
      <c r="G179" s="1129">
        <f t="shared" ref="G179:G184" si="19">SUM(D179:F179)</f>
        <v>0</v>
      </c>
      <c r="H179" s="1130"/>
      <c r="I179" s="1111"/>
      <c r="J179" s="1023"/>
      <c r="K179" s="1023"/>
      <c r="L179" s="1023"/>
      <c r="M179" s="1023"/>
      <c r="N179" s="1023"/>
      <c r="O179" s="1112"/>
    </row>
    <row r="180" spans="1:15">
      <c r="A180" s="2384"/>
      <c r="B180" s="2385"/>
      <c r="C180" s="1077">
        <v>2016</v>
      </c>
      <c r="D180" s="1000">
        <v>26</v>
      </c>
      <c r="E180" s="1001">
        <v>2</v>
      </c>
      <c r="F180" s="1001">
        <v>0</v>
      </c>
      <c r="G180" s="1129">
        <f t="shared" si="19"/>
        <v>28</v>
      </c>
      <c r="H180" s="1131">
        <v>35</v>
      </c>
      <c r="I180" s="1079">
        <v>0</v>
      </c>
      <c r="J180" s="1028">
        <v>3</v>
      </c>
      <c r="K180" s="1028">
        <v>0</v>
      </c>
      <c r="L180" s="1028">
        <v>0</v>
      </c>
      <c r="M180" s="1028">
        <v>11</v>
      </c>
      <c r="N180" s="1028">
        <v>0</v>
      </c>
      <c r="O180" s="1080">
        <v>14</v>
      </c>
    </row>
    <row r="181" spans="1:15">
      <c r="A181" s="2384"/>
      <c r="B181" s="2385"/>
      <c r="C181" s="1077">
        <v>2017</v>
      </c>
      <c r="D181" s="1095">
        <v>3</v>
      </c>
      <c r="E181" s="1028">
        <v>0</v>
      </c>
      <c r="F181" s="1028">
        <v>4</v>
      </c>
      <c r="G181" s="1127">
        <f t="shared" si="19"/>
        <v>7</v>
      </c>
      <c r="H181" s="1132">
        <v>11</v>
      </c>
      <c r="I181" s="1079">
        <v>0</v>
      </c>
      <c r="J181" s="1028">
        <v>2</v>
      </c>
      <c r="K181" s="1028">
        <v>0</v>
      </c>
      <c r="L181" s="1028">
        <v>0</v>
      </c>
      <c r="M181" s="1028">
        <v>3</v>
      </c>
      <c r="N181" s="1028">
        <v>0</v>
      </c>
      <c r="O181" s="1080">
        <v>2</v>
      </c>
    </row>
    <row r="182" spans="1:15">
      <c r="A182" s="2384"/>
      <c r="B182" s="2385"/>
      <c r="C182" s="1077">
        <v>2018</v>
      </c>
      <c r="D182" s="40"/>
      <c r="E182" s="41"/>
      <c r="F182" s="41"/>
      <c r="G182" s="1127">
        <f t="shared" si="19"/>
        <v>0</v>
      </c>
      <c r="H182" s="279"/>
      <c r="I182" s="1079"/>
      <c r="J182" s="1028"/>
      <c r="K182" s="1028"/>
      <c r="L182" s="1028"/>
      <c r="M182" s="1028"/>
      <c r="N182" s="1028"/>
      <c r="O182" s="1080"/>
    </row>
    <row r="183" spans="1:15">
      <c r="A183" s="2384"/>
      <c r="B183" s="2385"/>
      <c r="C183" s="1077">
        <v>2019</v>
      </c>
      <c r="D183" s="40"/>
      <c r="E183" s="41"/>
      <c r="F183" s="41"/>
      <c r="G183" s="1127">
        <f t="shared" si="19"/>
        <v>0</v>
      </c>
      <c r="H183" s="279"/>
      <c r="I183" s="1079"/>
      <c r="J183" s="1028"/>
      <c r="K183" s="1028"/>
      <c r="L183" s="1028"/>
      <c r="M183" s="1028"/>
      <c r="N183" s="1028"/>
      <c r="O183" s="1080"/>
    </row>
    <row r="184" spans="1:15">
      <c r="A184" s="2384"/>
      <c r="B184" s="2385"/>
      <c r="C184" s="1077">
        <v>2020</v>
      </c>
      <c r="D184" s="40"/>
      <c r="E184" s="41"/>
      <c r="F184" s="41"/>
      <c r="G184" s="1127">
        <f t="shared" si="19"/>
        <v>0</v>
      </c>
      <c r="H184" s="279"/>
      <c r="I184" s="1079"/>
      <c r="J184" s="1028"/>
      <c r="K184" s="1028"/>
      <c r="L184" s="1028"/>
      <c r="M184" s="1028"/>
      <c r="N184" s="1028"/>
      <c r="O184" s="1080"/>
    </row>
    <row r="185" spans="1:15" ht="119.25" customHeight="1" thickBot="1">
      <c r="A185" s="2386"/>
      <c r="B185" s="2387"/>
      <c r="C185" s="1121" t="s">
        <v>13</v>
      </c>
      <c r="D185" s="1099">
        <f>SUM(D178:D184)</f>
        <v>29</v>
      </c>
      <c r="E185" s="1096">
        <f>SUM(E178:E184)</f>
        <v>2</v>
      </c>
      <c r="F185" s="1096">
        <f>SUM(F178:F184)</f>
        <v>4</v>
      </c>
      <c r="G185" s="1133">
        <f t="shared" ref="G185:O185" si="20">SUM(G178:G184)</f>
        <v>35</v>
      </c>
      <c r="H185" s="1134">
        <f t="shared" si="20"/>
        <v>46</v>
      </c>
      <c r="I185" s="1110">
        <f t="shared" si="20"/>
        <v>0</v>
      </c>
      <c r="J185" s="1096">
        <f t="shared" si="20"/>
        <v>5</v>
      </c>
      <c r="K185" s="1096">
        <f t="shared" si="20"/>
        <v>0</v>
      </c>
      <c r="L185" s="1096">
        <f t="shared" si="20"/>
        <v>0</v>
      </c>
      <c r="M185" s="1096">
        <f t="shared" si="20"/>
        <v>14</v>
      </c>
      <c r="N185" s="1096">
        <f t="shared" si="20"/>
        <v>0</v>
      </c>
      <c r="O185" s="1100">
        <f t="shared" si="20"/>
        <v>16</v>
      </c>
    </row>
    <row r="186" spans="1:15" ht="33" customHeight="1" thickBot="1"/>
    <row r="187" spans="1:15" ht="19.5" customHeight="1">
      <c r="A187" s="2391" t="s">
        <v>125</v>
      </c>
      <c r="B187" s="2380" t="s">
        <v>116</v>
      </c>
      <c r="C187" s="2393" t="s">
        <v>9</v>
      </c>
      <c r="D187" s="2085" t="s">
        <v>126</v>
      </c>
      <c r="E187" s="2086"/>
      <c r="F187" s="2086"/>
      <c r="G187" s="2087"/>
      <c r="H187" s="2088" t="s">
        <v>127</v>
      </c>
      <c r="I187" s="2089"/>
      <c r="J187" s="2089"/>
      <c r="K187" s="2089"/>
      <c r="L187" s="2090"/>
    </row>
    <row r="188" spans="1:15" ht="90">
      <c r="A188" s="2392"/>
      <c r="B188" s="2381"/>
      <c r="C188" s="2394"/>
      <c r="D188" s="281" t="s">
        <v>128</v>
      </c>
      <c r="E188" s="281" t="s">
        <v>129</v>
      </c>
      <c r="F188" s="281" t="s">
        <v>130</v>
      </c>
      <c r="G188" s="282" t="s">
        <v>13</v>
      </c>
      <c r="H188" s="283" t="s">
        <v>131</v>
      </c>
      <c r="I188" s="281" t="s">
        <v>132</v>
      </c>
      <c r="J188" s="281" t="s">
        <v>133</v>
      </c>
      <c r="K188" s="281" t="s">
        <v>134</v>
      </c>
      <c r="L188" s="284" t="s">
        <v>135</v>
      </c>
    </row>
    <row r="189" spans="1:15" ht="15" customHeight="1">
      <c r="A189" s="2372" t="s">
        <v>437</v>
      </c>
      <c r="B189" s="2373"/>
      <c r="C189" s="1135">
        <v>2014</v>
      </c>
      <c r="D189" s="126"/>
      <c r="E189" s="102"/>
      <c r="F189" s="102"/>
      <c r="G189" s="1136">
        <f>SUM(D189:F189)</f>
        <v>0</v>
      </c>
      <c r="H189" s="101"/>
      <c r="I189" s="102"/>
      <c r="J189" s="102"/>
      <c r="K189" s="102"/>
      <c r="L189" s="127"/>
    </row>
    <row r="190" spans="1:15">
      <c r="A190" s="2374"/>
      <c r="B190" s="2375"/>
      <c r="C190" s="1041">
        <v>2015</v>
      </c>
      <c r="D190" s="1128"/>
      <c r="E190" s="1023"/>
      <c r="F190" s="1023"/>
      <c r="G190" s="1136">
        <f t="shared" ref="G190:G195" si="21">SUM(D190:F190)</f>
        <v>0</v>
      </c>
      <c r="H190" s="1111"/>
      <c r="I190" s="1023"/>
      <c r="J190" s="1023"/>
      <c r="K190" s="1023"/>
      <c r="L190" s="1112"/>
    </row>
    <row r="191" spans="1:15">
      <c r="A191" s="2374"/>
      <c r="B191" s="2375"/>
      <c r="C191" s="1041">
        <v>2016</v>
      </c>
      <c r="D191" s="1047">
        <v>1012</v>
      </c>
      <c r="E191" s="1027">
        <v>49</v>
      </c>
      <c r="F191" s="1027">
        <v>70</v>
      </c>
      <c r="G191" s="1136">
        <f t="shared" si="21"/>
        <v>1131</v>
      </c>
      <c r="H191" s="1079">
        <v>2</v>
      </c>
      <c r="I191" s="1028">
        <v>260</v>
      </c>
      <c r="J191" s="1028">
        <v>0</v>
      </c>
      <c r="K191" s="1028">
        <v>22</v>
      </c>
      <c r="L191" s="1080">
        <v>847</v>
      </c>
    </row>
    <row r="192" spans="1:15">
      <c r="A192" s="2374"/>
      <c r="B192" s="2375"/>
      <c r="C192" s="1041">
        <v>2017</v>
      </c>
      <c r="D192" s="1095">
        <v>164</v>
      </c>
      <c r="E192" s="1028">
        <v>0</v>
      </c>
      <c r="F192" s="1028">
        <v>251</v>
      </c>
      <c r="G192" s="1136">
        <f t="shared" si="21"/>
        <v>415</v>
      </c>
      <c r="H192" s="1079">
        <v>0</v>
      </c>
      <c r="I192" s="1001">
        <v>79</v>
      </c>
      <c r="J192" s="1001">
        <v>0</v>
      </c>
      <c r="K192" s="1001">
        <v>0</v>
      </c>
      <c r="L192" s="1137">
        <v>336</v>
      </c>
    </row>
    <row r="193" spans="1:14">
      <c r="A193" s="2374"/>
      <c r="B193" s="2375"/>
      <c r="C193" s="1041">
        <v>2018</v>
      </c>
      <c r="D193" s="40"/>
      <c r="E193" s="41"/>
      <c r="F193" s="41"/>
      <c r="G193" s="1136">
        <f t="shared" si="21"/>
        <v>0</v>
      </c>
      <c r="H193" s="105"/>
      <c r="I193" s="41"/>
      <c r="J193" s="41"/>
      <c r="K193" s="41"/>
      <c r="L193" s="86"/>
    </row>
    <row r="194" spans="1:14">
      <c r="A194" s="2374"/>
      <c r="B194" s="2375"/>
      <c r="C194" s="1041">
        <v>2019</v>
      </c>
      <c r="D194" s="40"/>
      <c r="E194" s="41"/>
      <c r="F194" s="41"/>
      <c r="G194" s="1136">
        <f t="shared" si="21"/>
        <v>0</v>
      </c>
      <c r="H194" s="105"/>
      <c r="I194" s="41"/>
      <c r="J194" s="41"/>
      <c r="K194" s="41"/>
      <c r="L194" s="86"/>
    </row>
    <row r="195" spans="1:14">
      <c r="A195" s="2374"/>
      <c r="B195" s="2375"/>
      <c r="C195" s="1041">
        <v>2020</v>
      </c>
      <c r="D195" s="40"/>
      <c r="E195" s="41"/>
      <c r="F195" s="41"/>
      <c r="G195" s="1136">
        <f t="shared" si="21"/>
        <v>0</v>
      </c>
      <c r="H195" s="105"/>
      <c r="I195" s="41"/>
      <c r="J195" s="41"/>
      <c r="K195" s="41"/>
      <c r="L195" s="86"/>
    </row>
    <row r="196" spans="1:14" ht="144.75" customHeight="1" thickBot="1">
      <c r="A196" s="2376"/>
      <c r="B196" s="2377"/>
      <c r="C196" s="1138" t="s">
        <v>13</v>
      </c>
      <c r="D196" s="1099">
        <f t="shared" ref="D196:L196" si="22">SUM(D189:D195)</f>
        <v>1176</v>
      </c>
      <c r="E196" s="1096">
        <f t="shared" si="22"/>
        <v>49</v>
      </c>
      <c r="F196" s="1096">
        <f t="shared" si="22"/>
        <v>321</v>
      </c>
      <c r="G196" s="1139">
        <f t="shared" si="22"/>
        <v>1546</v>
      </c>
      <c r="H196" s="1110">
        <f t="shared" si="22"/>
        <v>2</v>
      </c>
      <c r="I196" s="1096">
        <f t="shared" si="22"/>
        <v>339</v>
      </c>
      <c r="J196" s="1096">
        <f t="shared" si="22"/>
        <v>0</v>
      </c>
      <c r="K196" s="1096">
        <f t="shared" si="22"/>
        <v>22</v>
      </c>
      <c r="L196" s="1100">
        <f t="shared" si="22"/>
        <v>1183</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827" customFormat="1" ht="101.25" customHeight="1">
      <c r="A201" s="1140" t="s">
        <v>138</v>
      </c>
      <c r="B201" s="1141" t="s">
        <v>116</v>
      </c>
      <c r="C201" s="1142"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1143">
        <v>2014</v>
      </c>
      <c r="D202" s="33"/>
      <c r="E202" s="34"/>
      <c r="F202" s="34"/>
      <c r="G202" s="32"/>
      <c r="H202" s="303"/>
      <c r="I202" s="304"/>
      <c r="J202" s="305"/>
      <c r="K202" s="34"/>
      <c r="L202" s="37"/>
    </row>
    <row r="203" spans="1:14">
      <c r="A203" s="2069"/>
      <c r="B203" s="2068"/>
      <c r="C203" s="1144">
        <v>2015</v>
      </c>
      <c r="D203" s="991"/>
      <c r="E203" s="992"/>
      <c r="F203" s="992"/>
      <c r="G203" s="1145"/>
      <c r="H203" s="1146"/>
      <c r="I203" s="1147"/>
      <c r="J203" s="1148"/>
      <c r="K203" s="992"/>
      <c r="L203" s="1149"/>
    </row>
    <row r="204" spans="1:14">
      <c r="A204" s="2069"/>
      <c r="B204" s="2068"/>
      <c r="C204" s="1144">
        <v>2016</v>
      </c>
      <c r="D204" s="1000">
        <v>2</v>
      </c>
      <c r="E204" s="1001">
        <v>45</v>
      </c>
      <c r="F204" s="1001">
        <v>5</v>
      </c>
      <c r="G204" s="990">
        <v>0</v>
      </c>
      <c r="H204" s="1150">
        <v>0</v>
      </c>
      <c r="I204" s="1151">
        <v>0</v>
      </c>
      <c r="J204" s="1152">
        <v>0</v>
      </c>
      <c r="K204" s="1001">
        <v>0</v>
      </c>
      <c r="L204" s="1137">
        <v>0</v>
      </c>
    </row>
    <row r="205" spans="1:14">
      <c r="A205" s="2069"/>
      <c r="B205" s="2068"/>
      <c r="C205" s="1144">
        <v>2017</v>
      </c>
      <c r="D205" s="997">
        <v>0</v>
      </c>
      <c r="E205" s="993">
        <v>0</v>
      </c>
      <c r="F205" s="993">
        <v>0</v>
      </c>
      <c r="G205" s="1153">
        <v>0</v>
      </c>
      <c r="H205" s="1154">
        <v>0</v>
      </c>
      <c r="I205" s="1155">
        <v>0</v>
      </c>
      <c r="J205" s="1156">
        <v>0</v>
      </c>
      <c r="K205" s="993">
        <v>0</v>
      </c>
      <c r="L205" s="1157">
        <v>0</v>
      </c>
    </row>
    <row r="206" spans="1:14">
      <c r="A206" s="2069"/>
      <c r="B206" s="2068"/>
      <c r="C206" s="1144">
        <v>2018</v>
      </c>
      <c r="D206" s="40"/>
      <c r="E206" s="41"/>
      <c r="F206" s="41"/>
      <c r="G206" s="39"/>
      <c r="H206" s="306"/>
      <c r="I206" s="307"/>
      <c r="J206" s="308"/>
      <c r="K206" s="41"/>
      <c r="L206" s="86"/>
    </row>
    <row r="207" spans="1:14">
      <c r="A207" s="2069"/>
      <c r="B207" s="2068"/>
      <c r="C207" s="1144">
        <v>2019</v>
      </c>
      <c r="D207" s="40"/>
      <c r="E207" s="41"/>
      <c r="F207" s="41"/>
      <c r="G207" s="39"/>
      <c r="H207" s="306"/>
      <c r="I207" s="307"/>
      <c r="J207" s="308"/>
      <c r="K207" s="41"/>
      <c r="L207" s="86"/>
    </row>
    <row r="208" spans="1:14">
      <c r="A208" s="2069"/>
      <c r="B208" s="2068"/>
      <c r="C208" s="1144">
        <v>2020</v>
      </c>
      <c r="D208" s="309"/>
      <c r="E208" s="310"/>
      <c r="F208" s="310"/>
      <c r="G208" s="311"/>
      <c r="H208" s="312"/>
      <c r="I208" s="313"/>
      <c r="J208" s="314"/>
      <c r="K208" s="310"/>
      <c r="L208" s="315"/>
    </row>
    <row r="209" spans="1:12" ht="20.25" customHeight="1" thickBot="1">
      <c r="A209" s="2070"/>
      <c r="B209" s="2071"/>
      <c r="C209" s="1138" t="s">
        <v>13</v>
      </c>
      <c r="D209" s="1158">
        <f>SUM(D202:D208)</f>
        <v>2</v>
      </c>
      <c r="E209" s="1158">
        <f t="shared" ref="E209:L209" si="23">SUM(E202:E208)</f>
        <v>45</v>
      </c>
      <c r="F209" s="1158">
        <f t="shared" si="23"/>
        <v>5</v>
      </c>
      <c r="G209" s="1158">
        <f t="shared" si="23"/>
        <v>0</v>
      </c>
      <c r="H209" s="1158">
        <f t="shared" si="23"/>
        <v>0</v>
      </c>
      <c r="I209" s="1158">
        <f t="shared" si="23"/>
        <v>0</v>
      </c>
      <c r="J209" s="1158">
        <f t="shared" si="23"/>
        <v>0</v>
      </c>
      <c r="K209" s="1158">
        <f t="shared" si="23"/>
        <v>0</v>
      </c>
      <c r="L209" s="1158">
        <f t="shared" si="23"/>
        <v>0</v>
      </c>
    </row>
    <row r="211" spans="1:12" ht="15.75" thickBot="1"/>
    <row r="212" spans="1:12" ht="41.25" customHeight="1">
      <c r="A212" s="368" t="s">
        <v>148</v>
      </c>
      <c r="B212" s="1159" t="s">
        <v>149</v>
      </c>
      <c r="C212" s="1160">
        <v>2014</v>
      </c>
      <c r="D212" s="1161">
        <v>2015</v>
      </c>
      <c r="E212" s="1161">
        <v>2016</v>
      </c>
      <c r="F212" s="1161">
        <v>2017</v>
      </c>
      <c r="G212" s="1161">
        <v>2018</v>
      </c>
      <c r="H212" s="1161">
        <v>2019</v>
      </c>
      <c r="I212" s="1162">
        <v>2020</v>
      </c>
    </row>
    <row r="213" spans="1:12" ht="19.5" customHeight="1">
      <c r="A213" t="s">
        <v>150</v>
      </c>
      <c r="B213" s="2388" t="s">
        <v>438</v>
      </c>
      <c r="C213" s="73"/>
      <c r="D213" s="1163">
        <f>SUM(D214:D217)</f>
        <v>0</v>
      </c>
      <c r="E213" s="1163">
        <f>SUM(E214:E217)</f>
        <v>724807.32</v>
      </c>
      <c r="F213" s="1163">
        <f>SUM(F214:F217)</f>
        <v>142804.12</v>
      </c>
      <c r="G213" s="128"/>
      <c r="H213" s="128"/>
      <c r="I213" s="327"/>
    </row>
    <row r="214" spans="1:12">
      <c r="A214" t="s">
        <v>153</v>
      </c>
      <c r="B214" s="2389"/>
      <c r="C214" s="73"/>
      <c r="D214" s="1164">
        <v>0</v>
      </c>
      <c r="E214" s="1165">
        <v>371011.33</v>
      </c>
      <c r="F214" s="1166">
        <v>86074.880000000005</v>
      </c>
      <c r="G214" s="128"/>
      <c r="H214" s="128"/>
      <c r="I214" s="327"/>
    </row>
    <row r="215" spans="1:12">
      <c r="A215" t="s">
        <v>155</v>
      </c>
      <c r="B215" s="2389"/>
      <c r="C215" s="73"/>
      <c r="D215" s="1164">
        <v>0</v>
      </c>
      <c r="E215" s="1165">
        <v>7264.6</v>
      </c>
      <c r="F215" s="1166">
        <v>123</v>
      </c>
      <c r="G215" s="128"/>
      <c r="H215" s="128"/>
      <c r="I215" s="327"/>
    </row>
    <row r="216" spans="1:12">
      <c r="A216" t="s">
        <v>157</v>
      </c>
      <c r="B216" s="2389"/>
      <c r="C216" s="73"/>
      <c r="D216" s="1164">
        <v>0</v>
      </c>
      <c r="E216" s="1165">
        <v>144084.49</v>
      </c>
      <c r="F216" s="1166">
        <v>15417</v>
      </c>
      <c r="G216" s="128"/>
      <c r="H216" s="128"/>
      <c r="I216" s="327"/>
    </row>
    <row r="217" spans="1:12">
      <c r="A217" t="s">
        <v>158</v>
      </c>
      <c r="B217" s="2389"/>
      <c r="C217" s="73"/>
      <c r="D217" s="1164">
        <v>0</v>
      </c>
      <c r="E217" s="1167">
        <v>202446.9</v>
      </c>
      <c r="F217" s="1166">
        <v>41189.24</v>
      </c>
      <c r="G217" s="128"/>
      <c r="H217" s="128"/>
      <c r="I217" s="327"/>
    </row>
    <row r="218" spans="1:12" ht="30">
      <c r="A218" s="827" t="s">
        <v>159</v>
      </c>
      <c r="B218" s="2389"/>
      <c r="C218" s="73"/>
      <c r="D218" s="1168">
        <v>0</v>
      </c>
      <c r="E218" s="1169">
        <v>287084.87</v>
      </c>
      <c r="F218" s="1166">
        <v>149323.1</v>
      </c>
      <c r="G218" s="128"/>
      <c r="H218" s="128"/>
      <c r="I218" s="327"/>
    </row>
    <row r="219" spans="1:12" ht="18.75" customHeight="1" thickBot="1">
      <c r="A219" s="349"/>
      <c r="B219" s="2390"/>
      <c r="C219" s="1006" t="s">
        <v>13</v>
      </c>
      <c r="D219" s="1170">
        <f>SUM(D214:D218)</f>
        <v>0</v>
      </c>
      <c r="E219" s="1170">
        <f t="shared" ref="E219:I219" si="24">SUM(E214:E218)</f>
        <v>1011892.19</v>
      </c>
      <c r="F219" s="1170">
        <f t="shared" si="24"/>
        <v>292127.21999999997</v>
      </c>
      <c r="G219" s="1171">
        <f t="shared" si="24"/>
        <v>0</v>
      </c>
      <c r="H219" s="1171">
        <f t="shared" si="24"/>
        <v>0</v>
      </c>
      <c r="I219" s="1171">
        <f t="shared" si="24"/>
        <v>0</v>
      </c>
    </row>
    <row r="220" spans="1:12" ht="24.75" customHeight="1"/>
    <row r="224" spans="1:12">
      <c r="D224" s="1172"/>
      <c r="E224" s="1173"/>
    </row>
    <row r="227" spans="1:4">
      <c r="A227" s="827"/>
      <c r="D227" s="1172"/>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Y237"/>
  <sheetViews>
    <sheetView topLeftCell="A199" zoomScale="60" zoomScaleNormal="60" workbookViewId="0">
      <selection activeCell="W234" sqref="W234:W23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8.14062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825" t="s">
        <v>366</v>
      </c>
      <c r="C1" s="826"/>
      <c r="D1" s="826"/>
      <c r="E1" s="826"/>
      <c r="F1" s="82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c r="P14" s="8"/>
      <c r="Q14" s="8"/>
      <c r="R14" s="8"/>
      <c r="S14" s="8"/>
      <c r="T14" s="8"/>
      <c r="U14" s="8"/>
      <c r="V14" s="8"/>
      <c r="W14" s="8"/>
      <c r="X14" s="8"/>
    </row>
    <row r="15" spans="1:25" s="19" customFormat="1" ht="22.5" customHeight="1">
      <c r="A15" s="840"/>
      <c r="B15" s="2401" t="s">
        <v>8</v>
      </c>
      <c r="C15" s="2402" t="s">
        <v>9</v>
      </c>
      <c r="D15" s="2402" t="s">
        <v>5</v>
      </c>
      <c r="E15" s="2402"/>
      <c r="F15" s="2402"/>
      <c r="G15" s="2402"/>
      <c r="H15" s="841"/>
      <c r="I15" s="842" t="s">
        <v>6</v>
      </c>
      <c r="J15" s="843"/>
      <c r="K15" s="843"/>
      <c r="L15" s="843"/>
      <c r="M15" s="843"/>
      <c r="N15" s="843"/>
      <c r="O15" s="841"/>
      <c r="P15" s="16"/>
      <c r="Q15" s="17"/>
      <c r="R15" s="18"/>
      <c r="S15" s="18"/>
      <c r="T15" s="18"/>
      <c r="U15" s="18"/>
      <c r="V15" s="18"/>
      <c r="W15" s="16"/>
      <c r="X15" s="16"/>
      <c r="Y15" s="17"/>
    </row>
    <row r="16" spans="1:25" s="827" customFormat="1" ht="147.75" customHeight="1">
      <c r="A16" s="844" t="s">
        <v>7</v>
      </c>
      <c r="B16" s="2401"/>
      <c r="C16" s="2402"/>
      <c r="D16" s="845" t="s">
        <v>10</v>
      </c>
      <c r="E16" s="845" t="s">
        <v>11</v>
      </c>
      <c r="F16" s="845" t="s">
        <v>12</v>
      </c>
      <c r="G16" s="846" t="s">
        <v>13</v>
      </c>
      <c r="H16" s="847" t="s">
        <v>14</v>
      </c>
      <c r="I16" s="848" t="s">
        <v>15</v>
      </c>
      <c r="J16" s="848" t="s">
        <v>16</v>
      </c>
      <c r="K16" s="848" t="s">
        <v>17</v>
      </c>
      <c r="L16" s="848" t="s">
        <v>18</v>
      </c>
      <c r="M16" s="847" t="s">
        <v>19</v>
      </c>
      <c r="N16" s="848" t="s">
        <v>20</v>
      </c>
      <c r="O16" s="848" t="s">
        <v>21</v>
      </c>
      <c r="P16" s="30"/>
      <c r="Q16" s="30"/>
      <c r="R16" s="30"/>
      <c r="S16" s="30"/>
      <c r="T16" s="30"/>
      <c r="U16" s="30"/>
      <c r="V16" s="30"/>
      <c r="W16" s="30"/>
      <c r="X16" s="30"/>
      <c r="Y16" s="30"/>
    </row>
    <row r="17" spans="1:25" ht="15" customHeight="1">
      <c r="A17" s="2403" t="s">
        <v>367</v>
      </c>
      <c r="B17" s="2404"/>
      <c r="C17" s="849">
        <v>2014</v>
      </c>
      <c r="D17" s="849"/>
      <c r="E17" s="849"/>
      <c r="F17" s="849"/>
      <c r="G17" s="850"/>
      <c r="H17" s="849"/>
      <c r="I17" s="849"/>
      <c r="J17" s="849"/>
      <c r="K17" s="849"/>
      <c r="L17" s="849"/>
      <c r="M17" s="849"/>
      <c r="N17" s="849"/>
      <c r="O17" s="849"/>
      <c r="P17" s="38"/>
      <c r="Q17" s="38"/>
      <c r="R17" s="38"/>
      <c r="S17" s="38"/>
      <c r="T17" s="38"/>
      <c r="U17" s="38"/>
      <c r="V17" s="38"/>
      <c r="W17" s="38"/>
      <c r="X17" s="38"/>
      <c r="Y17" s="38"/>
    </row>
    <row r="18" spans="1:25">
      <c r="A18" s="2399" t="s">
        <v>368</v>
      </c>
      <c r="B18" s="2400"/>
      <c r="C18" s="851">
        <v>2015</v>
      </c>
      <c r="D18" s="851"/>
      <c r="E18" s="852"/>
      <c r="F18" s="851"/>
      <c r="G18" s="850"/>
      <c r="H18" s="851"/>
      <c r="I18" s="851"/>
      <c r="J18" s="851"/>
      <c r="K18" s="851"/>
      <c r="L18" s="851"/>
      <c r="M18" s="851"/>
      <c r="N18" s="851"/>
      <c r="O18" s="853"/>
      <c r="P18" s="38"/>
      <c r="Q18" s="38"/>
      <c r="R18" s="38"/>
      <c r="S18" s="38"/>
      <c r="T18" s="38"/>
      <c r="U18" s="38"/>
      <c r="V18" s="38"/>
      <c r="W18" s="38"/>
      <c r="X18" s="38"/>
      <c r="Y18" s="38"/>
    </row>
    <row r="19" spans="1:25">
      <c r="A19" s="854" t="s">
        <v>369</v>
      </c>
      <c r="B19" s="855"/>
      <c r="C19" s="851">
        <v>2016</v>
      </c>
      <c r="D19" s="851">
        <v>28</v>
      </c>
      <c r="E19" s="851">
        <v>0</v>
      </c>
      <c r="F19" s="851">
        <v>1</v>
      </c>
      <c r="G19" s="856">
        <f t="shared" ref="G19:G23" si="0">SUM(D19:F19)</f>
        <v>29</v>
      </c>
      <c r="H19" s="851">
        <v>0</v>
      </c>
      <c r="I19" s="851">
        <f>8</f>
        <v>8</v>
      </c>
      <c r="J19" s="851">
        <v>0</v>
      </c>
      <c r="K19" s="851">
        <f>9</f>
        <v>9</v>
      </c>
      <c r="L19" s="851">
        <f>0+2</f>
        <v>2</v>
      </c>
      <c r="M19" s="851">
        <v>0</v>
      </c>
      <c r="N19" s="851">
        <v>0</v>
      </c>
      <c r="O19" s="853">
        <f>8+2</f>
        <v>10</v>
      </c>
      <c r="P19" s="38"/>
      <c r="Q19" s="38"/>
      <c r="R19" s="38"/>
      <c r="S19" s="38"/>
      <c r="T19" s="38"/>
      <c r="U19" s="38"/>
      <c r="V19" s="38"/>
      <c r="W19" s="38"/>
      <c r="X19" s="38"/>
      <c r="Y19" s="38"/>
    </row>
    <row r="20" spans="1:25">
      <c r="A20" s="854" t="s">
        <v>370</v>
      </c>
      <c r="B20" s="855"/>
      <c r="C20" s="851">
        <v>2017</v>
      </c>
      <c r="D20" s="857">
        <v>3</v>
      </c>
      <c r="E20" s="851">
        <v>1</v>
      </c>
      <c r="F20" s="851">
        <v>0</v>
      </c>
      <c r="G20" s="850">
        <f t="shared" si="0"/>
        <v>4</v>
      </c>
      <c r="H20" s="851">
        <v>0</v>
      </c>
      <c r="I20" s="857">
        <v>0</v>
      </c>
      <c r="J20" s="851">
        <v>0</v>
      </c>
      <c r="K20" s="851">
        <v>0</v>
      </c>
      <c r="L20" s="851">
        <v>3</v>
      </c>
      <c r="M20" s="851">
        <v>0</v>
      </c>
      <c r="N20" s="851">
        <v>0</v>
      </c>
      <c r="O20" s="853">
        <v>1</v>
      </c>
      <c r="P20" s="38"/>
      <c r="Q20" s="38"/>
      <c r="R20" s="38"/>
      <c r="S20" s="38"/>
      <c r="T20" s="38"/>
      <c r="U20" s="38"/>
      <c r="V20" s="38"/>
      <c r="W20" s="38"/>
      <c r="X20" s="38"/>
      <c r="Y20" s="38"/>
    </row>
    <row r="21" spans="1:25">
      <c r="A21" s="858" t="s">
        <v>371</v>
      </c>
      <c r="B21" s="855"/>
      <c r="C21" s="851">
        <v>2018</v>
      </c>
      <c r="D21" s="851"/>
      <c r="E21" s="851"/>
      <c r="F21" s="851"/>
      <c r="G21" s="850">
        <f t="shared" si="0"/>
        <v>0</v>
      </c>
      <c r="H21" s="851"/>
      <c r="I21" s="851"/>
      <c r="J21" s="851"/>
      <c r="K21" s="851"/>
      <c r="L21" s="851"/>
      <c r="M21" s="851"/>
      <c r="N21" s="851"/>
      <c r="O21" s="853"/>
      <c r="P21" s="38"/>
      <c r="Q21" s="38"/>
      <c r="R21" s="38"/>
      <c r="S21" s="38"/>
      <c r="T21" s="38"/>
      <c r="U21" s="38"/>
      <c r="V21" s="38"/>
      <c r="W21" s="38"/>
      <c r="X21" s="38"/>
      <c r="Y21" s="38"/>
    </row>
    <row r="22" spans="1:25">
      <c r="A22" s="854" t="s">
        <v>372</v>
      </c>
      <c r="B22" s="855"/>
      <c r="C22" s="859">
        <v>2019</v>
      </c>
      <c r="D22" s="851"/>
      <c r="E22" s="851"/>
      <c r="F22" s="851"/>
      <c r="G22" s="850">
        <f>SUM(D22:F22)</f>
        <v>0</v>
      </c>
      <c r="H22" s="851"/>
      <c r="I22" s="851"/>
      <c r="J22" s="851"/>
      <c r="K22" s="851"/>
      <c r="L22" s="851"/>
      <c r="M22" s="851"/>
      <c r="N22" s="851"/>
      <c r="O22" s="853"/>
      <c r="P22" s="38"/>
      <c r="Q22" s="38"/>
      <c r="R22" s="38"/>
      <c r="S22" s="38"/>
      <c r="T22" s="38"/>
      <c r="U22" s="38"/>
      <c r="V22" s="38"/>
      <c r="W22" s="38"/>
      <c r="X22" s="38"/>
      <c r="Y22" s="38"/>
    </row>
    <row r="23" spans="1:25">
      <c r="A23" s="854" t="s">
        <v>373</v>
      </c>
      <c r="B23" s="855"/>
      <c r="C23" s="851">
        <v>2020</v>
      </c>
      <c r="D23" s="851"/>
      <c r="E23" s="851"/>
      <c r="F23" s="851"/>
      <c r="G23" s="850">
        <f t="shared" si="0"/>
        <v>0</v>
      </c>
      <c r="H23" s="851"/>
      <c r="I23" s="851"/>
      <c r="J23" s="851"/>
      <c r="K23" s="851"/>
      <c r="L23" s="851"/>
      <c r="M23" s="851"/>
      <c r="N23" s="851"/>
      <c r="O23" s="853"/>
      <c r="P23" s="38"/>
      <c r="Q23" s="38"/>
      <c r="R23" s="38"/>
      <c r="S23" s="38"/>
      <c r="T23" s="38"/>
      <c r="U23" s="38"/>
      <c r="V23" s="38"/>
      <c r="W23" s="38"/>
      <c r="X23" s="38"/>
      <c r="Y23" s="38"/>
    </row>
    <row r="24" spans="1:25" ht="42" customHeight="1">
      <c r="A24" s="860" t="s">
        <v>374</v>
      </c>
      <c r="B24" s="861"/>
      <c r="C24" s="862" t="s">
        <v>13</v>
      </c>
      <c r="D24" s="850">
        <f>SUM(D17:D23)</f>
        <v>31</v>
      </c>
      <c r="E24" s="850">
        <f>SUM(E17:E23)</f>
        <v>1</v>
      </c>
      <c r="F24" s="850">
        <f>SUM(F17:F23)</f>
        <v>1</v>
      </c>
      <c r="G24" s="850">
        <f>SUM(D24:F24)</f>
        <v>33</v>
      </c>
      <c r="H24" s="850">
        <f t="shared" ref="H24:O24" si="1">SUM(H17:H23)</f>
        <v>0</v>
      </c>
      <c r="I24" s="850">
        <f t="shared" si="1"/>
        <v>8</v>
      </c>
      <c r="J24" s="850">
        <f t="shared" si="1"/>
        <v>0</v>
      </c>
      <c r="K24" s="850">
        <f t="shared" si="1"/>
        <v>9</v>
      </c>
      <c r="L24" s="850">
        <f t="shared" si="1"/>
        <v>5</v>
      </c>
      <c r="M24" s="850">
        <f t="shared" si="1"/>
        <v>0</v>
      </c>
      <c r="N24" s="850">
        <f t="shared" si="1"/>
        <v>0</v>
      </c>
      <c r="O24" s="850">
        <f t="shared" si="1"/>
        <v>11</v>
      </c>
      <c r="P24" s="38"/>
      <c r="Q24" s="38"/>
      <c r="R24" s="38"/>
      <c r="S24" s="38"/>
      <c r="T24" s="38"/>
      <c r="U24" s="38"/>
      <c r="V24" s="38"/>
      <c r="W24" s="38"/>
      <c r="X24" s="38"/>
      <c r="Y24" s="38"/>
    </row>
    <row r="25" spans="1:25">
      <c r="C25" s="52"/>
      <c r="H25" s="8"/>
      <c r="I25" s="8"/>
      <c r="J25" s="8"/>
      <c r="K25" s="8"/>
      <c r="L25" s="8"/>
      <c r="M25" s="8"/>
      <c r="N25" s="8"/>
      <c r="O25" s="8"/>
      <c r="P25" s="8"/>
      <c r="Q25" s="8"/>
    </row>
    <row r="26" spans="1:25" s="19" customFormat="1" ht="30.75" customHeight="1">
      <c r="A26" s="840"/>
      <c r="B26" s="2401" t="s">
        <v>8</v>
      </c>
      <c r="C26" s="2402" t="s">
        <v>9</v>
      </c>
      <c r="D26" s="2401" t="s">
        <v>5</v>
      </c>
      <c r="E26" s="2401"/>
      <c r="F26" s="2401"/>
      <c r="G26" s="2401"/>
      <c r="H26" s="16"/>
      <c r="I26" s="17"/>
      <c r="J26" s="18"/>
      <c r="K26" s="18"/>
      <c r="L26" s="18"/>
      <c r="M26" s="18"/>
      <c r="N26" s="18"/>
      <c r="O26" s="16"/>
      <c r="P26" s="16"/>
    </row>
    <row r="27" spans="1:25" s="827" customFormat="1" ht="93" customHeight="1">
      <c r="A27" s="844" t="s">
        <v>23</v>
      </c>
      <c r="B27" s="2401"/>
      <c r="C27" s="2402"/>
      <c r="D27" s="845" t="s">
        <v>10</v>
      </c>
      <c r="E27" s="845" t="s">
        <v>11</v>
      </c>
      <c r="F27" s="845" t="s">
        <v>12</v>
      </c>
      <c r="G27" s="863" t="s">
        <v>13</v>
      </c>
      <c r="H27" s="30"/>
      <c r="I27" s="30"/>
      <c r="J27" s="30"/>
      <c r="K27" s="30"/>
      <c r="L27" s="30"/>
      <c r="M27" s="30"/>
      <c r="N27" s="30"/>
      <c r="O27" s="30"/>
      <c r="P27" s="30"/>
      <c r="Q27" s="19"/>
    </row>
    <row r="28" spans="1:25" ht="15" customHeight="1">
      <c r="A28" s="2403"/>
      <c r="B28" s="2404"/>
      <c r="C28" s="849">
        <v>2014</v>
      </c>
      <c r="D28" s="849"/>
      <c r="E28" s="849"/>
      <c r="F28" s="849"/>
      <c r="G28" s="850"/>
      <c r="H28" s="38"/>
      <c r="I28" s="38"/>
      <c r="J28" s="38"/>
      <c r="K28" s="38"/>
      <c r="L28" s="38"/>
      <c r="M28" s="38"/>
      <c r="N28" s="38"/>
      <c r="O28" s="38"/>
      <c r="P28" s="38"/>
      <c r="Q28" s="8"/>
    </row>
    <row r="29" spans="1:25" ht="12.75" customHeight="1">
      <c r="A29" s="2399"/>
      <c r="B29" s="2400"/>
      <c r="C29" s="851">
        <v>2015</v>
      </c>
      <c r="D29" s="864"/>
      <c r="E29" s="864"/>
      <c r="F29" s="864"/>
      <c r="G29" s="865"/>
      <c r="H29" s="38"/>
      <c r="I29" s="38"/>
      <c r="J29" s="38"/>
      <c r="K29" s="38"/>
      <c r="L29" s="38"/>
      <c r="M29" s="38"/>
      <c r="N29" s="38"/>
      <c r="O29" s="38"/>
      <c r="P29" s="38"/>
      <c r="Q29" s="8"/>
    </row>
    <row r="30" spans="1:25">
      <c r="A30" s="2395"/>
      <c r="B30" s="2396"/>
      <c r="C30" s="851">
        <v>2016</v>
      </c>
      <c r="D30" s="864">
        <f>142063+161+3619</f>
        <v>145843</v>
      </c>
      <c r="E30" s="866">
        <v>0</v>
      </c>
      <c r="F30" s="866">
        <f>20000+0</f>
        <v>20000</v>
      </c>
      <c r="G30" s="865">
        <f t="shared" ref="G30:G35" si="2">SUM(D30:F30)</f>
        <v>165843</v>
      </c>
      <c r="H30" s="38"/>
      <c r="I30" s="38"/>
      <c r="J30" s="38"/>
      <c r="K30" s="38"/>
      <c r="L30" s="38"/>
      <c r="M30" s="38"/>
      <c r="N30" s="38"/>
      <c r="O30" s="38"/>
      <c r="P30" s="38"/>
      <c r="Q30" s="8"/>
    </row>
    <row r="31" spans="1:25">
      <c r="A31" s="2397" t="s">
        <v>375</v>
      </c>
      <c r="B31" s="2398"/>
      <c r="C31" s="851">
        <v>2017</v>
      </c>
      <c r="D31" s="867">
        <v>773</v>
      </c>
      <c r="E31" s="864">
        <v>0</v>
      </c>
      <c r="F31" s="864">
        <v>0</v>
      </c>
      <c r="G31" s="865">
        <f t="shared" si="2"/>
        <v>773</v>
      </c>
      <c r="H31" s="38"/>
      <c r="I31" s="38"/>
      <c r="J31" s="38"/>
      <c r="K31" s="38"/>
      <c r="L31" s="38"/>
      <c r="M31" s="38"/>
      <c r="N31" s="38"/>
      <c r="O31" s="38"/>
      <c r="P31" s="38"/>
      <c r="Q31" s="8"/>
    </row>
    <row r="32" spans="1:25">
      <c r="A32" s="2405"/>
      <c r="B32" s="2398"/>
      <c r="C32" s="851">
        <v>2018</v>
      </c>
      <c r="D32" s="864"/>
      <c r="E32" s="864"/>
      <c r="F32" s="864"/>
      <c r="G32" s="865">
        <f>SUM(D32:F32)</f>
        <v>0</v>
      </c>
      <c r="H32" s="38"/>
      <c r="I32" s="38"/>
      <c r="J32" s="38"/>
      <c r="K32" s="38"/>
      <c r="L32" s="38"/>
      <c r="M32" s="38"/>
      <c r="N32" s="38"/>
      <c r="O32" s="38"/>
      <c r="P32" s="38"/>
      <c r="Q32" s="8"/>
    </row>
    <row r="33" spans="1:17">
      <c r="A33" s="2395"/>
      <c r="B33" s="2396"/>
      <c r="C33" s="859">
        <v>2019</v>
      </c>
      <c r="D33" s="864"/>
      <c r="E33" s="864"/>
      <c r="F33" s="864"/>
      <c r="G33" s="865">
        <f t="shared" si="2"/>
        <v>0</v>
      </c>
      <c r="H33" s="38"/>
      <c r="I33" s="38"/>
      <c r="J33" s="38"/>
      <c r="K33" s="38"/>
      <c r="L33" s="38"/>
      <c r="M33" s="38"/>
      <c r="N33" s="38"/>
      <c r="O33" s="38"/>
      <c r="P33" s="38"/>
      <c r="Q33" s="8"/>
    </row>
    <row r="34" spans="1:17">
      <c r="A34" s="2395"/>
      <c r="B34" s="2396"/>
      <c r="C34" s="851">
        <v>2020</v>
      </c>
      <c r="D34" s="864"/>
      <c r="E34" s="864"/>
      <c r="F34" s="864"/>
      <c r="G34" s="865">
        <f t="shared" si="2"/>
        <v>0</v>
      </c>
      <c r="H34" s="38"/>
      <c r="I34" s="38"/>
      <c r="J34" s="38"/>
      <c r="K34" s="38"/>
      <c r="L34" s="38"/>
      <c r="M34" s="38"/>
      <c r="N34" s="38"/>
      <c r="O34" s="38"/>
      <c r="P34" s="38"/>
      <c r="Q34" s="8"/>
    </row>
    <row r="35" spans="1:17" ht="20.25" customHeight="1">
      <c r="A35" s="2406"/>
      <c r="B35" s="2407"/>
      <c r="C35" s="862" t="s">
        <v>13</v>
      </c>
      <c r="D35" s="865">
        <f>SUM(D28:D34)</f>
        <v>146616</v>
      </c>
      <c r="E35" s="865">
        <f>SUM(E28:E34)</f>
        <v>0</v>
      </c>
      <c r="F35" s="865">
        <f>SUM(F28:F34)</f>
        <v>20000</v>
      </c>
      <c r="G35" s="865">
        <f t="shared" si="2"/>
        <v>166616</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c r="G38" s="38"/>
      <c r="H38" s="38"/>
    </row>
    <row r="39" spans="1:17" ht="88.5" customHeight="1">
      <c r="A39" s="868" t="s">
        <v>26</v>
      </c>
      <c r="B39" s="869" t="s">
        <v>8</v>
      </c>
      <c r="C39" s="870" t="s">
        <v>9</v>
      </c>
      <c r="D39" s="871" t="s">
        <v>27</v>
      </c>
      <c r="E39" s="871" t="s">
        <v>28</v>
      </c>
      <c r="F39" s="72"/>
      <c r="G39" s="30"/>
      <c r="H39" s="30"/>
    </row>
    <row r="40" spans="1:17" ht="15" customHeight="1">
      <c r="A40" s="2408" t="s">
        <v>376</v>
      </c>
      <c r="B40" s="2409"/>
      <c r="C40" s="872"/>
      <c r="D40" s="849"/>
      <c r="E40" s="849"/>
      <c r="F40" s="8"/>
      <c r="G40" s="38"/>
      <c r="H40" s="38"/>
    </row>
    <row r="41" spans="1:17" ht="15.75" customHeight="1">
      <c r="A41" s="2410" t="s">
        <v>377</v>
      </c>
      <c r="B41" s="2411"/>
      <c r="C41" s="873"/>
      <c r="D41" s="851"/>
      <c r="E41" s="851"/>
      <c r="F41" s="8"/>
      <c r="G41" s="38"/>
      <c r="H41" s="38"/>
    </row>
    <row r="42" spans="1:17" ht="33.75" customHeight="1">
      <c r="A42" s="2410" t="s">
        <v>378</v>
      </c>
      <c r="B42" s="2411"/>
      <c r="C42" s="874">
        <v>2016</v>
      </c>
      <c r="D42" s="852">
        <v>9879</v>
      </c>
      <c r="E42" s="852">
        <v>3402</v>
      </c>
      <c r="F42" s="8"/>
      <c r="G42" s="38"/>
      <c r="H42" s="38"/>
    </row>
    <row r="43" spans="1:17">
      <c r="A43" s="875" t="s">
        <v>379</v>
      </c>
      <c r="B43" s="876"/>
      <c r="C43" s="873">
        <v>2017</v>
      </c>
      <c r="D43">
        <v>9548</v>
      </c>
      <c r="E43" s="851">
        <v>3466</v>
      </c>
      <c r="F43" s="8"/>
      <c r="G43" s="38"/>
      <c r="H43" s="38"/>
    </row>
    <row r="44" spans="1:17">
      <c r="A44" s="877"/>
      <c r="B44" s="876"/>
      <c r="C44" s="873">
        <v>2018</v>
      </c>
      <c r="D44" s="851"/>
      <c r="E44" s="851"/>
      <c r="F44" s="8"/>
      <c r="G44" s="38"/>
      <c r="H44" s="38"/>
    </row>
    <row r="45" spans="1:17">
      <c r="A45" s="877"/>
      <c r="B45" s="876"/>
      <c r="C45" s="873">
        <v>2019</v>
      </c>
      <c r="D45" s="851"/>
      <c r="E45" s="851"/>
      <c r="F45" s="8"/>
      <c r="G45" s="38"/>
      <c r="H45" s="38"/>
    </row>
    <row r="46" spans="1:17">
      <c r="A46" s="877"/>
      <c r="B46" s="876"/>
      <c r="C46" s="873">
        <v>2020</v>
      </c>
      <c r="D46" s="851"/>
      <c r="E46" s="851"/>
      <c r="F46" s="8"/>
      <c r="G46" s="38"/>
      <c r="H46" s="38"/>
    </row>
    <row r="47" spans="1:17">
      <c r="A47" s="878"/>
      <c r="B47" s="879"/>
      <c r="C47" s="862" t="s">
        <v>13</v>
      </c>
      <c r="D47" s="850">
        <f>SUM(D40:D46)</f>
        <v>19427</v>
      </c>
      <c r="E47" s="850">
        <f>SUM(E40:E46)</f>
        <v>6868</v>
      </c>
      <c r="F47" s="77"/>
      <c r="G47" s="38"/>
      <c r="H47" s="38"/>
    </row>
    <row r="48" spans="1:17" s="38" customFormat="1">
      <c r="A48" s="346"/>
      <c r="B48" s="79"/>
      <c r="C48" s="80"/>
    </row>
    <row r="49" spans="1:15" ht="83.25" customHeight="1">
      <c r="A49" s="880" t="s">
        <v>30</v>
      </c>
      <c r="B49" s="881" t="s">
        <v>8</v>
      </c>
      <c r="C49" s="870" t="s">
        <v>9</v>
      </c>
      <c r="D49" s="871" t="s">
        <v>31</v>
      </c>
      <c r="E49" s="871" t="s">
        <v>32</v>
      </c>
      <c r="F49" s="871" t="s">
        <v>33</v>
      </c>
      <c r="G49" s="871" t="s">
        <v>34</v>
      </c>
      <c r="H49" s="871" t="s">
        <v>35</v>
      </c>
      <c r="I49" s="871" t="s">
        <v>36</v>
      </c>
      <c r="J49" s="871" t="s">
        <v>37</v>
      </c>
      <c r="K49" s="871" t="s">
        <v>38</v>
      </c>
    </row>
    <row r="50" spans="1:15" ht="17.25" customHeight="1">
      <c r="A50" s="2412" t="s">
        <v>380</v>
      </c>
      <c r="B50" s="2413"/>
      <c r="C50" s="882" t="s">
        <v>40</v>
      </c>
      <c r="D50" s="849"/>
      <c r="E50" s="849"/>
      <c r="F50" s="849"/>
      <c r="G50" s="849"/>
      <c r="H50" s="849"/>
      <c r="I50" s="849"/>
      <c r="J50" s="849"/>
      <c r="K50" s="849"/>
    </row>
    <row r="51" spans="1:15" ht="30.75" customHeight="1">
      <c r="A51" s="2414" t="s">
        <v>381</v>
      </c>
      <c r="B51" s="2415"/>
      <c r="C51" s="883">
        <v>2014</v>
      </c>
      <c r="D51" s="851"/>
      <c r="E51" s="851"/>
      <c r="F51" s="851"/>
      <c r="G51" s="851"/>
      <c r="H51" s="851"/>
      <c r="I51" s="851"/>
      <c r="J51" s="851"/>
      <c r="K51" s="851"/>
    </row>
    <row r="52" spans="1:15">
      <c r="A52" s="2416"/>
      <c r="B52" s="2417"/>
      <c r="C52" s="883">
        <v>2015</v>
      </c>
      <c r="D52" s="851"/>
      <c r="E52" s="851"/>
      <c r="F52" s="851"/>
      <c r="G52" s="851"/>
      <c r="H52" s="851"/>
      <c r="I52" s="851"/>
      <c r="J52" s="851"/>
      <c r="K52" s="851"/>
    </row>
    <row r="53" spans="1:15">
      <c r="A53" s="2416"/>
      <c r="B53" s="2417"/>
      <c r="C53" s="883">
        <v>2016</v>
      </c>
      <c r="D53" s="851">
        <v>0</v>
      </c>
      <c r="E53" s="884">
        <v>1</v>
      </c>
      <c r="F53" s="851">
        <v>0</v>
      </c>
      <c r="G53" s="851">
        <v>0</v>
      </c>
      <c r="H53" s="851">
        <v>0</v>
      </c>
      <c r="I53" s="851">
        <v>0</v>
      </c>
      <c r="J53" s="851">
        <v>0</v>
      </c>
      <c r="K53" s="851">
        <v>0</v>
      </c>
    </row>
    <row r="54" spans="1:15">
      <c r="A54" s="2416"/>
      <c r="B54" s="2417"/>
      <c r="C54" s="883">
        <v>2017</v>
      </c>
      <c r="D54" s="851">
        <v>0</v>
      </c>
      <c r="E54" s="851">
        <v>0</v>
      </c>
      <c r="F54" s="851">
        <v>0</v>
      </c>
      <c r="G54" s="851">
        <v>0</v>
      </c>
      <c r="H54" s="851">
        <v>0</v>
      </c>
      <c r="I54" s="851">
        <v>0</v>
      </c>
      <c r="J54" s="851">
        <v>0</v>
      </c>
      <c r="K54" s="851">
        <v>0</v>
      </c>
    </row>
    <row r="55" spans="1:15">
      <c r="A55" s="2416"/>
      <c r="B55" s="2417"/>
      <c r="C55" s="883">
        <v>2018</v>
      </c>
      <c r="D55" s="851"/>
      <c r="E55" s="851"/>
      <c r="F55" s="851"/>
      <c r="G55" s="851"/>
      <c r="H55" s="851"/>
      <c r="I55" s="851"/>
      <c r="J55" s="851"/>
      <c r="K55" s="851"/>
    </row>
    <row r="56" spans="1:15">
      <c r="A56" s="2416"/>
      <c r="B56" s="2417"/>
      <c r="C56" s="883">
        <v>2019</v>
      </c>
      <c r="D56" s="851"/>
      <c r="E56" s="851"/>
      <c r="F56" s="851"/>
      <c r="G56" s="851"/>
      <c r="H56" s="851"/>
      <c r="I56" s="851"/>
      <c r="J56" s="851"/>
      <c r="K56" s="851"/>
    </row>
    <row r="57" spans="1:15">
      <c r="A57" s="2416"/>
      <c r="B57" s="2417"/>
      <c r="C57" s="883">
        <v>2020</v>
      </c>
      <c r="D57" s="851"/>
      <c r="E57" s="851"/>
      <c r="F57" s="851"/>
      <c r="G57" s="851"/>
      <c r="H57" s="851"/>
      <c r="I57" s="851"/>
      <c r="J57" s="851"/>
      <c r="K57" s="851"/>
    </row>
    <row r="58" spans="1:15" ht="20.25" customHeight="1">
      <c r="A58" s="2419"/>
      <c r="B58" s="2420"/>
      <c r="C58" s="885" t="s">
        <v>13</v>
      </c>
      <c r="D58" s="850">
        <f t="shared" ref="D58:J58" si="3">SUM(D51:D57)</f>
        <v>0</v>
      </c>
      <c r="E58" s="850">
        <f t="shared" si="3"/>
        <v>1</v>
      </c>
      <c r="F58" s="850">
        <f t="shared" si="3"/>
        <v>0</v>
      </c>
      <c r="G58" s="850">
        <f t="shared" si="3"/>
        <v>0</v>
      </c>
      <c r="H58" s="850">
        <f t="shared" si="3"/>
        <v>0</v>
      </c>
      <c r="I58" s="850">
        <f t="shared" si="3"/>
        <v>0</v>
      </c>
      <c r="J58" s="850">
        <f t="shared" si="3"/>
        <v>0</v>
      </c>
      <c r="K58" s="850">
        <f>SUM(K50:K56)</f>
        <v>0</v>
      </c>
    </row>
    <row r="60" spans="1:15" ht="21" customHeight="1">
      <c r="A60" s="2421" t="s">
        <v>41</v>
      </c>
      <c r="B60" s="2422" t="s">
        <v>8</v>
      </c>
      <c r="C60" s="2418" t="s">
        <v>9</v>
      </c>
      <c r="D60" s="2423" t="s">
        <v>42</v>
      </c>
      <c r="E60" s="886" t="s">
        <v>6</v>
      </c>
      <c r="F60" s="887"/>
      <c r="G60" s="887"/>
      <c r="H60" s="887"/>
      <c r="I60" s="887"/>
      <c r="J60" s="887"/>
      <c r="K60" s="887"/>
      <c r="L60" s="887"/>
    </row>
    <row r="61" spans="1:15" ht="115.5" customHeight="1">
      <c r="A61" s="2421"/>
      <c r="B61" s="2422"/>
      <c r="C61" s="2418"/>
      <c r="D61" s="2423"/>
      <c r="E61" s="888" t="s">
        <v>14</v>
      </c>
      <c r="F61" s="889" t="s">
        <v>15</v>
      </c>
      <c r="G61" s="889" t="s">
        <v>16</v>
      </c>
      <c r="H61" s="889" t="s">
        <v>17</v>
      </c>
      <c r="I61" s="889" t="s">
        <v>18</v>
      </c>
      <c r="J61" s="888" t="s">
        <v>19</v>
      </c>
      <c r="K61" s="889" t="s">
        <v>20</v>
      </c>
      <c r="L61" s="889" t="s">
        <v>21</v>
      </c>
      <c r="M61" s="8"/>
      <c r="N61" s="8"/>
      <c r="O61" s="8"/>
    </row>
    <row r="62" spans="1:15">
      <c r="A62" s="890" t="s">
        <v>382</v>
      </c>
      <c r="B62" s="891"/>
      <c r="C62" s="892">
        <v>2014</v>
      </c>
      <c r="D62" s="892"/>
      <c r="E62" s="849"/>
      <c r="F62" s="849"/>
      <c r="G62" s="849"/>
      <c r="H62" s="849"/>
      <c r="I62" s="849"/>
      <c r="J62" s="849"/>
      <c r="K62" s="849"/>
      <c r="L62" s="849"/>
      <c r="M62" s="8"/>
      <c r="N62" s="8"/>
      <c r="O62" s="8"/>
    </row>
    <row r="63" spans="1:15" ht="25.5" customHeight="1">
      <c r="A63" s="2239" t="s">
        <v>383</v>
      </c>
      <c r="B63" s="2424"/>
      <c r="C63" s="893">
        <v>2015</v>
      </c>
      <c r="D63" s="893"/>
      <c r="E63" s="851"/>
      <c r="F63" s="851"/>
      <c r="G63" s="851"/>
      <c r="H63" s="851"/>
      <c r="I63" s="851"/>
      <c r="J63" s="851"/>
      <c r="K63" s="851"/>
      <c r="L63" s="851"/>
      <c r="M63" s="8"/>
      <c r="N63" s="8"/>
      <c r="O63" s="8"/>
    </row>
    <row r="64" spans="1:15" ht="44.25" customHeight="1">
      <c r="A64" s="2239" t="s">
        <v>384</v>
      </c>
      <c r="B64" s="2424"/>
      <c r="C64" s="893">
        <v>2016</v>
      </c>
      <c r="D64" s="894">
        <f>E64+F64+G64+H64+I64+J64+K64+L64</f>
        <v>7</v>
      </c>
      <c r="E64" s="851">
        <v>0</v>
      </c>
      <c r="F64" s="851">
        <v>0</v>
      </c>
      <c r="G64" s="851">
        <v>0</v>
      </c>
      <c r="H64" s="851">
        <v>0</v>
      </c>
      <c r="I64" s="851">
        <v>0</v>
      </c>
      <c r="J64" s="851">
        <v>0</v>
      </c>
      <c r="K64" s="851">
        <v>0</v>
      </c>
      <c r="L64" s="852">
        <f>1+3+2+1</f>
        <v>7</v>
      </c>
      <c r="M64" s="8"/>
      <c r="N64" s="8"/>
      <c r="O64" s="8"/>
    </row>
    <row r="65" spans="1:20" ht="36" customHeight="1">
      <c r="A65" s="2431" t="s">
        <v>385</v>
      </c>
      <c r="B65" s="2432"/>
      <c r="C65" s="893">
        <v>2017</v>
      </c>
      <c r="D65" s="893">
        <v>0</v>
      </c>
      <c r="E65" s="851">
        <v>0</v>
      </c>
      <c r="F65" s="851">
        <v>0</v>
      </c>
      <c r="G65" s="851">
        <v>0</v>
      </c>
      <c r="H65" s="851">
        <v>0</v>
      </c>
      <c r="I65" s="851">
        <v>0</v>
      </c>
      <c r="J65" s="851">
        <v>0</v>
      </c>
      <c r="K65" s="851">
        <v>0</v>
      </c>
      <c r="L65" s="851">
        <v>0</v>
      </c>
      <c r="M65" s="8"/>
      <c r="N65" s="8"/>
      <c r="O65" s="8"/>
    </row>
    <row r="66" spans="1:20" ht="18.75" customHeight="1">
      <c r="A66" s="2239"/>
      <c r="B66" s="2424"/>
      <c r="C66" s="893">
        <v>2018</v>
      </c>
      <c r="D66" s="893"/>
      <c r="E66" s="851"/>
      <c r="F66" s="851"/>
      <c r="G66" s="851"/>
      <c r="H66" s="851"/>
      <c r="I66" s="851"/>
      <c r="J66" s="851"/>
      <c r="K66" s="851"/>
      <c r="L66" s="851"/>
      <c r="M66" s="8"/>
      <c r="N66" s="8"/>
      <c r="O66" s="8"/>
    </row>
    <row r="67" spans="1:20" ht="49.5" customHeight="1">
      <c r="A67" s="2239"/>
      <c r="B67" s="2424"/>
      <c r="C67" s="893">
        <v>2019</v>
      </c>
      <c r="D67" s="893"/>
      <c r="E67" s="851"/>
      <c r="F67" s="851"/>
      <c r="G67" s="851"/>
      <c r="H67" s="851"/>
      <c r="I67" s="851"/>
      <c r="J67" s="851"/>
      <c r="K67" s="851"/>
      <c r="L67" s="851"/>
      <c r="M67" s="8"/>
      <c r="N67" s="8"/>
      <c r="O67" s="8"/>
    </row>
    <row r="68" spans="1:20" ht="18.75" customHeight="1">
      <c r="A68" s="2239"/>
      <c r="B68" s="2424"/>
      <c r="C68" s="893">
        <v>2020</v>
      </c>
      <c r="D68" s="893"/>
      <c r="E68" s="851"/>
      <c r="F68" s="851"/>
      <c r="G68" s="851"/>
      <c r="H68" s="851"/>
      <c r="I68" s="851"/>
      <c r="J68" s="851"/>
      <c r="K68" s="851"/>
      <c r="L68" s="851"/>
      <c r="M68" s="77"/>
      <c r="N68" s="77"/>
      <c r="O68" s="77"/>
    </row>
    <row r="69" spans="1:20" ht="18" customHeight="1">
      <c r="A69" s="2433"/>
      <c r="B69" s="2434"/>
      <c r="C69" s="895" t="s">
        <v>13</v>
      </c>
      <c r="D69" s="896">
        <f>SUM(D62:D68)</f>
        <v>7</v>
      </c>
      <c r="E69" s="897">
        <f>SUM(E62:E68)</f>
        <v>0</v>
      </c>
      <c r="F69" s="897">
        <f t="shared" ref="F69:I69" si="4">SUM(F62:F68)</f>
        <v>0</v>
      </c>
      <c r="G69" s="897">
        <f t="shared" si="4"/>
        <v>0</v>
      </c>
      <c r="H69" s="897">
        <f t="shared" si="4"/>
        <v>0</v>
      </c>
      <c r="I69" s="897">
        <f t="shared" si="4"/>
        <v>0</v>
      </c>
      <c r="J69" s="897"/>
      <c r="K69" s="897">
        <f>SUM(K62:K68)</f>
        <v>0</v>
      </c>
      <c r="L69" s="897">
        <f>SUM(L62:L68)</f>
        <v>7</v>
      </c>
      <c r="M69" s="77"/>
      <c r="N69" s="77"/>
      <c r="O69" s="77"/>
    </row>
    <row r="70" spans="1:20" ht="20.25" customHeight="1">
      <c r="A70" s="111"/>
      <c r="B70" s="112"/>
      <c r="C70" s="113"/>
      <c r="D70" s="114"/>
      <c r="E70" s="114"/>
      <c r="F70" s="114"/>
      <c r="G70" s="114"/>
      <c r="H70" s="113"/>
      <c r="I70" s="115"/>
      <c r="J70" s="115"/>
      <c r="K70" s="115"/>
      <c r="L70" s="115"/>
      <c r="M70" s="115"/>
      <c r="N70" s="115"/>
      <c r="O70" s="115"/>
      <c r="P70" s="827"/>
      <c r="Q70" s="827"/>
      <c r="R70" s="827"/>
      <c r="S70" s="827"/>
      <c r="T70" s="827"/>
    </row>
    <row r="71" spans="1:20" ht="132" customHeight="1">
      <c r="A71" s="868" t="s">
        <v>44</v>
      </c>
      <c r="B71" s="869" t="s">
        <v>8</v>
      </c>
      <c r="C71" s="870" t="s">
        <v>9</v>
      </c>
      <c r="D71" s="898" t="s">
        <v>45</v>
      </c>
      <c r="E71" s="898" t="s">
        <v>46</v>
      </c>
      <c r="F71" s="898" t="s">
        <v>47</v>
      </c>
      <c r="G71" s="899" t="s">
        <v>48</v>
      </c>
      <c r="H71" s="888" t="s">
        <v>14</v>
      </c>
      <c r="I71" s="889" t="s">
        <v>15</v>
      </c>
      <c r="J71" s="889" t="s">
        <v>16</v>
      </c>
      <c r="K71" s="889" t="s">
        <v>17</v>
      </c>
      <c r="L71" s="889" t="s">
        <v>18</v>
      </c>
      <c r="M71" s="888" t="s">
        <v>19</v>
      </c>
      <c r="N71" s="889" t="s">
        <v>20</v>
      </c>
      <c r="O71" s="889" t="s">
        <v>21</v>
      </c>
    </row>
    <row r="72" spans="1:20" ht="62.25" customHeight="1">
      <c r="A72" s="2435" t="s">
        <v>386</v>
      </c>
      <c r="B72" s="2436"/>
      <c r="C72" s="872">
        <v>2014</v>
      </c>
      <c r="D72" s="872"/>
      <c r="E72" s="872"/>
      <c r="F72" s="872"/>
      <c r="G72" s="897"/>
      <c r="H72" s="849"/>
      <c r="I72" s="849"/>
      <c r="J72" s="849"/>
      <c r="K72" s="849"/>
      <c r="L72" s="849"/>
      <c r="M72" s="849"/>
      <c r="N72" s="849"/>
      <c r="O72" s="849"/>
    </row>
    <row r="73" spans="1:20" ht="112.5" customHeight="1">
      <c r="A73" s="2414" t="s">
        <v>387</v>
      </c>
      <c r="B73" s="2398"/>
      <c r="C73" s="873">
        <v>2015</v>
      </c>
      <c r="D73" s="873"/>
      <c r="E73" s="873"/>
      <c r="F73" s="873"/>
      <c r="G73" s="897"/>
      <c r="H73" s="851"/>
      <c r="I73" s="851"/>
      <c r="J73" s="851"/>
      <c r="K73" s="851"/>
      <c r="L73" s="851"/>
      <c r="M73" s="851"/>
      <c r="N73" s="851"/>
      <c r="O73" s="851"/>
    </row>
    <row r="74" spans="1:20" ht="42" customHeight="1">
      <c r="A74" s="2414" t="s">
        <v>388</v>
      </c>
      <c r="B74" s="2415"/>
      <c r="C74" s="873">
        <v>2016</v>
      </c>
      <c r="D74" s="873">
        <f>624+35</f>
        <v>659</v>
      </c>
      <c r="E74" s="900">
        <v>8</v>
      </c>
      <c r="F74" s="873">
        <v>4</v>
      </c>
      <c r="G74" s="897">
        <f t="shared" ref="G74:G78" si="5">SUM(D74:F74)</f>
        <v>671</v>
      </c>
      <c r="H74" s="851">
        <v>0</v>
      </c>
      <c r="I74" s="851">
        <f>1+1+1+1+1</f>
        <v>5</v>
      </c>
      <c r="J74" s="851">
        <v>0</v>
      </c>
      <c r="K74" s="851">
        <v>0</v>
      </c>
      <c r="L74" s="851">
        <v>0</v>
      </c>
      <c r="M74" s="851">
        <v>0</v>
      </c>
      <c r="N74" s="851">
        <v>0</v>
      </c>
      <c r="O74" s="851">
        <f>624+35+3+1+1+1+1</f>
        <v>666</v>
      </c>
    </row>
    <row r="75" spans="1:20" ht="45" customHeight="1">
      <c r="A75" s="2414" t="s">
        <v>389</v>
      </c>
      <c r="B75" s="2398"/>
      <c r="C75" s="873">
        <v>2017</v>
      </c>
      <c r="D75" s="873">
        <v>520</v>
      </c>
      <c r="E75" s="873">
        <v>0</v>
      </c>
      <c r="F75" s="873">
        <v>3</v>
      </c>
      <c r="G75" s="897">
        <f t="shared" si="5"/>
        <v>523</v>
      </c>
      <c r="H75" s="851">
        <v>0</v>
      </c>
      <c r="I75" s="851">
        <v>0</v>
      </c>
      <c r="J75" s="851">
        <v>0</v>
      </c>
      <c r="K75" s="851">
        <v>0</v>
      </c>
      <c r="L75" s="851">
        <v>0</v>
      </c>
      <c r="M75" s="851">
        <v>0</v>
      </c>
      <c r="N75" s="851">
        <v>0</v>
      </c>
      <c r="O75" s="851">
        <v>523</v>
      </c>
    </row>
    <row r="76" spans="1:20" ht="64.5" customHeight="1">
      <c r="A76" s="2405"/>
      <c r="B76" s="2398"/>
      <c r="C76" s="873">
        <v>2018</v>
      </c>
      <c r="D76" s="873"/>
      <c r="E76" s="873"/>
      <c r="F76" s="873"/>
      <c r="G76" s="897">
        <f t="shared" si="5"/>
        <v>0</v>
      </c>
      <c r="H76" s="851"/>
      <c r="I76" s="851"/>
      <c r="J76" s="851"/>
      <c r="K76" s="851"/>
      <c r="L76" s="851"/>
      <c r="M76" s="851"/>
      <c r="N76" s="851"/>
      <c r="O76" s="851"/>
    </row>
    <row r="77" spans="1:20" ht="93.75" customHeight="1">
      <c r="A77" s="2095" t="s">
        <v>390</v>
      </c>
      <c r="B77" s="2437"/>
      <c r="C77" s="873">
        <v>2019</v>
      </c>
      <c r="D77" s="873"/>
      <c r="E77" s="873"/>
      <c r="F77" s="873"/>
      <c r="G77" s="897">
        <f t="shared" si="5"/>
        <v>0</v>
      </c>
      <c r="H77" s="851"/>
      <c r="I77" s="851"/>
      <c r="J77" s="851"/>
      <c r="K77" s="851"/>
      <c r="L77" s="851"/>
      <c r="M77" s="851"/>
      <c r="N77" s="851"/>
      <c r="O77" s="851"/>
    </row>
    <row r="78" spans="1:20" ht="17.25" customHeight="1">
      <c r="A78" s="2397" t="s">
        <v>391</v>
      </c>
      <c r="B78" s="2438"/>
      <c r="C78" s="873">
        <v>2020</v>
      </c>
      <c r="D78" s="873"/>
      <c r="E78" s="873"/>
      <c r="F78" s="873"/>
      <c r="G78" s="897">
        <f t="shared" si="5"/>
        <v>0</v>
      </c>
      <c r="H78" s="851"/>
      <c r="I78" s="851"/>
      <c r="J78" s="851"/>
      <c r="K78" s="851"/>
      <c r="L78" s="851"/>
      <c r="M78" s="851"/>
      <c r="N78" s="851"/>
      <c r="O78" s="851"/>
    </row>
    <row r="79" spans="1:20" ht="30.75" customHeight="1">
      <c r="A79" s="2439" t="s">
        <v>392</v>
      </c>
      <c r="B79" s="2440"/>
      <c r="C79" s="901" t="s">
        <v>13</v>
      </c>
      <c r="D79" s="896">
        <f>SUM(D72:D78)</f>
        <v>1179</v>
      </c>
      <c r="E79" s="896">
        <f>SUM(E72:E78)</f>
        <v>8</v>
      </c>
      <c r="F79" s="896">
        <f>SUM(F72:F78)</f>
        <v>7</v>
      </c>
      <c r="G79" s="901">
        <f>SUM(G72:G78)</f>
        <v>1194</v>
      </c>
      <c r="H79" s="901">
        <v>0</v>
      </c>
      <c r="I79" s="897">
        <f t="shared" ref="I79:O79" si="6">SUM(I72:I78)</f>
        <v>5</v>
      </c>
      <c r="J79" s="897">
        <f t="shared" si="6"/>
        <v>0</v>
      </c>
      <c r="K79" s="897">
        <f t="shared" si="6"/>
        <v>0</v>
      </c>
      <c r="L79" s="897">
        <f t="shared" si="6"/>
        <v>0</v>
      </c>
      <c r="M79" s="897">
        <f t="shared" si="6"/>
        <v>0</v>
      </c>
      <c r="N79" s="897">
        <f t="shared" si="6"/>
        <v>0</v>
      </c>
      <c r="O79" s="897">
        <f t="shared" si="6"/>
        <v>1189</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c r="A83" s="139"/>
      <c r="B83" s="139"/>
    </row>
    <row r="84" spans="1:16" s="827" customFormat="1" ht="139.5" customHeight="1">
      <c r="A84" s="902" t="s">
        <v>50</v>
      </c>
      <c r="B84" s="903" t="s">
        <v>51</v>
      </c>
      <c r="C84" s="904" t="s">
        <v>9</v>
      </c>
      <c r="D84" s="905" t="s">
        <v>52</v>
      </c>
      <c r="E84" s="906" t="s">
        <v>53</v>
      </c>
      <c r="F84" s="906" t="s">
        <v>54</v>
      </c>
      <c r="G84" s="906" t="s">
        <v>55</v>
      </c>
      <c r="H84" s="906" t="s">
        <v>56</v>
      </c>
      <c r="I84" s="906" t="s">
        <v>57</v>
      </c>
      <c r="J84" s="906" t="s">
        <v>58</v>
      </c>
      <c r="K84" s="906" t="s">
        <v>59</v>
      </c>
    </row>
    <row r="85" spans="1:16" ht="15" customHeight="1">
      <c r="A85" s="2425"/>
      <c r="B85" s="2426"/>
      <c r="C85" s="872">
        <v>2014</v>
      </c>
      <c r="D85" s="849"/>
      <c r="E85" s="849"/>
      <c r="F85" s="849"/>
      <c r="G85" s="849"/>
      <c r="H85" s="849"/>
      <c r="I85" s="849"/>
      <c r="J85" s="849"/>
      <c r="K85" s="849"/>
    </row>
    <row r="86" spans="1:16">
      <c r="A86" s="2427"/>
      <c r="B86" s="2428"/>
      <c r="C86" s="873">
        <v>2015</v>
      </c>
      <c r="D86" s="851"/>
      <c r="E86" s="851"/>
      <c r="F86" s="851"/>
      <c r="G86" s="851"/>
      <c r="H86" s="851"/>
      <c r="I86" s="851"/>
      <c r="J86" s="851"/>
      <c r="K86" s="851"/>
    </row>
    <row r="87" spans="1:16">
      <c r="A87" s="2427"/>
      <c r="B87" s="2428"/>
      <c r="C87" s="873">
        <v>2016</v>
      </c>
      <c r="D87" s="851">
        <v>0</v>
      </c>
      <c r="E87" s="851">
        <v>0</v>
      </c>
      <c r="F87" s="851">
        <v>0</v>
      </c>
      <c r="G87" s="851">
        <v>0</v>
      </c>
      <c r="H87" s="851">
        <v>0</v>
      </c>
      <c r="I87" s="851">
        <v>0</v>
      </c>
      <c r="J87" s="851">
        <v>0</v>
      </c>
      <c r="K87" s="851">
        <v>0</v>
      </c>
    </row>
    <row r="88" spans="1:16">
      <c r="A88" s="2427"/>
      <c r="B88" s="2428"/>
      <c r="C88" s="873">
        <v>2017</v>
      </c>
      <c r="D88" s="851">
        <v>0</v>
      </c>
      <c r="E88" s="851">
        <v>0</v>
      </c>
      <c r="F88" s="851">
        <v>0</v>
      </c>
      <c r="G88" s="851">
        <v>0</v>
      </c>
      <c r="H88" s="851">
        <v>0</v>
      </c>
      <c r="I88" s="851">
        <v>0</v>
      </c>
      <c r="J88" s="851">
        <v>0</v>
      </c>
      <c r="K88" s="851">
        <v>0</v>
      </c>
    </row>
    <row r="89" spans="1:16">
      <c r="A89" s="2427"/>
      <c r="B89" s="2428"/>
      <c r="C89" s="873">
        <v>2018</v>
      </c>
      <c r="D89" s="851"/>
      <c r="E89" s="851"/>
      <c r="F89" s="851"/>
      <c r="G89" s="851"/>
      <c r="H89" s="851"/>
      <c r="I89" s="851"/>
      <c r="J89" s="851"/>
      <c r="K89" s="851"/>
    </row>
    <row r="90" spans="1:16">
      <c r="A90" s="2427"/>
      <c r="B90" s="2428"/>
      <c r="C90" s="873">
        <v>2019</v>
      </c>
      <c r="D90" s="851"/>
      <c r="E90" s="851"/>
      <c r="F90" s="851"/>
      <c r="G90" s="851"/>
      <c r="H90" s="851"/>
      <c r="I90" s="851"/>
      <c r="J90" s="851"/>
      <c r="K90" s="851"/>
    </row>
    <row r="91" spans="1:16">
      <c r="A91" s="2427"/>
      <c r="B91" s="2428"/>
      <c r="C91" s="873">
        <v>2020</v>
      </c>
      <c r="D91" s="851"/>
      <c r="E91" s="851"/>
      <c r="F91" s="851"/>
      <c r="G91" s="851"/>
      <c r="H91" s="851"/>
      <c r="I91" s="851"/>
      <c r="J91" s="851"/>
      <c r="K91" s="851"/>
    </row>
    <row r="92" spans="1:16" ht="18" customHeight="1">
      <c r="A92" s="2429"/>
      <c r="B92" s="2430"/>
      <c r="C92" s="901" t="s">
        <v>13</v>
      </c>
      <c r="D92" s="907">
        <f t="shared" ref="D92:I92" si="7">SUM(D85:D91)</f>
        <v>0</v>
      </c>
      <c r="E92" s="897">
        <f t="shared" si="7"/>
        <v>0</v>
      </c>
      <c r="F92" s="897">
        <f t="shared" si="7"/>
        <v>0</v>
      </c>
      <c r="G92" s="897">
        <f t="shared" si="7"/>
        <v>0</v>
      </c>
      <c r="H92" s="897">
        <f t="shared" si="7"/>
        <v>0</v>
      </c>
      <c r="I92" s="897">
        <f t="shared" si="7"/>
        <v>0</v>
      </c>
      <c r="J92" s="897">
        <f>SUM(J85:J91)</f>
        <v>0</v>
      </c>
      <c r="K92" s="897">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c r="A95" s="154"/>
      <c r="B95" s="154"/>
    </row>
    <row r="96" spans="1:16" ht="29.25" customHeight="1">
      <c r="A96" s="2443" t="s">
        <v>61</v>
      </c>
      <c r="B96" s="2444" t="s">
        <v>62</v>
      </c>
      <c r="C96" s="2446" t="s">
        <v>9</v>
      </c>
      <c r="D96" s="2447" t="s">
        <v>63</v>
      </c>
      <c r="E96" s="2447"/>
      <c r="F96" s="908" t="s">
        <v>64</v>
      </c>
      <c r="G96" s="908"/>
      <c r="H96" s="908"/>
      <c r="I96" s="908"/>
      <c r="J96" s="908"/>
      <c r="K96" s="908"/>
      <c r="L96" s="908"/>
      <c r="M96" s="908"/>
      <c r="N96" s="158"/>
      <c r="O96" s="158"/>
      <c r="P96" s="158"/>
    </row>
    <row r="97" spans="1:16" ht="100.5" customHeight="1">
      <c r="A97" s="2443"/>
      <c r="B97" s="2445"/>
      <c r="C97" s="2446"/>
      <c r="D97" s="909" t="s">
        <v>65</v>
      </c>
      <c r="E97" s="909" t="s">
        <v>66</v>
      </c>
      <c r="F97" s="910" t="s">
        <v>14</v>
      </c>
      <c r="G97" s="911" t="s">
        <v>67</v>
      </c>
      <c r="H97" s="909" t="s">
        <v>55</v>
      </c>
      <c r="I97" s="909" t="s">
        <v>56</v>
      </c>
      <c r="J97" s="909" t="s">
        <v>57</v>
      </c>
      <c r="K97" s="910" t="s">
        <v>68</v>
      </c>
      <c r="L97" s="909" t="s">
        <v>58</v>
      </c>
      <c r="M97" s="909" t="s">
        <v>59</v>
      </c>
      <c r="N97" s="158"/>
      <c r="O97" s="158"/>
      <c r="P97" s="158"/>
    </row>
    <row r="98" spans="1:16" ht="17.25" customHeight="1">
      <c r="A98" s="912" t="s">
        <v>393</v>
      </c>
      <c r="B98" s="2448"/>
      <c r="C98" s="892">
        <v>2014</v>
      </c>
      <c r="D98" s="849"/>
      <c r="E98" s="849"/>
      <c r="F98" s="913"/>
      <c r="G98" s="913"/>
      <c r="H98" s="913"/>
      <c r="I98" s="913"/>
      <c r="J98" s="913"/>
      <c r="K98" s="913"/>
      <c r="L98" s="913"/>
      <c r="M98" s="913"/>
      <c r="N98" s="158"/>
      <c r="O98" s="158"/>
      <c r="P98" s="158"/>
    </row>
    <row r="99" spans="1:16" ht="16.5" customHeight="1">
      <c r="A99" s="914" t="s">
        <v>394</v>
      </c>
      <c r="B99" s="2449"/>
      <c r="C99" s="893">
        <v>2015</v>
      </c>
      <c r="D99" s="851"/>
      <c r="E99" s="851"/>
      <c r="F99" s="915"/>
      <c r="G99" s="915"/>
      <c r="H99" s="915"/>
      <c r="I99" s="915"/>
      <c r="J99" s="915"/>
      <c r="K99" s="915"/>
      <c r="L99" s="915"/>
      <c r="M99" s="915"/>
      <c r="N99" s="158"/>
      <c r="O99" s="158"/>
      <c r="P99" s="158"/>
    </row>
    <row r="100" spans="1:16" ht="16.5" customHeight="1">
      <c r="A100" s="916" t="s">
        <v>395</v>
      </c>
      <c r="B100" s="2449"/>
      <c r="C100" s="893">
        <v>2016</v>
      </c>
      <c r="D100" s="852">
        <v>1</v>
      </c>
      <c r="E100" s="851">
        <f>1+6</f>
        <v>7</v>
      </c>
      <c r="F100" s="915">
        <v>0</v>
      </c>
      <c r="G100" s="915">
        <v>0</v>
      </c>
      <c r="H100" s="915">
        <v>0</v>
      </c>
      <c r="I100" s="915">
        <v>0</v>
      </c>
      <c r="J100" s="915">
        <v>0</v>
      </c>
      <c r="K100" s="915">
        <v>0</v>
      </c>
      <c r="L100" s="915">
        <v>0</v>
      </c>
      <c r="M100" s="915">
        <v>1</v>
      </c>
      <c r="N100" s="158"/>
      <c r="O100" s="158"/>
      <c r="P100" s="158"/>
    </row>
    <row r="101" spans="1:16" ht="14.25" customHeight="1">
      <c r="A101" s="917" t="s">
        <v>396</v>
      </c>
      <c r="B101" s="2449"/>
      <c r="C101" s="893">
        <v>2017</v>
      </c>
      <c r="D101" s="857">
        <v>1</v>
      </c>
      <c r="E101" s="857">
        <v>5</v>
      </c>
      <c r="F101" s="915">
        <v>0</v>
      </c>
      <c r="G101" s="915">
        <v>0</v>
      </c>
      <c r="H101" s="915">
        <v>0</v>
      </c>
      <c r="I101" s="915">
        <v>0</v>
      </c>
      <c r="J101" s="915">
        <v>0</v>
      </c>
      <c r="K101" s="915">
        <v>0</v>
      </c>
      <c r="L101" s="915">
        <v>0</v>
      </c>
      <c r="M101" s="915">
        <v>1</v>
      </c>
      <c r="N101" s="158"/>
      <c r="O101" s="158"/>
      <c r="P101" s="158"/>
    </row>
    <row r="102" spans="1:16" ht="15.75" customHeight="1">
      <c r="A102" s="916" t="s">
        <v>397</v>
      </c>
      <c r="B102" s="2449"/>
      <c r="C102" s="893">
        <v>2018</v>
      </c>
      <c r="D102" s="851"/>
      <c r="E102" s="851"/>
      <c r="F102" s="915"/>
      <c r="G102" s="915"/>
      <c r="H102" s="915"/>
      <c r="I102" s="915"/>
      <c r="J102" s="915"/>
      <c r="K102" s="915"/>
      <c r="L102" s="915"/>
      <c r="M102" s="915"/>
      <c r="N102" s="158"/>
      <c r="O102" s="158"/>
      <c r="P102" s="158"/>
    </row>
    <row r="103" spans="1:16" ht="14.25" customHeight="1">
      <c r="A103" s="918" t="s">
        <v>398</v>
      </c>
      <c r="B103" s="2449"/>
      <c r="C103" s="893">
        <v>2019</v>
      </c>
      <c r="D103" s="851"/>
      <c r="E103" s="851"/>
      <c r="F103" s="915"/>
      <c r="G103" s="915"/>
      <c r="H103" s="915"/>
      <c r="I103" s="915"/>
      <c r="J103" s="915"/>
      <c r="K103" s="915"/>
      <c r="L103" s="915"/>
      <c r="M103" s="915"/>
      <c r="N103" s="158"/>
      <c r="O103" s="158"/>
      <c r="P103" s="158"/>
    </row>
    <row r="104" spans="1:16" ht="14.25" customHeight="1">
      <c r="A104" s="914" t="s">
        <v>399</v>
      </c>
      <c r="B104" s="2449"/>
      <c r="C104" s="893">
        <v>2020</v>
      </c>
      <c r="D104" s="851"/>
      <c r="E104" s="851"/>
      <c r="F104" s="915"/>
      <c r="G104" s="915"/>
      <c r="H104" s="915"/>
      <c r="I104" s="915"/>
      <c r="J104" s="915"/>
      <c r="K104" s="915"/>
      <c r="L104" s="915"/>
      <c r="M104" s="915"/>
      <c r="N104" s="158"/>
      <c r="O104" s="158"/>
      <c r="P104" s="158"/>
    </row>
    <row r="105" spans="1:16" ht="29.25" customHeight="1">
      <c r="A105" s="919" t="s">
        <v>400</v>
      </c>
      <c r="B105" s="2450"/>
      <c r="C105" s="895" t="s">
        <v>13</v>
      </c>
      <c r="D105" s="897">
        <f>SUM(D98:D104)</f>
        <v>2</v>
      </c>
      <c r="E105" s="897">
        <f t="shared" ref="E105:K105" si="8">SUM(E98:E104)</f>
        <v>12</v>
      </c>
      <c r="F105" s="920">
        <f t="shared" si="8"/>
        <v>0</v>
      </c>
      <c r="G105" s="920">
        <f t="shared" si="8"/>
        <v>0</v>
      </c>
      <c r="H105" s="920">
        <f t="shared" si="8"/>
        <v>0</v>
      </c>
      <c r="I105" s="920">
        <f>SUM(I98:I104)</f>
        <v>0</v>
      </c>
      <c r="J105" s="920">
        <f t="shared" si="8"/>
        <v>0</v>
      </c>
      <c r="K105" s="920">
        <f t="shared" si="8"/>
        <v>0</v>
      </c>
      <c r="L105" s="920">
        <f>SUM(L98:L104)</f>
        <v>0</v>
      </c>
      <c r="M105" s="920">
        <f>SUM(M98:M104)</f>
        <v>2</v>
      </c>
      <c r="N105" s="158"/>
      <c r="O105" s="158"/>
      <c r="P105" s="158"/>
    </row>
    <row r="106" spans="1:16">
      <c r="A106" s="921" t="s">
        <v>401</v>
      </c>
      <c r="B106" s="176"/>
      <c r="C106" s="177"/>
      <c r="D106" s="8"/>
      <c r="E106" s="8"/>
      <c r="H106" s="178"/>
      <c r="I106" s="178"/>
      <c r="J106" s="178"/>
      <c r="K106" s="178"/>
      <c r="L106" s="178"/>
      <c r="M106" s="178"/>
      <c r="N106" s="178"/>
    </row>
    <row r="107" spans="1:16" ht="15" customHeight="1">
      <c r="A107" s="2443" t="s">
        <v>69</v>
      </c>
      <c r="B107" s="2444" t="s">
        <v>62</v>
      </c>
      <c r="C107" s="2451" t="s">
        <v>9</v>
      </c>
      <c r="D107" s="2447" t="s">
        <v>70</v>
      </c>
      <c r="E107" s="908" t="s">
        <v>71</v>
      </c>
      <c r="F107" s="908"/>
      <c r="G107" s="908"/>
      <c r="H107" s="908"/>
      <c r="I107" s="908"/>
      <c r="J107" s="908"/>
      <c r="K107" s="908"/>
      <c r="L107" s="908"/>
      <c r="M107" s="178"/>
      <c r="N107" s="178"/>
    </row>
    <row r="108" spans="1:16" ht="103.5" customHeight="1">
      <c r="A108" s="2443"/>
      <c r="B108" s="2445"/>
      <c r="C108" s="2452"/>
      <c r="D108" s="2447"/>
      <c r="E108" s="910" t="s">
        <v>14</v>
      </c>
      <c r="F108" s="911" t="s">
        <v>67</v>
      </c>
      <c r="G108" s="909" t="s">
        <v>55</v>
      </c>
      <c r="H108" s="909" t="s">
        <v>56</v>
      </c>
      <c r="I108" s="909" t="s">
        <v>57</v>
      </c>
      <c r="J108" s="910" t="s">
        <v>68</v>
      </c>
      <c r="K108" s="909" t="s">
        <v>58</v>
      </c>
      <c r="L108" s="909" t="s">
        <v>59</v>
      </c>
      <c r="M108" s="178"/>
      <c r="N108" s="178"/>
    </row>
    <row r="109" spans="1:16">
      <c r="A109" s="2441"/>
      <c r="B109" s="2426"/>
      <c r="C109" s="892">
        <v>2014</v>
      </c>
      <c r="D109" s="849"/>
      <c r="E109" s="913"/>
      <c r="F109" s="913"/>
      <c r="G109" s="913"/>
      <c r="H109" s="913"/>
      <c r="I109" s="913"/>
      <c r="J109" s="913"/>
      <c r="K109" s="913"/>
      <c r="L109" s="913"/>
      <c r="M109" s="178"/>
      <c r="N109" s="178"/>
    </row>
    <row r="110" spans="1:16">
      <c r="A110" s="2239"/>
      <c r="B110" s="2428"/>
      <c r="C110" s="893">
        <v>2015</v>
      </c>
      <c r="D110" s="851"/>
      <c r="E110" s="915"/>
      <c r="F110" s="915"/>
      <c r="G110" s="915"/>
      <c r="H110" s="915"/>
      <c r="I110" s="915"/>
      <c r="J110" s="915"/>
      <c r="K110" s="915"/>
      <c r="L110" s="915"/>
      <c r="M110" s="178"/>
      <c r="N110" s="178"/>
    </row>
    <row r="111" spans="1:16">
      <c r="A111" s="2239"/>
      <c r="B111" s="2428"/>
      <c r="C111" s="893">
        <v>2016</v>
      </c>
      <c r="D111" s="851">
        <v>0</v>
      </c>
      <c r="E111" s="915">
        <v>0</v>
      </c>
      <c r="F111" s="915">
        <v>0</v>
      </c>
      <c r="G111" s="915">
        <v>0</v>
      </c>
      <c r="H111" s="915">
        <v>0</v>
      </c>
      <c r="I111" s="915">
        <v>0</v>
      </c>
      <c r="J111" s="915">
        <v>0</v>
      </c>
      <c r="K111" s="915">
        <v>0</v>
      </c>
      <c r="L111" s="915">
        <v>0</v>
      </c>
      <c r="M111" s="178"/>
      <c r="N111" s="178"/>
    </row>
    <row r="112" spans="1:16">
      <c r="A112" s="2239"/>
      <c r="B112" s="2428"/>
      <c r="C112" s="893">
        <v>2017</v>
      </c>
      <c r="D112" s="851">
        <v>0</v>
      </c>
      <c r="E112" s="915">
        <v>0</v>
      </c>
      <c r="F112" s="915">
        <v>0</v>
      </c>
      <c r="G112" s="915">
        <v>0</v>
      </c>
      <c r="H112" s="915">
        <v>0</v>
      </c>
      <c r="I112" s="915">
        <v>0</v>
      </c>
      <c r="J112" s="915">
        <v>0</v>
      </c>
      <c r="K112" s="915">
        <v>0</v>
      </c>
      <c r="L112" s="915">
        <v>0</v>
      </c>
      <c r="M112" s="178"/>
      <c r="N112" s="178"/>
    </row>
    <row r="113" spans="1:14">
      <c r="A113" s="2239"/>
      <c r="B113" s="2428"/>
      <c r="C113" s="893">
        <v>2018</v>
      </c>
      <c r="D113" s="851"/>
      <c r="E113" s="915"/>
      <c r="F113" s="915"/>
      <c r="G113" s="915"/>
      <c r="H113" s="915"/>
      <c r="I113" s="915"/>
      <c r="J113" s="915"/>
      <c r="K113" s="915"/>
      <c r="L113" s="915"/>
      <c r="M113" s="178"/>
      <c r="N113" s="178"/>
    </row>
    <row r="114" spans="1:14">
      <c r="A114" s="2239"/>
      <c r="B114" s="2428"/>
      <c r="C114" s="893">
        <v>2019</v>
      </c>
      <c r="D114" s="851"/>
      <c r="E114" s="915"/>
      <c r="F114" s="915"/>
      <c r="G114" s="915"/>
      <c r="H114" s="915"/>
      <c r="I114" s="915"/>
      <c r="J114" s="915"/>
      <c r="K114" s="915"/>
      <c r="L114" s="915"/>
      <c r="M114" s="178"/>
      <c r="N114" s="178"/>
    </row>
    <row r="115" spans="1:14">
      <c r="A115" s="2239"/>
      <c r="B115" s="2428"/>
      <c r="C115" s="893">
        <v>2020</v>
      </c>
      <c r="D115" s="851"/>
      <c r="E115" s="915"/>
      <c r="F115" s="915"/>
      <c r="G115" s="915"/>
      <c r="H115" s="915"/>
      <c r="I115" s="915"/>
      <c r="J115" s="915"/>
      <c r="K115" s="915"/>
      <c r="L115" s="915"/>
      <c r="M115" s="178"/>
      <c r="N115" s="178"/>
    </row>
    <row r="116" spans="1:14" ht="18" customHeight="1">
      <c r="A116" s="2442"/>
      <c r="B116" s="2430"/>
      <c r="C116" s="895" t="s">
        <v>13</v>
      </c>
      <c r="D116" s="897">
        <f t="shared" ref="D116:I116" si="9">SUM(D109:D115)</f>
        <v>0</v>
      </c>
      <c r="E116" s="920">
        <f t="shared" si="9"/>
        <v>0</v>
      </c>
      <c r="F116" s="920">
        <f t="shared" si="9"/>
        <v>0</v>
      </c>
      <c r="G116" s="920">
        <f t="shared" si="9"/>
        <v>0</v>
      </c>
      <c r="H116" s="920">
        <f t="shared" si="9"/>
        <v>0</v>
      </c>
      <c r="I116" s="920">
        <f t="shared" si="9"/>
        <v>0</v>
      </c>
      <c r="J116" s="920"/>
      <c r="K116" s="920">
        <f>SUM(K109:K115)</f>
        <v>0</v>
      </c>
      <c r="L116" s="920">
        <f>SUM(L109:L115)</f>
        <v>0</v>
      </c>
      <c r="M116" s="178"/>
      <c r="N116" s="178"/>
    </row>
    <row r="117" spans="1:14" ht="21">
      <c r="A117" s="179"/>
      <c r="B117" s="180"/>
      <c r="C117" s="66"/>
      <c r="D117" s="66"/>
      <c r="E117" s="66"/>
      <c r="F117" s="66"/>
      <c r="G117" s="66"/>
      <c r="H117" s="66"/>
      <c r="I117" s="66"/>
      <c r="J117" s="66"/>
      <c r="K117" s="66"/>
      <c r="L117" s="66"/>
      <c r="M117" s="178"/>
      <c r="N117" s="178"/>
    </row>
    <row r="118" spans="1:14" ht="15" customHeight="1">
      <c r="A118" s="2443" t="s">
        <v>72</v>
      </c>
      <c r="B118" s="2444" t="s">
        <v>62</v>
      </c>
      <c r="C118" s="2446" t="s">
        <v>9</v>
      </c>
      <c r="D118" s="2447" t="s">
        <v>73</v>
      </c>
      <c r="E118" s="908" t="s">
        <v>71</v>
      </c>
      <c r="F118" s="908"/>
      <c r="G118" s="908"/>
      <c r="H118" s="908"/>
      <c r="I118" s="908"/>
      <c r="J118" s="908"/>
      <c r="K118" s="908"/>
      <c r="L118" s="908"/>
      <c r="M118" s="178"/>
      <c r="N118" s="178"/>
    </row>
    <row r="119" spans="1:14" ht="120.75" customHeight="1">
      <c r="A119" s="2443"/>
      <c r="B119" s="2445"/>
      <c r="C119" s="2446"/>
      <c r="D119" s="2447"/>
      <c r="E119" s="910" t="s">
        <v>14</v>
      </c>
      <c r="F119" s="911" t="s">
        <v>67</v>
      </c>
      <c r="G119" s="909" t="s">
        <v>55</v>
      </c>
      <c r="H119" s="909" t="s">
        <v>56</v>
      </c>
      <c r="I119" s="909" t="s">
        <v>57</v>
      </c>
      <c r="J119" s="910" t="s">
        <v>68</v>
      </c>
      <c r="K119" s="909" t="s">
        <v>58</v>
      </c>
      <c r="L119" s="909" t="s">
        <v>59</v>
      </c>
      <c r="M119" s="178"/>
      <c r="N119" s="178"/>
    </row>
    <row r="120" spans="1:14">
      <c r="A120" s="2441"/>
      <c r="B120" s="2426"/>
      <c r="C120" s="892">
        <v>2014</v>
      </c>
      <c r="D120" s="849"/>
      <c r="E120" s="913"/>
      <c r="F120" s="913"/>
      <c r="G120" s="913"/>
      <c r="H120" s="913"/>
      <c r="I120" s="913"/>
      <c r="J120" s="913"/>
      <c r="K120" s="913"/>
      <c r="L120" s="913"/>
      <c r="M120" s="178"/>
      <c r="N120" s="178"/>
    </row>
    <row r="121" spans="1:14">
      <c r="A121" s="2239"/>
      <c r="B121" s="2428"/>
      <c r="C121" s="893">
        <v>2015</v>
      </c>
      <c r="D121" s="851"/>
      <c r="E121" s="915"/>
      <c r="F121" s="915"/>
      <c r="G121" s="915"/>
      <c r="H121" s="915"/>
      <c r="I121" s="915"/>
      <c r="J121" s="915"/>
      <c r="K121" s="915"/>
      <c r="L121" s="915"/>
      <c r="M121" s="178"/>
      <c r="N121" s="178"/>
    </row>
    <row r="122" spans="1:14">
      <c r="A122" s="2239"/>
      <c r="B122" s="2428"/>
      <c r="C122" s="893">
        <v>2016</v>
      </c>
      <c r="D122" s="851">
        <v>0</v>
      </c>
      <c r="E122" s="915">
        <v>0</v>
      </c>
      <c r="F122" s="915">
        <v>0</v>
      </c>
      <c r="G122" s="915">
        <v>0</v>
      </c>
      <c r="H122" s="915">
        <v>0</v>
      </c>
      <c r="I122" s="915">
        <v>0</v>
      </c>
      <c r="J122" s="915">
        <v>0</v>
      </c>
      <c r="K122" s="915">
        <v>0</v>
      </c>
      <c r="L122" s="915">
        <v>0</v>
      </c>
      <c r="M122" s="178"/>
      <c r="N122" s="178"/>
    </row>
    <row r="123" spans="1:14">
      <c r="A123" s="2239"/>
      <c r="B123" s="2428"/>
      <c r="C123" s="893">
        <v>2017</v>
      </c>
      <c r="D123" s="851">
        <v>0</v>
      </c>
      <c r="E123" s="915">
        <v>0</v>
      </c>
      <c r="F123" s="915">
        <v>0</v>
      </c>
      <c r="G123" s="915">
        <v>0</v>
      </c>
      <c r="H123" s="915">
        <v>0</v>
      </c>
      <c r="I123" s="915">
        <v>0</v>
      </c>
      <c r="J123" s="915">
        <v>0</v>
      </c>
      <c r="K123" s="915">
        <v>0</v>
      </c>
      <c r="L123" s="915">
        <v>0</v>
      </c>
      <c r="M123" s="178"/>
      <c r="N123" s="178"/>
    </row>
    <row r="124" spans="1:14">
      <c r="A124" s="2239"/>
      <c r="B124" s="2428"/>
      <c r="C124" s="893">
        <v>2018</v>
      </c>
      <c r="D124" s="851"/>
      <c r="E124" s="915"/>
      <c r="F124" s="915"/>
      <c r="G124" s="915"/>
      <c r="H124" s="915"/>
      <c r="I124" s="915"/>
      <c r="J124" s="915"/>
      <c r="K124" s="915"/>
      <c r="L124" s="915"/>
      <c r="M124" s="178"/>
      <c r="N124" s="178"/>
    </row>
    <row r="125" spans="1:14">
      <c r="A125" s="2239"/>
      <c r="B125" s="2428"/>
      <c r="C125" s="893">
        <v>2019</v>
      </c>
      <c r="D125" s="851"/>
      <c r="E125" s="915"/>
      <c r="F125" s="915"/>
      <c r="G125" s="915"/>
      <c r="H125" s="915"/>
      <c r="I125" s="915"/>
      <c r="J125" s="915"/>
      <c r="K125" s="915"/>
      <c r="L125" s="915"/>
      <c r="M125" s="178"/>
      <c r="N125" s="178"/>
    </row>
    <row r="126" spans="1:14">
      <c r="A126" s="2239"/>
      <c r="B126" s="2428"/>
      <c r="C126" s="893">
        <v>2020</v>
      </c>
      <c r="D126" s="851"/>
      <c r="E126" s="915"/>
      <c r="F126" s="915"/>
      <c r="G126" s="915"/>
      <c r="H126" s="915"/>
      <c r="I126" s="915"/>
      <c r="J126" s="915"/>
      <c r="K126" s="915"/>
      <c r="L126" s="915"/>
      <c r="M126" s="178"/>
      <c r="N126" s="178"/>
    </row>
    <row r="127" spans="1:14">
      <c r="A127" s="2442"/>
      <c r="B127" s="2430"/>
      <c r="C127" s="895" t="s">
        <v>13</v>
      </c>
      <c r="D127" s="897">
        <f t="shared" ref="D127:I127" si="10">SUM(D120:D126)</f>
        <v>0</v>
      </c>
      <c r="E127" s="920">
        <f t="shared" si="10"/>
        <v>0</v>
      </c>
      <c r="F127" s="920">
        <f t="shared" si="10"/>
        <v>0</v>
      </c>
      <c r="G127" s="920">
        <f t="shared" si="10"/>
        <v>0</v>
      </c>
      <c r="H127" s="920">
        <f t="shared" si="10"/>
        <v>0</v>
      </c>
      <c r="I127" s="920">
        <f t="shared" si="10"/>
        <v>0</v>
      </c>
      <c r="J127" s="920"/>
      <c r="K127" s="920">
        <f>SUM(K120:K126)</f>
        <v>0</v>
      </c>
      <c r="L127" s="920">
        <f>SUM(L120:L126)</f>
        <v>0</v>
      </c>
      <c r="M127" s="178"/>
      <c r="N127" s="178"/>
    </row>
    <row r="128" spans="1:14">
      <c r="A128" s="176"/>
      <c r="B128" s="176"/>
      <c r="C128" s="177"/>
      <c r="D128" s="8"/>
      <c r="E128" s="8"/>
      <c r="H128" s="178"/>
      <c r="I128" s="178"/>
      <c r="J128" s="178"/>
      <c r="K128" s="178"/>
      <c r="L128" s="178"/>
      <c r="M128" s="178"/>
      <c r="N128" s="178"/>
    </row>
    <row r="129" spans="1:16" ht="15" customHeight="1">
      <c r="A129" s="2443" t="s">
        <v>75</v>
      </c>
      <c r="B129" s="2444" t="s">
        <v>62</v>
      </c>
      <c r="C129" s="2451" t="s">
        <v>9</v>
      </c>
      <c r="D129" s="922" t="s">
        <v>76</v>
      </c>
      <c r="E129" s="922"/>
      <c r="F129" s="922"/>
      <c r="G129" s="922"/>
      <c r="H129" s="178"/>
      <c r="I129" s="178"/>
      <c r="J129" s="178"/>
      <c r="K129" s="178"/>
      <c r="L129" s="178"/>
      <c r="M129" s="178"/>
      <c r="N129" s="178"/>
    </row>
    <row r="130" spans="1:16" ht="77.25" customHeight="1">
      <c r="A130" s="2443"/>
      <c r="B130" s="2445"/>
      <c r="C130" s="2452"/>
      <c r="D130" s="909" t="s">
        <v>77</v>
      </c>
      <c r="E130" s="923" t="s">
        <v>78</v>
      </c>
      <c r="F130" s="909" t="s">
        <v>79</v>
      </c>
      <c r="G130" s="924" t="s">
        <v>13</v>
      </c>
      <c r="H130" s="178"/>
      <c r="I130" s="178"/>
      <c r="J130" s="178"/>
      <c r="K130" s="178"/>
      <c r="L130" s="178"/>
      <c r="M130" s="178"/>
      <c r="N130" s="178"/>
    </row>
    <row r="131" spans="1:16" ht="15" customHeight="1">
      <c r="A131" s="925" t="s">
        <v>402</v>
      </c>
      <c r="B131" s="926"/>
      <c r="C131" s="894">
        <v>2015</v>
      </c>
      <c r="D131" s="859"/>
      <c r="E131" s="852"/>
      <c r="F131" s="852"/>
      <c r="G131" s="920"/>
      <c r="H131" s="178"/>
      <c r="I131" s="178"/>
      <c r="J131" s="178"/>
      <c r="K131" s="178"/>
      <c r="L131" s="178"/>
      <c r="M131" s="178"/>
      <c r="N131" s="178"/>
    </row>
    <row r="132" spans="1:16" ht="29.25" customHeight="1">
      <c r="A132" s="854" t="s">
        <v>403</v>
      </c>
      <c r="B132" s="927"/>
      <c r="C132" s="893">
        <v>2016</v>
      </c>
      <c r="D132" s="859">
        <v>60</v>
      </c>
      <c r="E132" s="851">
        <v>0</v>
      </c>
      <c r="F132" s="851">
        <v>0</v>
      </c>
      <c r="G132" s="920">
        <f t="shared" ref="G132:G136" si="11">SUM(D132:F132)</f>
        <v>60</v>
      </c>
      <c r="H132" s="178"/>
      <c r="I132" s="178"/>
      <c r="J132" s="178"/>
      <c r="K132" s="178"/>
      <c r="L132" s="178"/>
      <c r="M132" s="178"/>
      <c r="N132" s="178"/>
    </row>
    <row r="133" spans="1:16">
      <c r="A133" s="928"/>
      <c r="B133" s="927"/>
      <c r="C133" s="893">
        <v>2017</v>
      </c>
      <c r="D133" s="851">
        <v>52</v>
      </c>
      <c r="E133" s="851">
        <v>0</v>
      </c>
      <c r="F133" s="851">
        <v>0</v>
      </c>
      <c r="G133" s="920">
        <f t="shared" si="11"/>
        <v>52</v>
      </c>
      <c r="H133" s="178"/>
      <c r="I133" s="178"/>
      <c r="J133" s="178"/>
      <c r="K133" s="178"/>
      <c r="L133" s="178"/>
      <c r="M133" s="178"/>
      <c r="N133" s="178"/>
    </row>
    <row r="134" spans="1:16">
      <c r="A134" s="854"/>
      <c r="B134" s="927"/>
      <c r="C134" s="893">
        <v>2018</v>
      </c>
      <c r="D134" s="851"/>
      <c r="E134" s="851"/>
      <c r="F134" s="851"/>
      <c r="G134" s="920">
        <f t="shared" si="11"/>
        <v>0</v>
      </c>
      <c r="H134" s="178"/>
      <c r="I134" s="178"/>
      <c r="J134" s="178"/>
      <c r="K134" s="178"/>
      <c r="L134" s="178"/>
      <c r="M134" s="178"/>
      <c r="N134" s="178"/>
    </row>
    <row r="135" spans="1:16">
      <c r="A135" s="854"/>
      <c r="B135" s="927"/>
      <c r="C135" s="893">
        <v>2019</v>
      </c>
      <c r="D135" s="851"/>
      <c r="E135" s="851"/>
      <c r="F135" s="851"/>
      <c r="G135" s="920">
        <f t="shared" si="11"/>
        <v>0</v>
      </c>
      <c r="H135" s="178"/>
      <c r="I135" s="178"/>
      <c r="J135" s="178"/>
      <c r="K135" s="178"/>
      <c r="L135" s="178"/>
      <c r="M135" s="178"/>
      <c r="N135" s="178"/>
    </row>
    <row r="136" spans="1:16">
      <c r="A136" s="928"/>
      <c r="B136" s="927"/>
      <c r="C136" s="893">
        <v>2020</v>
      </c>
      <c r="D136" s="851"/>
      <c r="E136" s="851"/>
      <c r="F136" s="851"/>
      <c r="G136" s="920">
        <f t="shared" si="11"/>
        <v>0</v>
      </c>
      <c r="H136" s="178"/>
      <c r="I136" s="178"/>
      <c r="J136" s="178"/>
      <c r="K136" s="178"/>
      <c r="L136" s="178"/>
      <c r="M136" s="178"/>
      <c r="N136" s="178"/>
    </row>
    <row r="137" spans="1:16" ht="17.25" customHeight="1">
      <c r="A137" s="929"/>
      <c r="B137" s="930"/>
      <c r="C137" s="895" t="s">
        <v>13</v>
      </c>
      <c r="D137" s="897">
        <f>SUM(D131:D136)</f>
        <v>112</v>
      </c>
      <c r="E137" s="897">
        <f t="shared" ref="E137:F137" si="12">SUM(E131:E136)</f>
        <v>0</v>
      </c>
      <c r="F137" s="897">
        <f t="shared" si="12"/>
        <v>0</v>
      </c>
      <c r="G137" s="931">
        <f>SUM(G131:G136)</f>
        <v>112</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c r="A141" s="199"/>
      <c r="B141" s="112"/>
      <c r="C141" s="134"/>
      <c r="D141" s="77"/>
      <c r="E141" s="77"/>
      <c r="F141" s="77"/>
      <c r="G141" s="77"/>
      <c r="H141" s="77"/>
      <c r="I141" s="158"/>
      <c r="J141" s="158"/>
      <c r="K141" s="158"/>
      <c r="L141" s="158"/>
      <c r="M141" s="158"/>
      <c r="N141" s="158"/>
      <c r="O141" s="158"/>
      <c r="P141" s="158"/>
    </row>
    <row r="142" spans="1:16" ht="21.75" customHeight="1">
      <c r="A142" s="2453" t="s">
        <v>81</v>
      </c>
      <c r="B142" s="2454" t="s">
        <v>62</v>
      </c>
      <c r="C142" s="2455" t="s">
        <v>9</v>
      </c>
      <c r="D142" s="932" t="s">
        <v>82</v>
      </c>
      <c r="E142" s="932"/>
      <c r="F142" s="932"/>
      <c r="G142" s="932"/>
      <c r="H142" s="932"/>
      <c r="I142" s="932"/>
      <c r="J142" s="2458" t="s">
        <v>83</v>
      </c>
      <c r="K142" s="2458"/>
      <c r="L142" s="2458"/>
      <c r="M142" s="2458"/>
      <c r="N142" s="2458"/>
      <c r="O142" s="158"/>
      <c r="P142" s="158"/>
    </row>
    <row r="143" spans="1:16" ht="148.5" customHeight="1">
      <c r="A143" s="2453"/>
      <c r="B143" s="2454"/>
      <c r="C143" s="2455"/>
      <c r="D143" s="933" t="s">
        <v>84</v>
      </c>
      <c r="E143" s="934" t="s">
        <v>85</v>
      </c>
      <c r="F143" s="933" t="s">
        <v>86</v>
      </c>
      <c r="G143" s="933" t="s">
        <v>87</v>
      </c>
      <c r="H143" s="933" t="s">
        <v>88</v>
      </c>
      <c r="I143" s="933" t="s">
        <v>89</v>
      </c>
      <c r="J143" s="935" t="s">
        <v>90</v>
      </c>
      <c r="K143" s="936" t="s">
        <v>91</v>
      </c>
      <c r="L143" s="935" t="s">
        <v>92</v>
      </c>
      <c r="M143" s="936" t="s">
        <v>91</v>
      </c>
      <c r="N143" s="935" t="s">
        <v>93</v>
      </c>
      <c r="O143" s="158"/>
      <c r="P143" s="158"/>
    </row>
    <row r="144" spans="1:16" ht="19.5" customHeight="1">
      <c r="A144" s="2441"/>
      <c r="B144" s="2426"/>
      <c r="C144" s="892">
        <v>2014</v>
      </c>
      <c r="D144" s="849"/>
      <c r="E144" s="849"/>
      <c r="F144" s="849"/>
      <c r="G144" s="913"/>
      <c r="H144" s="913"/>
      <c r="I144" s="920"/>
      <c r="J144" s="913"/>
      <c r="K144" s="913"/>
      <c r="L144" s="913"/>
      <c r="M144" s="913"/>
      <c r="N144" s="913"/>
      <c r="O144" s="158"/>
      <c r="P144" s="158"/>
    </row>
    <row r="145" spans="1:16" ht="19.5" customHeight="1">
      <c r="A145" s="2239"/>
      <c r="B145" s="2428"/>
      <c r="C145" s="893">
        <v>2015</v>
      </c>
      <c r="D145" s="851"/>
      <c r="E145" s="851"/>
      <c r="F145" s="851"/>
      <c r="G145" s="915"/>
      <c r="H145" s="915"/>
      <c r="I145" s="920"/>
      <c r="J145" s="915"/>
      <c r="K145" s="915"/>
      <c r="L145" s="915"/>
      <c r="M145" s="915"/>
      <c r="N145" s="915"/>
      <c r="O145" s="158"/>
      <c r="P145" s="158"/>
    </row>
    <row r="146" spans="1:16" ht="20.25" customHeight="1">
      <c r="A146" s="2239"/>
      <c r="B146" s="2428"/>
      <c r="C146" s="893">
        <v>2016</v>
      </c>
      <c r="D146" s="851">
        <v>0</v>
      </c>
      <c r="E146" s="851">
        <v>0</v>
      </c>
      <c r="F146" s="851">
        <v>0</v>
      </c>
      <c r="G146" s="915">
        <v>0</v>
      </c>
      <c r="H146" s="915">
        <v>0</v>
      </c>
      <c r="I146" s="920">
        <v>0</v>
      </c>
      <c r="J146" s="915">
        <v>0</v>
      </c>
      <c r="K146" s="915">
        <v>0</v>
      </c>
      <c r="L146" s="915">
        <v>0</v>
      </c>
      <c r="M146" s="915">
        <v>0</v>
      </c>
      <c r="N146" s="915">
        <v>0</v>
      </c>
      <c r="O146" s="158"/>
      <c r="P146" s="158"/>
    </row>
    <row r="147" spans="1:16" ht="17.25" customHeight="1">
      <c r="A147" s="2239"/>
      <c r="B147" s="2428"/>
      <c r="C147" s="893">
        <v>2017</v>
      </c>
      <c r="D147" s="851">
        <v>0</v>
      </c>
      <c r="E147" s="851">
        <v>0</v>
      </c>
      <c r="F147" s="851">
        <v>0</v>
      </c>
      <c r="G147" s="915">
        <v>0</v>
      </c>
      <c r="H147" s="915">
        <v>0</v>
      </c>
      <c r="I147" s="920">
        <v>0</v>
      </c>
      <c r="J147" s="915">
        <v>0</v>
      </c>
      <c r="K147" s="915">
        <v>0</v>
      </c>
      <c r="L147" s="915">
        <v>0</v>
      </c>
      <c r="M147" s="915">
        <v>0</v>
      </c>
      <c r="N147" s="915">
        <v>0</v>
      </c>
      <c r="O147" s="158"/>
      <c r="P147" s="158"/>
    </row>
    <row r="148" spans="1:16" ht="19.5" customHeight="1">
      <c r="A148" s="2239"/>
      <c r="B148" s="2428"/>
      <c r="C148" s="893">
        <v>2018</v>
      </c>
      <c r="D148" s="851"/>
      <c r="E148" s="851"/>
      <c r="F148" s="851"/>
      <c r="G148" s="915"/>
      <c r="H148" s="915"/>
      <c r="I148" s="920">
        <f t="shared" ref="I148:I150" si="13">D148+F148+G148+H148</f>
        <v>0</v>
      </c>
      <c r="J148" s="915"/>
      <c r="K148" s="915"/>
      <c r="L148" s="915"/>
      <c r="M148" s="915"/>
      <c r="N148" s="915"/>
      <c r="O148" s="158"/>
      <c r="P148" s="158"/>
    </row>
    <row r="149" spans="1:16" ht="19.5" customHeight="1">
      <c r="A149" s="2239"/>
      <c r="B149" s="2428"/>
      <c r="C149" s="893">
        <v>2019</v>
      </c>
      <c r="D149" s="851"/>
      <c r="E149" s="851"/>
      <c r="F149" s="851"/>
      <c r="G149" s="915"/>
      <c r="H149" s="915"/>
      <c r="I149" s="920">
        <f t="shared" si="13"/>
        <v>0</v>
      </c>
      <c r="J149" s="915"/>
      <c r="K149" s="915"/>
      <c r="L149" s="915"/>
      <c r="M149" s="915"/>
      <c r="N149" s="915"/>
      <c r="O149" s="158"/>
      <c r="P149" s="158"/>
    </row>
    <row r="150" spans="1:16" ht="18.75" customHeight="1">
      <c r="A150" s="2239"/>
      <c r="B150" s="2428"/>
      <c r="C150" s="893">
        <v>2020</v>
      </c>
      <c r="D150" s="851"/>
      <c r="E150" s="851"/>
      <c r="F150" s="851"/>
      <c r="G150" s="915"/>
      <c r="H150" s="915"/>
      <c r="I150" s="920">
        <f t="shared" si="13"/>
        <v>0</v>
      </c>
      <c r="J150" s="915"/>
      <c r="K150" s="915"/>
      <c r="L150" s="915"/>
      <c r="M150" s="915"/>
      <c r="N150" s="915"/>
      <c r="O150" s="158"/>
      <c r="P150" s="158"/>
    </row>
    <row r="151" spans="1:16" ht="18" customHeight="1">
      <c r="A151" s="2459"/>
      <c r="B151" s="2430"/>
      <c r="C151" s="895" t="s">
        <v>13</v>
      </c>
      <c r="D151" s="897">
        <f>SUM(D144:D150)</f>
        <v>0</v>
      </c>
      <c r="E151" s="897">
        <f t="shared" ref="E151:I151" si="14">SUM(E144:E150)</f>
        <v>0</v>
      </c>
      <c r="F151" s="897">
        <f t="shared" si="14"/>
        <v>0</v>
      </c>
      <c r="G151" s="897">
        <f t="shared" si="14"/>
        <v>0</v>
      </c>
      <c r="H151" s="897">
        <f t="shared" si="14"/>
        <v>0</v>
      </c>
      <c r="I151" s="897">
        <f t="shared" si="14"/>
        <v>0</v>
      </c>
      <c r="J151" s="920">
        <f>SUM(J144:J150)</f>
        <v>0</v>
      </c>
      <c r="K151" s="920">
        <f>SUM(K144:K150)</f>
        <v>0</v>
      </c>
      <c r="L151" s="920">
        <f>SUM(L144:L150)</f>
        <v>0</v>
      </c>
      <c r="M151" s="920">
        <f>SUM(M144:M150)</f>
        <v>0</v>
      </c>
      <c r="N151" s="920">
        <f>SUM(N144:N150)</f>
        <v>0</v>
      </c>
      <c r="O151" s="158"/>
      <c r="P151" s="158"/>
    </row>
    <row r="152" spans="1:16" ht="27" customHeight="1">
      <c r="B152" s="221"/>
      <c r="O152" s="158"/>
      <c r="P152" s="158"/>
    </row>
    <row r="153" spans="1:16" ht="42.75" customHeight="1">
      <c r="A153" s="2453" t="s">
        <v>94</v>
      </c>
      <c r="B153" s="2454" t="s">
        <v>62</v>
      </c>
      <c r="C153" s="2458" t="s">
        <v>9</v>
      </c>
      <c r="D153" s="932" t="s">
        <v>95</v>
      </c>
      <c r="E153" s="932"/>
      <c r="F153" s="932"/>
      <c r="G153" s="932"/>
      <c r="H153" s="932" t="s">
        <v>96</v>
      </c>
      <c r="I153" s="932"/>
      <c r="J153" s="932"/>
      <c r="K153" s="827"/>
      <c r="L153" s="827"/>
      <c r="M153" s="827"/>
      <c r="N153" s="827"/>
      <c r="O153" s="158"/>
      <c r="P153" s="158"/>
    </row>
    <row r="154" spans="1:16" ht="49.5" customHeight="1">
      <c r="A154" s="2453"/>
      <c r="B154" s="2454"/>
      <c r="C154" s="2458"/>
      <c r="D154" s="935" t="s">
        <v>97</v>
      </c>
      <c r="E154" s="935" t="s">
        <v>98</v>
      </c>
      <c r="F154" s="935" t="s">
        <v>99</v>
      </c>
      <c r="G154" s="933" t="s">
        <v>100</v>
      </c>
      <c r="H154" s="935" t="s">
        <v>101</v>
      </c>
      <c r="I154" s="935" t="s">
        <v>102</v>
      </c>
      <c r="J154" s="935" t="s">
        <v>93</v>
      </c>
      <c r="K154" s="827"/>
      <c r="L154" s="827"/>
      <c r="M154" s="827"/>
      <c r="N154" s="827"/>
      <c r="O154" s="158"/>
      <c r="P154" s="158"/>
    </row>
    <row r="155" spans="1:16" ht="18.75" customHeight="1">
      <c r="A155" s="2441"/>
      <c r="B155" s="2426"/>
      <c r="C155" s="892">
        <v>2014</v>
      </c>
      <c r="D155" s="913"/>
      <c r="E155" s="913"/>
      <c r="F155" s="913"/>
      <c r="G155" s="920"/>
      <c r="H155" s="913"/>
      <c r="I155" s="913"/>
      <c r="J155" s="913"/>
      <c r="O155" s="158"/>
      <c r="P155" s="158"/>
    </row>
    <row r="156" spans="1:16" ht="19.5" customHeight="1">
      <c r="A156" s="2239"/>
      <c r="B156" s="2428"/>
      <c r="C156" s="893">
        <v>2015</v>
      </c>
      <c r="D156" s="915"/>
      <c r="E156" s="915"/>
      <c r="F156" s="915"/>
      <c r="G156" s="920"/>
      <c r="H156" s="915"/>
      <c r="I156" s="915"/>
      <c r="J156" s="915"/>
      <c r="O156" s="158"/>
      <c r="P156" s="158"/>
    </row>
    <row r="157" spans="1:16" ht="17.25" customHeight="1">
      <c r="A157" s="2239"/>
      <c r="B157" s="2428"/>
      <c r="C157" s="893">
        <v>2016</v>
      </c>
      <c r="D157" s="915">
        <v>0</v>
      </c>
      <c r="E157" s="915">
        <v>0</v>
      </c>
      <c r="F157" s="915">
        <v>0</v>
      </c>
      <c r="G157" s="920">
        <f t="shared" ref="G157:G161" si="15">SUM(D157:F157)</f>
        <v>0</v>
      </c>
      <c r="H157" s="915">
        <v>0</v>
      </c>
      <c r="I157" s="915">
        <v>0</v>
      </c>
      <c r="J157" s="915">
        <v>0</v>
      </c>
      <c r="O157" s="158"/>
      <c r="P157" s="158"/>
    </row>
    <row r="158" spans="1:16" ht="15" customHeight="1">
      <c r="A158" s="2239"/>
      <c r="B158" s="2428"/>
      <c r="C158" s="893">
        <v>2017</v>
      </c>
      <c r="D158" s="915">
        <v>0</v>
      </c>
      <c r="E158" s="915">
        <v>0</v>
      </c>
      <c r="F158" s="915">
        <v>0</v>
      </c>
      <c r="G158" s="920">
        <v>0</v>
      </c>
      <c r="H158" s="915">
        <v>0</v>
      </c>
      <c r="I158" s="915">
        <v>0</v>
      </c>
      <c r="J158" s="915">
        <v>0</v>
      </c>
      <c r="O158" s="158"/>
      <c r="P158" s="158"/>
    </row>
    <row r="159" spans="1:16" ht="19.5" customHeight="1">
      <c r="A159" s="2239"/>
      <c r="B159" s="2428"/>
      <c r="C159" s="893">
        <v>2018</v>
      </c>
      <c r="D159" s="915"/>
      <c r="E159" s="915"/>
      <c r="F159" s="915"/>
      <c r="G159" s="920">
        <f t="shared" si="15"/>
        <v>0</v>
      </c>
      <c r="H159" s="915"/>
      <c r="I159" s="915"/>
      <c r="J159" s="915"/>
      <c r="O159" s="158"/>
      <c r="P159" s="158"/>
    </row>
    <row r="160" spans="1:16" ht="15" customHeight="1">
      <c r="A160" s="2239"/>
      <c r="B160" s="2428"/>
      <c r="C160" s="893">
        <v>2019</v>
      </c>
      <c r="D160" s="915"/>
      <c r="E160" s="915"/>
      <c r="F160" s="915"/>
      <c r="G160" s="920">
        <f t="shared" si="15"/>
        <v>0</v>
      </c>
      <c r="H160" s="915"/>
      <c r="I160" s="915"/>
      <c r="J160" s="915"/>
      <c r="O160" s="158"/>
      <c r="P160" s="158"/>
    </row>
    <row r="161" spans="1:18" ht="17.25" customHeight="1">
      <c r="A161" s="2239"/>
      <c r="B161" s="2428"/>
      <c r="C161" s="893">
        <v>2020</v>
      </c>
      <c r="D161" s="915"/>
      <c r="E161" s="915"/>
      <c r="F161" s="915"/>
      <c r="G161" s="920">
        <f t="shared" si="15"/>
        <v>0</v>
      </c>
      <c r="H161" s="915"/>
      <c r="I161" s="915"/>
      <c r="J161" s="915"/>
      <c r="O161" s="158"/>
      <c r="P161" s="158"/>
    </row>
    <row r="162" spans="1:18">
      <c r="A162" s="2459"/>
      <c r="B162" s="2430"/>
      <c r="C162" s="895" t="s">
        <v>13</v>
      </c>
      <c r="D162" s="920">
        <f t="shared" ref="D162:G162" si="16">SUM(D155:D161)</f>
        <v>0</v>
      </c>
      <c r="E162" s="920">
        <f t="shared" si="16"/>
        <v>0</v>
      </c>
      <c r="F162" s="920">
        <f t="shared" si="16"/>
        <v>0</v>
      </c>
      <c r="G162" s="920">
        <f t="shared" si="16"/>
        <v>0</v>
      </c>
      <c r="H162" s="920">
        <f>SUM(H155:H161)</f>
        <v>0</v>
      </c>
      <c r="I162" s="920">
        <f>SUM(I155:I161)</f>
        <v>0</v>
      </c>
      <c r="J162" s="931">
        <f>SUM(J155:J161)</f>
        <v>0</v>
      </c>
    </row>
    <row r="163" spans="1:18" ht="24.75" customHeight="1">
      <c r="A163" s="234"/>
      <c r="B163" s="235"/>
      <c r="C163" s="236"/>
      <c r="D163" s="158"/>
      <c r="E163" s="158"/>
      <c r="F163" s="158"/>
      <c r="G163" s="158"/>
      <c r="H163" s="158"/>
      <c r="I163" s="158"/>
      <c r="J163" s="238"/>
      <c r="K163" s="8"/>
    </row>
    <row r="164" spans="1:18" ht="95.25" customHeight="1">
      <c r="A164" s="937" t="s">
        <v>103</v>
      </c>
      <c r="B164" s="938" t="s">
        <v>104</v>
      </c>
      <c r="C164" s="939" t="s">
        <v>9</v>
      </c>
      <c r="D164" s="940" t="s">
        <v>105</v>
      </c>
      <c r="E164" s="940" t="s">
        <v>106</v>
      </c>
      <c r="F164" s="940" t="s">
        <v>107</v>
      </c>
      <c r="G164" s="940" t="s">
        <v>108</v>
      </c>
      <c r="H164" s="940" t="s">
        <v>109</v>
      </c>
      <c r="I164" s="940" t="s">
        <v>110</v>
      </c>
      <c r="J164" s="941" t="s">
        <v>111</v>
      </c>
      <c r="K164" s="941" t="s">
        <v>112</v>
      </c>
      <c r="L164" s="8"/>
    </row>
    <row r="165" spans="1:18" ht="15.75" customHeight="1">
      <c r="A165" s="2460"/>
      <c r="B165" s="2461"/>
      <c r="C165" s="942">
        <v>2014</v>
      </c>
      <c r="D165" s="913"/>
      <c r="E165" s="913"/>
      <c r="F165" s="913"/>
      <c r="G165" s="913"/>
      <c r="H165" s="913"/>
      <c r="I165" s="913"/>
      <c r="J165" s="943"/>
      <c r="K165" s="849"/>
      <c r="L165" s="8"/>
    </row>
    <row r="166" spans="1:18">
      <c r="A166" s="2095"/>
      <c r="B166" s="2462"/>
      <c r="C166" s="944">
        <v>2015</v>
      </c>
      <c r="D166" s="945"/>
      <c r="E166" s="945"/>
      <c r="F166" s="945"/>
      <c r="G166" s="945"/>
      <c r="H166" s="945"/>
      <c r="I166" s="945"/>
      <c r="J166" s="931"/>
      <c r="K166" s="897"/>
      <c r="L166" s="8"/>
    </row>
    <row r="167" spans="1:18">
      <c r="A167" s="2095"/>
      <c r="B167" s="2462"/>
      <c r="C167" s="944">
        <v>2016</v>
      </c>
      <c r="D167" s="945">
        <v>0</v>
      </c>
      <c r="E167" s="945">
        <v>0</v>
      </c>
      <c r="F167" s="945">
        <v>0</v>
      </c>
      <c r="G167" s="945">
        <v>0</v>
      </c>
      <c r="H167" s="945">
        <v>0</v>
      </c>
      <c r="I167" s="945">
        <v>0</v>
      </c>
      <c r="J167" s="931">
        <f t="shared" ref="J167:K171" si="17">SUM(D167,F167,H167)</f>
        <v>0</v>
      </c>
      <c r="K167" s="897">
        <f t="shared" si="17"/>
        <v>0</v>
      </c>
    </row>
    <row r="168" spans="1:18">
      <c r="A168" s="2095"/>
      <c r="B168" s="2462"/>
      <c r="C168" s="944">
        <v>2017</v>
      </c>
      <c r="D168" s="945">
        <v>0</v>
      </c>
      <c r="E168" s="945">
        <v>0</v>
      </c>
      <c r="F168" s="945">
        <v>0</v>
      </c>
      <c r="G168" s="945">
        <v>0</v>
      </c>
      <c r="H168" s="945">
        <v>0</v>
      </c>
      <c r="I168" s="945">
        <v>0</v>
      </c>
      <c r="J168" s="931">
        <v>0</v>
      </c>
      <c r="K168" s="897">
        <v>0</v>
      </c>
    </row>
    <row r="169" spans="1:18">
      <c r="A169" s="2095"/>
      <c r="B169" s="2462"/>
      <c r="C169" s="944">
        <v>2018</v>
      </c>
      <c r="D169" s="945"/>
      <c r="E169" s="945"/>
      <c r="F169" s="945"/>
      <c r="G169" s="945"/>
      <c r="H169" s="945"/>
      <c r="I169" s="945"/>
      <c r="J169" s="931">
        <f t="shared" si="17"/>
        <v>0</v>
      </c>
      <c r="K169" s="897">
        <f t="shared" si="17"/>
        <v>0</v>
      </c>
      <c r="L169" s="8"/>
    </row>
    <row r="170" spans="1:18">
      <c r="A170" s="2095"/>
      <c r="B170" s="2462"/>
      <c r="C170" s="944">
        <v>2019</v>
      </c>
      <c r="D170" s="945"/>
      <c r="E170" s="945"/>
      <c r="F170" s="945"/>
      <c r="G170" s="945"/>
      <c r="H170" s="945"/>
      <c r="I170" s="945"/>
      <c r="J170" s="931">
        <f t="shared" si="17"/>
        <v>0</v>
      </c>
      <c r="K170" s="897">
        <f t="shared" si="17"/>
        <v>0</v>
      </c>
      <c r="L170" s="8"/>
    </row>
    <row r="171" spans="1:18">
      <c r="A171" s="2095"/>
      <c r="B171" s="2462"/>
      <c r="C171" s="944">
        <v>2020</v>
      </c>
      <c r="D171" s="945"/>
      <c r="E171" s="945"/>
      <c r="F171" s="945"/>
      <c r="G171" s="945"/>
      <c r="H171" s="945"/>
      <c r="I171" s="945"/>
      <c r="J171" s="931">
        <f t="shared" si="17"/>
        <v>0</v>
      </c>
      <c r="K171" s="897">
        <f t="shared" si="17"/>
        <v>0</v>
      </c>
      <c r="L171" s="8"/>
    </row>
    <row r="172" spans="1:18" ht="18.75" customHeight="1">
      <c r="A172" s="2439"/>
      <c r="B172" s="2463"/>
      <c r="C172" s="895" t="s">
        <v>13</v>
      </c>
      <c r="D172" s="920">
        <f>SUM(D165:D171)</f>
        <v>0</v>
      </c>
      <c r="E172" s="920">
        <f t="shared" ref="E172:K172" si="18">SUM(E165:E171)</f>
        <v>0</v>
      </c>
      <c r="F172" s="920">
        <f t="shared" si="18"/>
        <v>0</v>
      </c>
      <c r="G172" s="920">
        <f t="shared" si="18"/>
        <v>0</v>
      </c>
      <c r="H172" s="920">
        <f t="shared" si="18"/>
        <v>0</v>
      </c>
      <c r="I172" s="920">
        <f t="shared" si="18"/>
        <v>0</v>
      </c>
      <c r="J172" s="920">
        <f t="shared" si="18"/>
        <v>0</v>
      </c>
      <c r="K172" s="920">
        <f t="shared" si="18"/>
        <v>0</v>
      </c>
      <c r="L172" s="8"/>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
      <c r="A175" s="266"/>
      <c r="B175" s="266"/>
    </row>
    <row r="176" spans="1:18" s="827" customFormat="1" ht="22.5" customHeight="1">
      <c r="A176" s="2464" t="s">
        <v>115</v>
      </c>
      <c r="B176" s="2465" t="s">
        <v>116</v>
      </c>
      <c r="C176" s="2466" t="s">
        <v>9</v>
      </c>
      <c r="D176" s="946" t="s">
        <v>117</v>
      </c>
      <c r="E176" s="946"/>
      <c r="F176" s="946"/>
      <c r="G176" s="946"/>
      <c r="H176" s="947"/>
      <c r="I176" s="2466" t="s">
        <v>118</v>
      </c>
      <c r="J176" s="2466"/>
      <c r="K176" s="2466"/>
      <c r="L176" s="2466"/>
      <c r="M176" s="2466"/>
      <c r="N176" s="2466"/>
      <c r="O176" s="2466"/>
    </row>
    <row r="177" spans="1:15" s="827" customFormat="1" ht="129.75" customHeight="1">
      <c r="A177" s="2464"/>
      <c r="B177" s="2465"/>
      <c r="C177" s="2466"/>
      <c r="D177" s="947" t="s">
        <v>119</v>
      </c>
      <c r="E177" s="947" t="s">
        <v>120</v>
      </c>
      <c r="F177" s="947" t="s">
        <v>121</v>
      </c>
      <c r="G177" s="948" t="s">
        <v>122</v>
      </c>
      <c r="H177" s="949" t="s">
        <v>123</v>
      </c>
      <c r="I177" s="950" t="s">
        <v>53</v>
      </c>
      <c r="J177" s="950" t="s">
        <v>54</v>
      </c>
      <c r="K177" s="950" t="s">
        <v>55</v>
      </c>
      <c r="L177" s="950" t="s">
        <v>56</v>
      </c>
      <c r="M177" s="950" t="s">
        <v>57</v>
      </c>
      <c r="N177" s="950" t="s">
        <v>58</v>
      </c>
      <c r="O177" s="950" t="s">
        <v>59</v>
      </c>
    </row>
    <row r="178" spans="1:15" ht="15" customHeight="1">
      <c r="A178" s="951" t="s">
        <v>404</v>
      </c>
      <c r="B178" s="952"/>
      <c r="C178" s="892">
        <v>2014</v>
      </c>
      <c r="D178" s="849"/>
      <c r="E178" s="849"/>
      <c r="F178" s="849"/>
      <c r="G178" s="897"/>
      <c r="H178" s="849"/>
      <c r="I178" s="849"/>
      <c r="J178" s="849"/>
      <c r="K178" s="849"/>
      <c r="L178" s="849"/>
      <c r="M178" s="849"/>
      <c r="N178" s="849"/>
      <c r="O178" s="849"/>
    </row>
    <row r="179" spans="1:15">
      <c r="A179" s="953" t="s">
        <v>405</v>
      </c>
      <c r="B179" s="954"/>
      <c r="C179" s="893">
        <v>2015</v>
      </c>
      <c r="D179" s="852"/>
      <c r="E179" s="851"/>
      <c r="F179" s="851"/>
      <c r="G179" s="897"/>
      <c r="H179" s="852"/>
      <c r="I179" s="851"/>
      <c r="J179" s="851"/>
      <c r="K179" s="851"/>
      <c r="L179" s="851"/>
      <c r="M179" s="851"/>
      <c r="N179" s="851"/>
      <c r="O179" s="852"/>
    </row>
    <row r="180" spans="1:15" ht="30" customHeight="1">
      <c r="A180" s="2456" t="s">
        <v>406</v>
      </c>
      <c r="B180" s="2457"/>
      <c r="C180" s="893">
        <v>2016</v>
      </c>
      <c r="D180" s="851">
        <f>24+4</f>
        <v>28</v>
      </c>
      <c r="E180" s="884">
        <v>1</v>
      </c>
      <c r="F180" s="851">
        <v>1</v>
      </c>
      <c r="G180" s="897">
        <f t="shared" ref="G180:G184" si="19">SUM(D180:F180)</f>
        <v>30</v>
      </c>
      <c r="H180" s="859">
        <f>69+5</f>
        <v>74</v>
      </c>
      <c r="I180" s="851">
        <v>0</v>
      </c>
      <c r="J180" s="851">
        <v>9</v>
      </c>
      <c r="K180" s="851">
        <v>0</v>
      </c>
      <c r="L180" s="851">
        <v>7</v>
      </c>
      <c r="M180" s="851">
        <f>1+2</f>
        <v>3</v>
      </c>
      <c r="N180" s="851">
        <v>0</v>
      </c>
      <c r="O180" s="851">
        <f>9+2</f>
        <v>11</v>
      </c>
    </row>
    <row r="181" spans="1:15" ht="41.25" customHeight="1">
      <c r="A181" s="2431" t="s">
        <v>407</v>
      </c>
      <c r="B181" s="2432"/>
      <c r="C181" s="893">
        <v>2017</v>
      </c>
      <c r="D181" s="851">
        <v>3</v>
      </c>
      <c r="E181" s="851">
        <v>0</v>
      </c>
      <c r="F181" s="851">
        <v>0</v>
      </c>
      <c r="G181" s="897">
        <f t="shared" si="19"/>
        <v>3</v>
      </c>
      <c r="H181" s="859">
        <v>3</v>
      </c>
      <c r="I181" s="851">
        <v>0</v>
      </c>
      <c r="J181" s="851">
        <v>0</v>
      </c>
      <c r="K181" s="851">
        <v>0</v>
      </c>
      <c r="L181" s="851">
        <v>0</v>
      </c>
      <c r="M181" s="851">
        <v>3</v>
      </c>
      <c r="N181" s="851">
        <v>0</v>
      </c>
      <c r="O181" s="851">
        <v>0</v>
      </c>
    </row>
    <row r="182" spans="1:15">
      <c r="A182" s="955" t="s">
        <v>408</v>
      </c>
      <c r="B182" s="954"/>
      <c r="C182" s="893">
        <v>2018</v>
      </c>
      <c r="D182" s="851"/>
      <c r="E182" s="851"/>
      <c r="F182" s="851"/>
      <c r="G182" s="897">
        <f t="shared" si="19"/>
        <v>0</v>
      </c>
      <c r="H182" s="859"/>
      <c r="I182" s="851"/>
      <c r="J182" s="851"/>
      <c r="K182" s="851"/>
      <c r="L182" s="851"/>
      <c r="M182" s="851"/>
      <c r="N182" s="851"/>
      <c r="O182" s="851"/>
    </row>
    <row r="183" spans="1:15">
      <c r="A183" s="953" t="s">
        <v>409</v>
      </c>
      <c r="B183" s="954"/>
      <c r="C183" s="893">
        <v>2019</v>
      </c>
      <c r="D183" s="851"/>
      <c r="E183" s="851"/>
      <c r="F183" s="851"/>
      <c r="G183" s="897">
        <f t="shared" si="19"/>
        <v>0</v>
      </c>
      <c r="H183" s="859"/>
      <c r="I183" s="851"/>
      <c r="J183" s="851"/>
      <c r="K183" s="851"/>
      <c r="L183" s="851"/>
      <c r="M183" s="851"/>
      <c r="N183" s="851"/>
      <c r="O183" s="851"/>
    </row>
    <row r="184" spans="1:15">
      <c r="A184" s="953" t="s">
        <v>410</v>
      </c>
      <c r="B184" s="954"/>
      <c r="C184" s="893">
        <v>2020</v>
      </c>
      <c r="D184" s="851"/>
      <c r="E184" s="851"/>
      <c r="F184" s="851"/>
      <c r="G184" s="897">
        <f t="shared" si="19"/>
        <v>0</v>
      </c>
      <c r="H184" s="859"/>
      <c r="I184" s="851"/>
      <c r="J184" s="851"/>
      <c r="K184" s="851"/>
      <c r="L184" s="851"/>
      <c r="M184" s="851"/>
      <c r="N184" s="851"/>
      <c r="O184" s="851"/>
    </row>
    <row r="185" spans="1:15" ht="79.5" customHeight="1">
      <c r="A185" s="2467" t="s">
        <v>411</v>
      </c>
      <c r="B185" s="2468"/>
      <c r="C185" s="895" t="s">
        <v>13</v>
      </c>
      <c r="D185" s="897">
        <f>SUM(D178:D184)</f>
        <v>31</v>
      </c>
      <c r="E185" s="897">
        <f>SUM(E178:E184)</f>
        <v>1</v>
      </c>
      <c r="F185" s="897">
        <f>SUM(F178:F184)</f>
        <v>1</v>
      </c>
      <c r="G185" s="897">
        <f t="shared" ref="G185:O185" si="20">SUM(G178:G184)</f>
        <v>33</v>
      </c>
      <c r="H185" s="897">
        <f t="shared" si="20"/>
        <v>77</v>
      </c>
      <c r="I185" s="897">
        <f t="shared" si="20"/>
        <v>0</v>
      </c>
      <c r="J185" s="897">
        <f t="shared" si="20"/>
        <v>9</v>
      </c>
      <c r="K185" s="897">
        <f t="shared" si="20"/>
        <v>0</v>
      </c>
      <c r="L185" s="897">
        <f t="shared" si="20"/>
        <v>7</v>
      </c>
      <c r="M185" s="897">
        <f t="shared" si="20"/>
        <v>6</v>
      </c>
      <c r="N185" s="897">
        <f t="shared" si="20"/>
        <v>0</v>
      </c>
      <c r="O185" s="897">
        <f t="shared" si="20"/>
        <v>11</v>
      </c>
    </row>
    <row r="186" spans="1:15" ht="33" customHeight="1"/>
    <row r="187" spans="1:15" ht="19.5" customHeight="1">
      <c r="A187" s="2469" t="s">
        <v>125</v>
      </c>
      <c r="B187" s="2465" t="s">
        <v>116</v>
      </c>
      <c r="C187" s="2470" t="s">
        <v>9</v>
      </c>
      <c r="D187" s="2470" t="s">
        <v>126</v>
      </c>
      <c r="E187" s="2470"/>
      <c r="F187" s="2470"/>
      <c r="G187" s="2470"/>
      <c r="H187" s="2470" t="s">
        <v>127</v>
      </c>
      <c r="I187" s="2470"/>
      <c r="J187" s="2470"/>
      <c r="K187" s="2470"/>
      <c r="L187" s="2470"/>
    </row>
    <row r="188" spans="1:15" ht="90">
      <c r="A188" s="2469"/>
      <c r="B188" s="2465"/>
      <c r="C188" s="2470"/>
      <c r="D188" s="950" t="s">
        <v>128</v>
      </c>
      <c r="E188" s="950" t="s">
        <v>129</v>
      </c>
      <c r="F188" s="950" t="s">
        <v>130</v>
      </c>
      <c r="G188" s="949" t="s">
        <v>13</v>
      </c>
      <c r="H188" s="950" t="s">
        <v>131</v>
      </c>
      <c r="I188" s="950" t="s">
        <v>132</v>
      </c>
      <c r="J188" s="950" t="s">
        <v>133</v>
      </c>
      <c r="K188" s="950" t="s">
        <v>134</v>
      </c>
      <c r="L188" s="950" t="s">
        <v>135</v>
      </c>
    </row>
    <row r="189" spans="1:15" ht="15" customHeight="1">
      <c r="A189" s="956" t="s">
        <v>412</v>
      </c>
      <c r="B189" s="194"/>
      <c r="C189" s="872">
        <v>2014</v>
      </c>
      <c r="D189" s="849"/>
      <c r="E189" s="849"/>
      <c r="F189" s="849"/>
      <c r="G189" s="897"/>
      <c r="H189" s="849"/>
      <c r="I189" s="849"/>
      <c r="J189" s="849"/>
      <c r="K189" s="849"/>
      <c r="L189" s="849"/>
    </row>
    <row r="190" spans="1:15">
      <c r="A190" s="957" t="s">
        <v>413</v>
      </c>
      <c r="B190" s="194"/>
      <c r="C190" s="873">
        <v>2015</v>
      </c>
      <c r="D190" s="852"/>
      <c r="E190" s="851"/>
      <c r="F190" s="851"/>
      <c r="G190" s="897"/>
      <c r="H190" s="851"/>
      <c r="I190" s="851"/>
      <c r="J190" s="851"/>
      <c r="K190" s="851"/>
      <c r="L190" s="852"/>
    </row>
    <row r="191" spans="1:15" ht="60.75" customHeight="1">
      <c r="A191" s="957" t="s">
        <v>414</v>
      </c>
      <c r="B191" s="194"/>
      <c r="C191" s="873">
        <v>2016</v>
      </c>
      <c r="D191" s="851">
        <f>1159+357</f>
        <v>1516</v>
      </c>
      <c r="E191" s="851">
        <v>30</v>
      </c>
      <c r="F191" s="851">
        <v>40</v>
      </c>
      <c r="G191" s="897">
        <f t="shared" ref="G191:G195" si="21">SUM(D191:F191)</f>
        <v>1586</v>
      </c>
      <c r="H191" s="851">
        <v>0</v>
      </c>
      <c r="I191" s="851">
        <f>49+40</f>
        <v>89</v>
      </c>
      <c r="J191" s="851">
        <v>0</v>
      </c>
      <c r="K191" s="851">
        <v>0</v>
      </c>
      <c r="L191" s="851">
        <f>80+18+60+4+146+89+40+125+30+360+60+145+90+250</f>
        <v>1497</v>
      </c>
    </row>
    <row r="192" spans="1:15">
      <c r="A192" s="958"/>
      <c r="B192" s="194"/>
      <c r="C192" s="873">
        <v>2017</v>
      </c>
      <c r="D192" s="851">
        <v>83</v>
      </c>
      <c r="E192" s="851">
        <v>0</v>
      </c>
      <c r="F192" s="851">
        <v>0</v>
      </c>
      <c r="G192" s="897">
        <f t="shared" si="21"/>
        <v>83</v>
      </c>
      <c r="H192" s="851">
        <v>0</v>
      </c>
      <c r="I192" s="851">
        <v>75</v>
      </c>
      <c r="J192" s="851">
        <v>0</v>
      </c>
      <c r="K192" s="851">
        <v>0</v>
      </c>
      <c r="L192" s="851">
        <v>8</v>
      </c>
    </row>
    <row r="193" spans="1:14">
      <c r="A193" s="958" t="s">
        <v>415</v>
      </c>
      <c r="B193" s="194"/>
      <c r="C193" s="873">
        <v>2018</v>
      </c>
      <c r="D193" s="851"/>
      <c r="E193" s="851"/>
      <c r="F193" s="851"/>
      <c r="G193" s="897">
        <f t="shared" si="21"/>
        <v>0</v>
      </c>
      <c r="H193" s="851"/>
      <c r="I193" s="851"/>
      <c r="J193" s="851"/>
      <c r="K193" s="851"/>
      <c r="L193" s="851"/>
    </row>
    <row r="194" spans="1:14">
      <c r="A194" s="957" t="s">
        <v>416</v>
      </c>
      <c r="B194" s="194"/>
      <c r="C194" s="873">
        <v>2019</v>
      </c>
      <c r="D194" s="851"/>
      <c r="E194" s="851"/>
      <c r="F194" s="851"/>
      <c r="G194" s="897">
        <f t="shared" si="21"/>
        <v>0</v>
      </c>
      <c r="H194" s="851"/>
      <c r="I194" s="851"/>
      <c r="J194" s="851"/>
      <c r="K194" s="851"/>
      <c r="L194" s="851"/>
    </row>
    <row r="195" spans="1:14">
      <c r="A195" s="958"/>
      <c r="B195" s="194"/>
      <c r="C195" s="873">
        <v>2020</v>
      </c>
      <c r="D195" s="851"/>
      <c r="E195" s="851"/>
      <c r="F195" s="851"/>
      <c r="G195" s="897">
        <f t="shared" si="21"/>
        <v>0</v>
      </c>
      <c r="H195" s="851"/>
      <c r="I195" s="851"/>
      <c r="J195" s="851"/>
      <c r="K195" s="851"/>
      <c r="L195" s="851"/>
    </row>
    <row r="196" spans="1:14" ht="15.75" thickBot="1">
      <c r="A196" s="959"/>
      <c r="B196" s="960"/>
      <c r="C196" s="901" t="s">
        <v>13</v>
      </c>
      <c r="D196" s="897">
        <f t="shared" ref="D196:L196" si="22">SUM(D189:D195)</f>
        <v>1599</v>
      </c>
      <c r="E196" s="897">
        <f t="shared" si="22"/>
        <v>30</v>
      </c>
      <c r="F196" s="897">
        <f t="shared" si="22"/>
        <v>40</v>
      </c>
      <c r="G196" s="897">
        <f t="shared" si="22"/>
        <v>1669</v>
      </c>
      <c r="H196" s="897">
        <f t="shared" si="22"/>
        <v>0</v>
      </c>
      <c r="I196" s="897">
        <f t="shared" si="22"/>
        <v>164</v>
      </c>
      <c r="J196" s="897">
        <f t="shared" si="22"/>
        <v>0</v>
      </c>
      <c r="K196" s="897">
        <f t="shared" si="22"/>
        <v>0</v>
      </c>
      <c r="L196" s="897">
        <f t="shared" si="22"/>
        <v>1505</v>
      </c>
    </row>
    <row r="198" spans="1:14">
      <c r="A198" s="8"/>
      <c r="B198" s="8"/>
      <c r="C198" s="8"/>
      <c r="D198" s="8"/>
      <c r="E198" s="8"/>
      <c r="F198" s="8"/>
      <c r="G198" s="8"/>
      <c r="H198" s="8"/>
      <c r="I198" s="8"/>
      <c r="J198" s="8"/>
      <c r="K198" s="8"/>
      <c r="L198" s="8"/>
    </row>
    <row r="199" spans="1:14" ht="21">
      <c r="A199" s="961" t="s">
        <v>137</v>
      </c>
      <c r="B199" s="961"/>
      <c r="C199" s="962"/>
      <c r="D199" s="962"/>
      <c r="E199" s="962"/>
      <c r="F199" s="962"/>
      <c r="G199" s="962"/>
      <c r="H199" s="962"/>
      <c r="I199" s="962"/>
      <c r="J199" s="962"/>
      <c r="K199" s="962"/>
      <c r="L199" s="962"/>
      <c r="M199" s="66"/>
      <c r="N199" s="66"/>
    </row>
    <row r="200" spans="1:14" s="153" customFormat="1" ht="22.5" customHeight="1">
      <c r="A200" s="963"/>
      <c r="B200" s="963"/>
      <c r="L200" s="77"/>
      <c r="M200" s="77"/>
    </row>
    <row r="201" spans="1:14" s="827" customFormat="1" ht="101.25" customHeight="1">
      <c r="A201" s="964" t="s">
        <v>138</v>
      </c>
      <c r="B201" s="965" t="s">
        <v>116</v>
      </c>
      <c r="C201" s="966" t="s">
        <v>9</v>
      </c>
      <c r="D201" s="966" t="s">
        <v>139</v>
      </c>
      <c r="E201" s="966" t="s">
        <v>140</v>
      </c>
      <c r="F201" s="966" t="s">
        <v>141</v>
      </c>
      <c r="G201" s="966" t="s">
        <v>142</v>
      </c>
      <c r="H201" s="966" t="s">
        <v>143</v>
      </c>
      <c r="I201" s="966" t="s">
        <v>144</v>
      </c>
      <c r="J201" s="966" t="s">
        <v>145</v>
      </c>
      <c r="K201" s="966" t="s">
        <v>146</v>
      </c>
      <c r="L201" s="966" t="s">
        <v>147</v>
      </c>
    </row>
    <row r="202" spans="1:14" ht="15" customHeight="1">
      <c r="A202" s="2471"/>
      <c r="B202" s="2472"/>
      <c r="C202" s="872">
        <v>2014</v>
      </c>
      <c r="D202" s="849"/>
      <c r="E202" s="849"/>
      <c r="F202" s="849"/>
      <c r="G202" s="849"/>
      <c r="H202" s="849"/>
      <c r="I202" s="849"/>
      <c r="J202" s="849"/>
      <c r="K202" s="849"/>
      <c r="L202" s="849"/>
    </row>
    <row r="203" spans="1:14">
      <c r="A203" s="2405"/>
      <c r="B203" s="2473"/>
      <c r="C203" s="873">
        <v>2015</v>
      </c>
      <c r="D203" s="851"/>
      <c r="E203" s="851"/>
      <c r="F203" s="851"/>
      <c r="G203" s="851"/>
      <c r="H203" s="851"/>
      <c r="I203" s="851"/>
      <c r="J203" s="851"/>
      <c r="K203" s="851"/>
      <c r="L203" s="851"/>
    </row>
    <row r="204" spans="1:14">
      <c r="A204" s="2405"/>
      <c r="B204" s="2473"/>
      <c r="C204" s="873">
        <v>2016</v>
      </c>
      <c r="D204" s="851">
        <v>0</v>
      </c>
      <c r="E204" s="851">
        <v>0</v>
      </c>
      <c r="F204" s="851">
        <v>0</v>
      </c>
      <c r="G204" s="851">
        <v>0</v>
      </c>
      <c r="H204" s="851">
        <v>0</v>
      </c>
      <c r="I204" s="851">
        <v>0</v>
      </c>
      <c r="J204" s="851">
        <v>0</v>
      </c>
      <c r="K204" s="851">
        <v>0</v>
      </c>
      <c r="L204" s="851">
        <v>0</v>
      </c>
    </row>
    <row r="205" spans="1:14">
      <c r="A205" s="2405"/>
      <c r="B205" s="2473"/>
      <c r="C205" s="873">
        <v>2017</v>
      </c>
      <c r="D205" s="851">
        <v>0</v>
      </c>
      <c r="E205" s="851">
        <v>0</v>
      </c>
      <c r="F205" s="851">
        <v>0</v>
      </c>
      <c r="G205" s="851">
        <v>0</v>
      </c>
      <c r="H205" s="851">
        <v>0</v>
      </c>
      <c r="I205" s="851">
        <v>0</v>
      </c>
      <c r="J205" s="851">
        <v>0</v>
      </c>
      <c r="K205" s="851">
        <v>0</v>
      </c>
      <c r="L205" s="851">
        <v>0</v>
      </c>
    </row>
    <row r="206" spans="1:14">
      <c r="A206" s="2405"/>
      <c r="B206" s="2473"/>
      <c r="C206" s="873">
        <v>2018</v>
      </c>
      <c r="D206" s="851"/>
      <c r="E206" s="851"/>
      <c r="F206" s="851"/>
      <c r="G206" s="851"/>
      <c r="H206" s="851"/>
      <c r="I206" s="851"/>
      <c r="J206" s="851"/>
      <c r="K206" s="851"/>
      <c r="L206" s="851"/>
    </row>
    <row r="207" spans="1:14">
      <c r="A207" s="2405"/>
      <c r="B207" s="2473"/>
      <c r="C207" s="873">
        <v>2019</v>
      </c>
      <c r="D207" s="851"/>
      <c r="E207" s="851"/>
      <c r="F207" s="851"/>
      <c r="G207" s="851"/>
      <c r="H207" s="851"/>
      <c r="I207" s="851"/>
      <c r="J207" s="851"/>
      <c r="K207" s="851"/>
      <c r="L207" s="851"/>
    </row>
    <row r="208" spans="1:14">
      <c r="A208" s="2405"/>
      <c r="B208" s="2473"/>
      <c r="C208" s="873">
        <v>2020</v>
      </c>
      <c r="D208" s="851"/>
      <c r="E208" s="851"/>
      <c r="F208" s="851"/>
      <c r="G208" s="851"/>
      <c r="H208" s="851"/>
      <c r="I208" s="851"/>
      <c r="J208" s="851"/>
      <c r="K208" s="851"/>
      <c r="L208" s="851"/>
    </row>
    <row r="209" spans="1:12" ht="20.25" customHeight="1">
      <c r="A209" s="2474"/>
      <c r="B209" s="2475"/>
      <c r="C209" s="901" t="s">
        <v>13</v>
      </c>
      <c r="D209" s="897">
        <f>SUM(D202:D208)</f>
        <v>0</v>
      </c>
      <c r="E209" s="897">
        <f t="shared" ref="E209:L209" si="23">SUM(E202:E208)</f>
        <v>0</v>
      </c>
      <c r="F209" s="897">
        <f t="shared" si="23"/>
        <v>0</v>
      </c>
      <c r="G209" s="897">
        <f t="shared" si="23"/>
        <v>0</v>
      </c>
      <c r="H209" s="897">
        <f t="shared" si="23"/>
        <v>0</v>
      </c>
      <c r="I209" s="897">
        <f t="shared" si="23"/>
        <v>0</v>
      </c>
      <c r="J209" s="897">
        <f t="shared" si="23"/>
        <v>0</v>
      </c>
      <c r="K209" s="897">
        <f t="shared" si="23"/>
        <v>0</v>
      </c>
      <c r="L209" s="897">
        <f t="shared" si="23"/>
        <v>0</v>
      </c>
    </row>
    <row r="212" spans="1:12" ht="29.25">
      <c r="A212" s="967" t="s">
        <v>148</v>
      </c>
      <c r="B212" s="968" t="s">
        <v>149</v>
      </c>
      <c r="C212" s="923">
        <v>2014</v>
      </c>
      <c r="D212" s="923">
        <v>2015</v>
      </c>
      <c r="E212" s="923">
        <v>2016</v>
      </c>
      <c r="F212" s="923">
        <v>2017</v>
      </c>
      <c r="G212" s="923">
        <v>2018</v>
      </c>
      <c r="H212" s="923">
        <v>2019</v>
      </c>
      <c r="I212" s="923">
        <v>2020</v>
      </c>
    </row>
    <row r="213" spans="1:12" ht="159.75" customHeight="1">
      <c r="A213" s="851" t="s">
        <v>150</v>
      </c>
      <c r="B213" s="969" t="s">
        <v>417</v>
      </c>
      <c r="C213" s="872"/>
      <c r="D213" s="970"/>
      <c r="E213" s="1979">
        <v>556789.65</v>
      </c>
      <c r="F213" s="971">
        <f>F214+F215+F216+F217</f>
        <v>52188.92</v>
      </c>
      <c r="G213" s="873"/>
      <c r="H213" s="873"/>
      <c r="I213" s="873"/>
    </row>
    <row r="214" spans="1:12">
      <c r="A214" s="851" t="s">
        <v>153</v>
      </c>
      <c r="B214" s="972"/>
      <c r="C214" s="872"/>
      <c r="D214" s="971"/>
      <c r="E214" s="970">
        <f>3291.5+7370.65+13642.26+211.82+4890+4700+28104.7+9296.8+17749.45+24942.5+5335+75299.37+50000+843.6+945+1600+12715</f>
        <v>260937.65</v>
      </c>
      <c r="F214" s="971">
        <v>0</v>
      </c>
      <c r="G214" s="873"/>
      <c r="H214" s="873"/>
      <c r="I214" s="873"/>
    </row>
    <row r="215" spans="1:12">
      <c r="A215" s="851" t="s">
        <v>155</v>
      </c>
      <c r="B215" s="972"/>
      <c r="C215" s="872"/>
      <c r="D215" s="971"/>
      <c r="E215" s="970">
        <v>0</v>
      </c>
      <c r="F215" s="971">
        <v>0</v>
      </c>
      <c r="G215" s="873"/>
      <c r="H215" s="873"/>
      <c r="I215" s="873"/>
    </row>
    <row r="216" spans="1:12">
      <c r="A216" s="851" t="s">
        <v>157</v>
      </c>
      <c r="B216" s="972"/>
      <c r="C216" s="872"/>
      <c r="D216" s="971"/>
      <c r="E216" s="970">
        <f>27231.51+124715.6</f>
        <v>151947.11000000002</v>
      </c>
      <c r="F216" s="971">
        <f>21444.17+29643</f>
        <v>51087.17</v>
      </c>
      <c r="G216" s="873"/>
      <c r="H216" s="873"/>
      <c r="I216" s="873"/>
    </row>
    <row r="217" spans="1:12" ht="60">
      <c r="A217" s="851" t="s">
        <v>158</v>
      </c>
      <c r="B217" s="973" t="s">
        <v>418</v>
      </c>
      <c r="C217" s="872"/>
      <c r="D217" s="971"/>
      <c r="E217" s="970">
        <f>12112.4+22275.07+11946.7+30363.96+13607.5+24270.88+2090+2639+675+21477.04+900</f>
        <v>142357.55000000002</v>
      </c>
      <c r="F217" s="971">
        <v>1101.75</v>
      </c>
      <c r="G217" s="873"/>
      <c r="H217" s="873"/>
      <c r="I217" s="873"/>
    </row>
    <row r="218" spans="1:12" ht="30">
      <c r="A218" s="2476" t="s">
        <v>159</v>
      </c>
      <c r="B218" s="974" t="s">
        <v>419</v>
      </c>
      <c r="C218" s="2479"/>
      <c r="D218" s="2482"/>
      <c r="E218" s="2483">
        <v>278731.90000000002</v>
      </c>
      <c r="F218" s="2486">
        <v>131116.51999999999</v>
      </c>
      <c r="G218" s="2489"/>
      <c r="H218" s="2489"/>
      <c r="I218" s="2489"/>
    </row>
    <row r="219" spans="1:12">
      <c r="A219" s="2477"/>
      <c r="B219" s="975" t="s">
        <v>420</v>
      </c>
      <c r="C219" s="2480"/>
      <c r="D219" s="2482"/>
      <c r="E219" s="2484"/>
      <c r="F219" s="2487"/>
      <c r="G219" s="2489"/>
      <c r="H219" s="2489"/>
      <c r="I219" s="2489"/>
    </row>
    <row r="220" spans="1:12">
      <c r="A220" s="2477"/>
      <c r="B220" s="975" t="s">
        <v>421</v>
      </c>
      <c r="C220" s="2480"/>
      <c r="D220" s="2482"/>
      <c r="E220" s="2484"/>
      <c r="F220" s="2487"/>
      <c r="G220" s="2489"/>
      <c r="H220" s="2489"/>
      <c r="I220" s="2489"/>
    </row>
    <row r="221" spans="1:12" ht="30">
      <c r="A221" s="2477"/>
      <c r="B221" s="975" t="s">
        <v>422</v>
      </c>
      <c r="C221" s="2480"/>
      <c r="D221" s="2482"/>
      <c r="E221" s="2484"/>
      <c r="F221" s="2487"/>
      <c r="G221" s="2489"/>
      <c r="H221" s="2489"/>
      <c r="I221" s="2489"/>
    </row>
    <row r="222" spans="1:12" ht="30">
      <c r="A222" s="2477"/>
      <c r="B222" s="975" t="s">
        <v>423</v>
      </c>
      <c r="C222" s="2480"/>
      <c r="D222" s="2482"/>
      <c r="E222" s="2484"/>
      <c r="F222" s="2487"/>
      <c r="G222" s="2489"/>
      <c r="H222" s="2489"/>
      <c r="I222" s="2489"/>
    </row>
    <row r="223" spans="1:12" ht="62.25" customHeight="1">
      <c r="A223" s="2477"/>
      <c r="B223" s="975" t="s">
        <v>424</v>
      </c>
      <c r="C223" s="2480"/>
      <c r="D223" s="2482"/>
      <c r="E223" s="2484"/>
      <c r="F223" s="2487"/>
      <c r="G223" s="2489"/>
      <c r="H223" s="2489"/>
      <c r="I223" s="2489"/>
    </row>
    <row r="224" spans="1:12" ht="18" customHeight="1">
      <c r="A224" s="2477"/>
      <c r="B224" s="975" t="s">
        <v>425</v>
      </c>
      <c r="C224" s="2480"/>
      <c r="D224" s="2482"/>
      <c r="E224" s="2484"/>
      <c r="F224" s="2487"/>
      <c r="G224" s="2489"/>
      <c r="H224" s="2489"/>
      <c r="I224" s="2489"/>
    </row>
    <row r="225" spans="1:9">
      <c r="A225" s="2478"/>
      <c r="B225" s="976" t="s">
        <v>426</v>
      </c>
      <c r="C225" s="2481"/>
      <c r="D225" s="2482"/>
      <c r="E225" s="2485"/>
      <c r="F225" s="2488"/>
      <c r="G225" s="2489"/>
      <c r="H225" s="2489"/>
      <c r="I225" s="2489"/>
    </row>
    <row r="226" spans="1:9">
      <c r="A226" s="851"/>
      <c r="B226" s="851"/>
      <c r="C226" s="862" t="s">
        <v>13</v>
      </c>
      <c r="D226" s="977"/>
      <c r="E226" s="977">
        <f>SUM(E214:E225)</f>
        <v>833974.21000000008</v>
      </c>
      <c r="F226" s="977">
        <f t="shared" ref="F226:I226" si="24">SUM(F214:F218)</f>
        <v>183305.44</v>
      </c>
      <c r="G226" s="862">
        <f t="shared" si="24"/>
        <v>0</v>
      </c>
      <c r="H226" s="862">
        <f t="shared" si="24"/>
        <v>0</v>
      </c>
      <c r="I226" s="862">
        <f t="shared" si="24"/>
        <v>0</v>
      </c>
    </row>
    <row r="229" spans="1:9">
      <c r="A229" s="827"/>
      <c r="D229" s="325"/>
      <c r="E229" s="325"/>
    </row>
    <row r="232" spans="1:9">
      <c r="B232" s="8"/>
    </row>
    <row r="233" spans="1:9">
      <c r="A233" s="153"/>
      <c r="B233" s="8"/>
    </row>
    <row r="234" spans="1:9">
      <c r="A234" s="827"/>
      <c r="B234" s="978"/>
    </row>
    <row r="235" spans="1:9">
      <c r="B235" s="978"/>
    </row>
    <row r="236" spans="1:9">
      <c r="B236" s="978"/>
    </row>
    <row r="237" spans="1:9">
      <c r="B237" s="978"/>
    </row>
  </sheetData>
  <mergeCells count="97">
    <mergeCell ref="H187:L187"/>
    <mergeCell ref="A202:B209"/>
    <mergeCell ref="A218:A225"/>
    <mergeCell ref="C218:C225"/>
    <mergeCell ref="D218:D225"/>
    <mergeCell ref="E218:E225"/>
    <mergeCell ref="F218:F225"/>
    <mergeCell ref="G218:G225"/>
    <mergeCell ref="H218:H225"/>
    <mergeCell ref="I218:I225"/>
    <mergeCell ref="D187:G187"/>
    <mergeCell ref="A181:B181"/>
    <mergeCell ref="A185:B185"/>
    <mergeCell ref="A187:A188"/>
    <mergeCell ref="B187:B188"/>
    <mergeCell ref="C187:C188"/>
    <mergeCell ref="A180:B180"/>
    <mergeCell ref="J142:N142"/>
    <mergeCell ref="A144:B151"/>
    <mergeCell ref="A153:A154"/>
    <mergeCell ref="B153:B154"/>
    <mergeCell ref="C153:C154"/>
    <mergeCell ref="A155:B162"/>
    <mergeCell ref="A165:B172"/>
    <mergeCell ref="A176:A177"/>
    <mergeCell ref="B176:B177"/>
    <mergeCell ref="C176:C177"/>
    <mergeCell ref="I176:O176"/>
    <mergeCell ref="A129:A130"/>
    <mergeCell ref="B129:B130"/>
    <mergeCell ref="C129:C130"/>
    <mergeCell ref="A142:A143"/>
    <mergeCell ref="B142:B143"/>
    <mergeCell ref="C142:C143"/>
    <mergeCell ref="A120:B127"/>
    <mergeCell ref="A96:A97"/>
    <mergeCell ref="B96:B97"/>
    <mergeCell ref="C96:C97"/>
    <mergeCell ref="D96:E96"/>
    <mergeCell ref="B98:B105"/>
    <mergeCell ref="A107:A108"/>
    <mergeCell ref="B107:B108"/>
    <mergeCell ref="C107:C108"/>
    <mergeCell ref="D107:D108"/>
    <mergeCell ref="A109:B116"/>
    <mergeCell ref="A118:A119"/>
    <mergeCell ref="B118:B119"/>
    <mergeCell ref="C118:C119"/>
    <mergeCell ref="D118:D119"/>
    <mergeCell ref="D60:D61"/>
    <mergeCell ref="A63:B63"/>
    <mergeCell ref="A85:B92"/>
    <mergeCell ref="A65:B65"/>
    <mergeCell ref="A66:B66"/>
    <mergeCell ref="A67:B67"/>
    <mergeCell ref="A68:B69"/>
    <mergeCell ref="A72:B72"/>
    <mergeCell ref="A73:B73"/>
    <mergeCell ref="A74:B74"/>
    <mergeCell ref="A75:B76"/>
    <mergeCell ref="A77:B77"/>
    <mergeCell ref="A78:B78"/>
    <mergeCell ref="A79:B79"/>
    <mergeCell ref="A64:B64"/>
    <mergeCell ref="A55:B55"/>
    <mergeCell ref="A56:B56"/>
    <mergeCell ref="A57:B57"/>
    <mergeCell ref="C60:C61"/>
    <mergeCell ref="A58:B58"/>
    <mergeCell ref="A60:A61"/>
    <mergeCell ref="B60:B61"/>
    <mergeCell ref="A41:B41"/>
    <mergeCell ref="A42:B42"/>
    <mergeCell ref="A50:B50"/>
    <mergeCell ref="A51:B51"/>
    <mergeCell ref="A54:B54"/>
    <mergeCell ref="A53:B53"/>
    <mergeCell ref="A52:B52"/>
    <mergeCell ref="A32:B32"/>
    <mergeCell ref="A33:B33"/>
    <mergeCell ref="A34:B34"/>
    <mergeCell ref="A35:B35"/>
    <mergeCell ref="A40:B40"/>
    <mergeCell ref="A30:B30"/>
    <mergeCell ref="A31:B31"/>
    <mergeCell ref="A29:B29"/>
    <mergeCell ref="F3:O3"/>
    <mergeCell ref="A4:O10"/>
    <mergeCell ref="B15:B16"/>
    <mergeCell ref="C15:C16"/>
    <mergeCell ref="D15:G15"/>
    <mergeCell ref="A17:B17"/>
    <mergeCell ref="A18:B18"/>
    <mergeCell ref="B26:B27"/>
    <mergeCell ref="C26:C27"/>
    <mergeCell ref="D26:G26"/>
    <mergeCell ref="A28:B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AMJ227"/>
  <sheetViews>
    <sheetView topLeftCell="A198" zoomScale="50" zoomScaleNormal="50" workbookViewId="0">
      <selection activeCell="K219" sqref="K219"/>
    </sheetView>
  </sheetViews>
  <sheetFormatPr defaultRowHeight="15"/>
  <cols>
    <col min="1" max="1" width="84.5703125" style="597" customWidth="1"/>
    <col min="2" max="2" width="48.28515625" style="597" customWidth="1"/>
    <col min="3" max="3" width="17.140625" style="597" customWidth="1"/>
    <col min="4" max="7" width="18.85546875" style="597" customWidth="1"/>
    <col min="8" max="8" width="15.28515625" style="597" customWidth="1"/>
    <col min="9" max="9" width="17.7109375" style="597" customWidth="1"/>
    <col min="10" max="10" width="16.85546875" style="597" customWidth="1"/>
    <col min="11" max="11" width="18.5703125" style="597" customWidth="1"/>
    <col min="12" max="12" width="16.42578125" style="597" customWidth="1"/>
    <col min="13" max="13" width="15.42578125" style="597" customWidth="1"/>
    <col min="14" max="14" width="14.85546875" style="597" customWidth="1"/>
    <col min="15" max="15" width="14.42578125" style="597" customWidth="1"/>
    <col min="16" max="25" width="14.5703125" style="597" customWidth="1"/>
    <col min="26" max="1024" width="9.42578125" style="597" customWidth="1"/>
  </cols>
  <sheetData>
    <row r="1" spans="1:25" s="595" customFormat="1" ht="31.5">
      <c r="A1" s="593" t="s">
        <v>0</v>
      </c>
      <c r="B1" s="2495" t="s">
        <v>334</v>
      </c>
      <c r="C1" s="2495"/>
      <c r="D1" s="2495"/>
      <c r="E1" s="2495"/>
      <c r="F1" s="2495"/>
      <c r="G1" s="594" t="s">
        <v>335</v>
      </c>
    </row>
    <row r="2" spans="1:25" s="595" customFormat="1" ht="20.100000000000001" customHeight="1"/>
    <row r="3" spans="1:25" s="596" customFormat="1" ht="20.100000000000001" customHeight="1">
      <c r="A3" s="2496" t="s">
        <v>2</v>
      </c>
      <c r="B3" s="2496"/>
      <c r="C3" s="2496"/>
      <c r="D3" s="2496"/>
      <c r="E3" s="2496"/>
      <c r="F3" s="2497"/>
      <c r="G3" s="2497"/>
      <c r="H3" s="2497"/>
      <c r="I3" s="2497"/>
      <c r="J3" s="2497"/>
      <c r="K3" s="2497"/>
      <c r="L3" s="2497"/>
      <c r="M3" s="2497"/>
      <c r="N3" s="2497"/>
      <c r="O3" s="2497"/>
    </row>
    <row r="4" spans="1:25" s="596" customFormat="1" ht="20.100000000000001" customHeight="1">
      <c r="A4" s="2498" t="s">
        <v>336</v>
      </c>
      <c r="B4" s="2498"/>
      <c r="C4" s="2498"/>
      <c r="D4" s="2498"/>
      <c r="E4" s="2498"/>
      <c r="F4" s="2498"/>
      <c r="G4" s="2498"/>
      <c r="H4" s="2498"/>
      <c r="I4" s="2498"/>
      <c r="J4" s="2498"/>
      <c r="K4" s="2498"/>
      <c r="L4" s="2498"/>
      <c r="M4" s="2498"/>
      <c r="N4" s="2498"/>
      <c r="O4" s="2498"/>
    </row>
    <row r="5" spans="1:25" s="596" customFormat="1" ht="20.100000000000001" customHeight="1">
      <c r="A5" s="2498"/>
      <c r="B5" s="2498"/>
      <c r="C5" s="2498"/>
      <c r="D5" s="2498"/>
      <c r="E5" s="2498"/>
      <c r="F5" s="2498"/>
      <c r="G5" s="2498"/>
      <c r="H5" s="2498"/>
      <c r="I5" s="2498"/>
      <c r="J5" s="2498"/>
      <c r="K5" s="2498"/>
      <c r="L5" s="2498"/>
      <c r="M5" s="2498"/>
      <c r="N5" s="2498"/>
      <c r="O5" s="2498"/>
    </row>
    <row r="6" spans="1:25" s="596" customFormat="1" ht="20.100000000000001" customHeight="1">
      <c r="A6" s="2498"/>
      <c r="B6" s="2498"/>
      <c r="C6" s="2498"/>
      <c r="D6" s="2498"/>
      <c r="E6" s="2498"/>
      <c r="F6" s="2498"/>
      <c r="G6" s="2498"/>
      <c r="H6" s="2498"/>
      <c r="I6" s="2498"/>
      <c r="J6" s="2498"/>
      <c r="K6" s="2498"/>
      <c r="L6" s="2498"/>
      <c r="M6" s="2498"/>
      <c r="N6" s="2498"/>
      <c r="O6" s="2498"/>
    </row>
    <row r="7" spans="1:25" s="596" customFormat="1" ht="20.100000000000001" customHeight="1">
      <c r="A7" s="2498"/>
      <c r="B7" s="2498"/>
      <c r="C7" s="2498"/>
      <c r="D7" s="2498"/>
      <c r="E7" s="2498"/>
      <c r="F7" s="2498"/>
      <c r="G7" s="2498"/>
      <c r="H7" s="2498"/>
      <c r="I7" s="2498"/>
      <c r="J7" s="2498"/>
      <c r="K7" s="2498"/>
      <c r="L7" s="2498"/>
      <c r="M7" s="2498"/>
      <c r="N7" s="2498"/>
      <c r="O7" s="2498"/>
    </row>
    <row r="8" spans="1:25" s="596" customFormat="1" ht="20.100000000000001" customHeight="1">
      <c r="A8" s="2498"/>
      <c r="B8" s="2498"/>
      <c r="C8" s="2498"/>
      <c r="D8" s="2498"/>
      <c r="E8" s="2498"/>
      <c r="F8" s="2498"/>
      <c r="G8" s="2498"/>
      <c r="H8" s="2498"/>
      <c r="I8" s="2498"/>
      <c r="J8" s="2498"/>
      <c r="K8" s="2498"/>
      <c r="L8" s="2498"/>
      <c r="M8" s="2498"/>
      <c r="N8" s="2498"/>
      <c r="O8" s="2498"/>
    </row>
    <row r="9" spans="1:25" s="596" customFormat="1" ht="20.100000000000001" customHeight="1">
      <c r="A9" s="2498"/>
      <c r="B9" s="2498"/>
      <c r="C9" s="2498"/>
      <c r="D9" s="2498"/>
      <c r="E9" s="2498"/>
      <c r="F9" s="2498"/>
      <c r="G9" s="2498"/>
      <c r="H9" s="2498"/>
      <c r="I9" s="2498"/>
      <c r="J9" s="2498"/>
      <c r="K9" s="2498"/>
      <c r="L9" s="2498"/>
      <c r="M9" s="2498"/>
      <c r="N9" s="2498"/>
      <c r="O9" s="2498"/>
    </row>
    <row r="10" spans="1:25" s="596" customFormat="1" ht="87" customHeight="1">
      <c r="A10" s="2498"/>
      <c r="B10" s="2498"/>
      <c r="C10" s="2498"/>
      <c r="D10" s="2498"/>
      <c r="E10" s="2498"/>
      <c r="F10" s="2498"/>
      <c r="G10" s="2498"/>
      <c r="H10" s="2498"/>
      <c r="I10" s="2498"/>
      <c r="J10" s="2498"/>
      <c r="K10" s="2498"/>
      <c r="L10" s="2498"/>
      <c r="M10" s="2498"/>
      <c r="N10" s="2498"/>
      <c r="O10" s="2498"/>
    </row>
    <row r="11" spans="1:25" s="595" customFormat="1" ht="20.100000000000001" customHeight="1"/>
    <row r="12" spans="1:25" customFormat="1">
      <c r="A12" s="597"/>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row>
    <row r="13" spans="1:25" customFormat="1" ht="21">
      <c r="A13" s="598" t="s">
        <v>4</v>
      </c>
      <c r="B13" s="598"/>
      <c r="C13" s="599"/>
      <c r="D13" s="599"/>
      <c r="E13" s="599"/>
      <c r="F13" s="599"/>
      <c r="G13" s="599"/>
      <c r="H13" s="599"/>
      <c r="I13" s="599"/>
      <c r="J13" s="599"/>
      <c r="K13" s="599"/>
      <c r="L13" s="599"/>
      <c r="M13" s="599"/>
      <c r="N13" s="599"/>
      <c r="O13" s="599"/>
      <c r="P13" s="597"/>
      <c r="Q13" s="597"/>
      <c r="R13" s="597"/>
      <c r="S13" s="597"/>
      <c r="T13" s="597"/>
      <c r="U13" s="597"/>
      <c r="V13" s="597"/>
      <c r="W13" s="597"/>
      <c r="X13" s="597"/>
      <c r="Y13" s="597"/>
    </row>
    <row r="14" spans="1:25" customFormat="1">
      <c r="A14" s="597"/>
      <c r="B14" s="597"/>
      <c r="C14" s="597"/>
      <c r="D14" s="597"/>
      <c r="E14" s="597"/>
      <c r="F14" s="597"/>
      <c r="G14" s="597"/>
      <c r="H14" s="597"/>
      <c r="I14" s="597"/>
      <c r="J14" s="597"/>
      <c r="K14" s="597"/>
      <c r="L14" s="597"/>
      <c r="M14" s="597"/>
      <c r="N14" s="597"/>
      <c r="O14" s="597"/>
      <c r="P14" s="600"/>
      <c r="Q14" s="600"/>
      <c r="R14" s="600"/>
      <c r="S14" s="600"/>
      <c r="T14" s="600"/>
      <c r="U14" s="600"/>
      <c r="V14" s="600"/>
      <c r="W14" s="600"/>
      <c r="X14" s="600"/>
      <c r="Y14" s="597"/>
    </row>
    <row r="15" spans="1:25" s="608" customFormat="1" ht="22.5" customHeight="1">
      <c r="A15" s="601"/>
      <c r="B15" s="602"/>
      <c r="C15" s="603"/>
      <c r="D15" s="2499" t="s">
        <v>5</v>
      </c>
      <c r="E15" s="2499"/>
      <c r="F15" s="2499"/>
      <c r="G15" s="2499"/>
      <c r="H15" s="603"/>
      <c r="I15" s="604" t="s">
        <v>6</v>
      </c>
      <c r="J15" s="605"/>
      <c r="K15" s="605"/>
      <c r="L15" s="605"/>
      <c r="M15" s="605"/>
      <c r="N15" s="605"/>
      <c r="O15" s="603"/>
      <c r="P15" s="606"/>
      <c r="Q15" s="606"/>
      <c r="R15" s="607"/>
      <c r="S15" s="607"/>
      <c r="T15" s="607"/>
      <c r="U15" s="607"/>
      <c r="V15" s="607"/>
      <c r="W15" s="606"/>
      <c r="X15" s="606"/>
      <c r="Y15" s="606"/>
    </row>
    <row r="16" spans="1:25" s="617" customFormat="1" ht="144.75" customHeight="1">
      <c r="A16" s="609" t="s">
        <v>7</v>
      </c>
      <c r="B16" s="610" t="s">
        <v>337</v>
      </c>
      <c r="C16" s="611" t="s">
        <v>9</v>
      </c>
      <c r="D16" s="612" t="s">
        <v>10</v>
      </c>
      <c r="E16" s="613" t="s">
        <v>11</v>
      </c>
      <c r="F16" s="613" t="s">
        <v>12</v>
      </c>
      <c r="G16" s="614" t="s">
        <v>13</v>
      </c>
      <c r="H16" s="615" t="s">
        <v>14</v>
      </c>
      <c r="I16" s="611" t="s">
        <v>15</v>
      </c>
      <c r="J16" s="611" t="s">
        <v>16</v>
      </c>
      <c r="K16" s="611" t="s">
        <v>17</v>
      </c>
      <c r="L16" s="611" t="s">
        <v>338</v>
      </c>
      <c r="M16" s="615" t="s">
        <v>19</v>
      </c>
      <c r="N16" s="611" t="s">
        <v>20</v>
      </c>
      <c r="O16" s="611" t="s">
        <v>21</v>
      </c>
      <c r="P16" s="616"/>
      <c r="Q16" s="616"/>
      <c r="R16" s="616"/>
      <c r="S16" s="616"/>
      <c r="T16" s="616"/>
      <c r="U16" s="616"/>
      <c r="V16" s="616"/>
      <c r="W16" s="616"/>
      <c r="X16" s="616"/>
      <c r="Y16" s="616"/>
    </row>
    <row r="17" spans="1:25" customFormat="1" ht="15" customHeight="1">
      <c r="A17" s="2490" t="s">
        <v>339</v>
      </c>
      <c r="B17" s="2491"/>
      <c r="C17" s="618">
        <v>2014</v>
      </c>
      <c r="D17" s="619"/>
      <c r="E17" s="618"/>
      <c r="F17" s="618"/>
      <c r="G17" s="620">
        <v>0</v>
      </c>
      <c r="H17" s="618"/>
      <c r="I17" s="618"/>
      <c r="J17" s="618"/>
      <c r="K17" s="618"/>
      <c r="L17" s="618"/>
      <c r="M17" s="618"/>
      <c r="N17" s="618"/>
      <c r="O17" s="618"/>
      <c r="P17" s="621"/>
      <c r="Q17" s="621"/>
      <c r="R17" s="621"/>
      <c r="S17" s="621"/>
      <c r="T17" s="621"/>
      <c r="U17" s="621"/>
      <c r="V17" s="621"/>
      <c r="W17" s="621"/>
      <c r="X17" s="621"/>
      <c r="Y17" s="621"/>
    </row>
    <row r="18" spans="1:25" customFormat="1">
      <c r="A18" s="2492"/>
      <c r="B18" s="2491"/>
      <c r="C18" s="622">
        <v>2015</v>
      </c>
      <c r="D18" s="623"/>
      <c r="E18" s="622"/>
      <c r="F18" s="622"/>
      <c r="G18" s="620"/>
      <c r="H18" s="622"/>
      <c r="I18" s="622"/>
      <c r="J18" s="622"/>
      <c r="K18" s="622"/>
      <c r="L18" s="622"/>
      <c r="M18" s="622"/>
      <c r="N18" s="622"/>
      <c r="O18" s="624"/>
      <c r="P18" s="621"/>
      <c r="Q18" s="621"/>
      <c r="R18" s="621"/>
      <c r="S18" s="621"/>
      <c r="T18" s="621"/>
      <c r="U18" s="621"/>
      <c r="V18" s="621"/>
      <c r="W18" s="621"/>
      <c r="X18" s="621"/>
      <c r="Y18" s="621"/>
    </row>
    <row r="19" spans="1:25" customFormat="1">
      <c r="A19" s="2492"/>
      <c r="B19" s="2491"/>
      <c r="C19" s="622">
        <v>2016</v>
      </c>
      <c r="D19" s="625">
        <v>12</v>
      </c>
      <c r="E19" s="622">
        <v>2</v>
      </c>
      <c r="F19" s="622">
        <v>2</v>
      </c>
      <c r="G19" s="620">
        <f>SUM(D19:F19)</f>
        <v>16</v>
      </c>
      <c r="H19" s="622">
        <v>0</v>
      </c>
      <c r="I19" s="622">
        <v>0</v>
      </c>
      <c r="J19" s="622">
        <v>0</v>
      </c>
      <c r="K19" s="622">
        <v>1</v>
      </c>
      <c r="L19" s="622">
        <v>0</v>
      </c>
      <c r="M19" s="622">
        <v>0</v>
      </c>
      <c r="N19" s="622">
        <v>0</v>
      </c>
      <c r="O19" s="626">
        <v>15</v>
      </c>
      <c r="P19" s="621"/>
      <c r="Q19" s="621"/>
      <c r="R19" s="621"/>
      <c r="S19" s="621"/>
      <c r="T19" s="621"/>
      <c r="U19" s="621"/>
      <c r="V19" s="621"/>
      <c r="W19" s="621"/>
      <c r="X19" s="621"/>
      <c r="Y19" s="621"/>
    </row>
    <row r="20" spans="1:25" customFormat="1">
      <c r="A20" s="2492"/>
      <c r="B20" s="2491"/>
      <c r="C20" s="622">
        <v>2017</v>
      </c>
      <c r="D20" s="828">
        <v>0</v>
      </c>
      <c r="E20" s="679">
        <v>1</v>
      </c>
      <c r="F20" s="679">
        <v>0</v>
      </c>
      <c r="G20" s="829">
        <f>SUM(D20:F20)</f>
        <v>1</v>
      </c>
      <c r="H20" s="679">
        <v>0</v>
      </c>
      <c r="I20" s="679">
        <v>1</v>
      </c>
      <c r="J20" s="679">
        <v>0</v>
      </c>
      <c r="K20" s="679">
        <v>0</v>
      </c>
      <c r="L20" s="679">
        <v>0</v>
      </c>
      <c r="M20" s="679">
        <v>0</v>
      </c>
      <c r="N20" s="679">
        <v>0</v>
      </c>
      <c r="O20" s="830">
        <v>0</v>
      </c>
      <c r="P20" s="621"/>
      <c r="Q20" s="621"/>
      <c r="R20" s="621"/>
      <c r="S20" s="621"/>
      <c r="T20" s="621"/>
      <c r="U20" s="621"/>
      <c r="V20" s="621"/>
      <c r="W20" s="621"/>
      <c r="X20" s="621"/>
      <c r="Y20" s="621"/>
    </row>
    <row r="21" spans="1:25" customFormat="1">
      <c r="A21" s="2492"/>
      <c r="B21" s="2491"/>
      <c r="C21" s="622">
        <v>2018</v>
      </c>
      <c r="D21" s="625"/>
      <c r="E21" s="622"/>
      <c r="F21" s="622"/>
      <c r="G21" s="620">
        <v>0</v>
      </c>
      <c r="H21" s="622"/>
      <c r="I21" s="622"/>
      <c r="J21" s="622"/>
      <c r="K21" s="622"/>
      <c r="L21" s="622"/>
      <c r="M21" s="622"/>
      <c r="N21" s="622"/>
      <c r="O21" s="626"/>
      <c r="P21" s="621"/>
      <c r="Q21" s="621"/>
      <c r="R21" s="621"/>
      <c r="S21" s="621"/>
      <c r="T21" s="621"/>
      <c r="U21" s="621"/>
      <c r="V21" s="621"/>
      <c r="W21" s="621"/>
      <c r="X21" s="621"/>
      <c r="Y21" s="621"/>
    </row>
    <row r="22" spans="1:25" customFormat="1">
      <c r="A22" s="2492"/>
      <c r="B22" s="2491"/>
      <c r="C22" s="627">
        <v>2019</v>
      </c>
      <c r="D22" s="625"/>
      <c r="E22" s="622"/>
      <c r="F22" s="622"/>
      <c r="G22" s="620">
        <v>0</v>
      </c>
      <c r="H22" s="622"/>
      <c r="I22" s="622"/>
      <c r="J22" s="622"/>
      <c r="K22" s="622"/>
      <c r="L22" s="622"/>
      <c r="M22" s="622"/>
      <c r="N22" s="622"/>
      <c r="O22" s="626"/>
      <c r="P22" s="621"/>
      <c r="Q22" s="621"/>
      <c r="R22" s="621"/>
      <c r="S22" s="621"/>
      <c r="T22" s="621"/>
      <c r="U22" s="621"/>
      <c r="V22" s="621"/>
      <c r="W22" s="621"/>
      <c r="X22" s="621"/>
      <c r="Y22" s="621"/>
    </row>
    <row r="23" spans="1:25" customFormat="1">
      <c r="A23" s="2492"/>
      <c r="B23" s="2491"/>
      <c r="C23" s="622">
        <v>2020</v>
      </c>
      <c r="D23" s="625"/>
      <c r="E23" s="622"/>
      <c r="F23" s="622"/>
      <c r="G23" s="620">
        <v>0</v>
      </c>
      <c r="H23" s="622"/>
      <c r="I23" s="622"/>
      <c r="J23" s="622"/>
      <c r="K23" s="622"/>
      <c r="L23" s="622"/>
      <c r="M23" s="622"/>
      <c r="N23" s="622"/>
      <c r="O23" s="626"/>
      <c r="P23" s="621"/>
      <c r="Q23" s="621"/>
      <c r="R23" s="621"/>
      <c r="S23" s="621"/>
      <c r="T23" s="621"/>
      <c r="U23" s="621"/>
      <c r="V23" s="621"/>
      <c r="W23" s="621"/>
      <c r="X23" s="621"/>
      <c r="Y23" s="621"/>
    </row>
    <row r="24" spans="1:25" customFormat="1" ht="76.5" customHeight="1">
      <c r="A24" s="2493"/>
      <c r="B24" s="2494"/>
      <c r="C24" s="628" t="s">
        <v>13</v>
      </c>
      <c r="D24" s="629">
        <f t="shared" ref="D24:O24" si="0">SUM(D18:D23)</f>
        <v>12</v>
      </c>
      <c r="E24" s="630">
        <f t="shared" si="0"/>
        <v>3</v>
      </c>
      <c r="F24" s="630">
        <f t="shared" si="0"/>
        <v>2</v>
      </c>
      <c r="G24" s="620">
        <f t="shared" si="0"/>
        <v>17</v>
      </c>
      <c r="H24" s="630">
        <f t="shared" si="0"/>
        <v>0</v>
      </c>
      <c r="I24" s="631">
        <f t="shared" si="0"/>
        <v>1</v>
      </c>
      <c r="J24" s="631">
        <f t="shared" si="0"/>
        <v>0</v>
      </c>
      <c r="K24" s="631">
        <f t="shared" si="0"/>
        <v>1</v>
      </c>
      <c r="L24" s="631">
        <f t="shared" si="0"/>
        <v>0</v>
      </c>
      <c r="M24" s="631">
        <f t="shared" si="0"/>
        <v>0</v>
      </c>
      <c r="N24" s="631">
        <f t="shared" si="0"/>
        <v>0</v>
      </c>
      <c r="O24" s="630">
        <f t="shared" si="0"/>
        <v>15</v>
      </c>
      <c r="P24" s="621"/>
      <c r="Q24" s="621"/>
      <c r="R24" s="621"/>
      <c r="S24" s="621"/>
      <c r="T24" s="621"/>
      <c r="U24" s="621"/>
      <c r="V24" s="621"/>
      <c r="W24" s="621"/>
      <c r="X24" s="621"/>
      <c r="Y24" s="621"/>
    </row>
    <row r="25" spans="1:25" customFormat="1">
      <c r="A25" s="597"/>
      <c r="B25" s="597"/>
      <c r="C25" s="632"/>
      <c r="D25" s="597"/>
      <c r="E25" s="597"/>
      <c r="F25" s="597"/>
      <c r="G25" s="597"/>
      <c r="H25" s="600"/>
      <c r="I25" s="600"/>
      <c r="J25" s="600"/>
      <c r="K25" s="600"/>
      <c r="L25" s="600"/>
      <c r="M25" s="600"/>
      <c r="N25" s="600"/>
      <c r="O25" s="600"/>
      <c r="P25" s="600"/>
      <c r="Q25" s="600"/>
      <c r="R25" s="597"/>
      <c r="S25" s="597"/>
      <c r="T25" s="597"/>
      <c r="U25" s="597"/>
      <c r="V25" s="597"/>
      <c r="W25" s="597"/>
      <c r="X25" s="597"/>
      <c r="Y25" s="597"/>
    </row>
    <row r="26" spans="1:25" s="608" customFormat="1" ht="30.75" customHeight="1">
      <c r="A26" s="601"/>
      <c r="B26" s="602"/>
      <c r="C26" s="633"/>
      <c r="D26" s="2500" t="s">
        <v>5</v>
      </c>
      <c r="E26" s="2500"/>
      <c r="F26" s="2500"/>
      <c r="G26" s="2500"/>
      <c r="H26" s="606"/>
      <c r="I26" s="606"/>
      <c r="J26" s="607"/>
      <c r="K26" s="607"/>
      <c r="L26" s="607"/>
      <c r="M26" s="607"/>
      <c r="N26" s="607"/>
      <c r="O26" s="606"/>
      <c r="P26" s="606"/>
    </row>
    <row r="27" spans="1:25" s="617" customFormat="1" ht="93" customHeight="1">
      <c r="A27" s="634" t="s">
        <v>23</v>
      </c>
      <c r="B27" s="610" t="s">
        <v>337</v>
      </c>
      <c r="C27" s="635" t="s">
        <v>9</v>
      </c>
      <c r="D27" s="613" t="s">
        <v>10</v>
      </c>
      <c r="E27" s="613" t="s">
        <v>11</v>
      </c>
      <c r="F27" s="613" t="s">
        <v>12</v>
      </c>
      <c r="G27" s="636" t="s">
        <v>13</v>
      </c>
      <c r="H27" s="616"/>
      <c r="I27" s="616"/>
      <c r="J27" s="616"/>
      <c r="K27" s="616"/>
      <c r="L27" s="616"/>
      <c r="M27" s="616"/>
      <c r="N27" s="616"/>
      <c r="O27" s="616"/>
      <c r="P27" s="616"/>
      <c r="Q27" s="608"/>
    </row>
    <row r="28" spans="1:25" customFormat="1" ht="15" customHeight="1">
      <c r="A28" s="2492" t="s">
        <v>340</v>
      </c>
      <c r="B28" s="2491"/>
      <c r="C28" s="637">
        <v>2014</v>
      </c>
      <c r="D28" s="618"/>
      <c r="E28" s="618"/>
      <c r="F28" s="618"/>
      <c r="G28" s="630">
        <v>0</v>
      </c>
      <c r="H28" s="621"/>
      <c r="I28" s="621"/>
      <c r="J28" s="621"/>
      <c r="K28" s="621"/>
      <c r="L28" s="621"/>
      <c r="M28" s="621"/>
      <c r="N28" s="621"/>
      <c r="O28" s="621"/>
      <c r="P28" s="621"/>
      <c r="Q28" s="600"/>
      <c r="R28" s="597"/>
      <c r="S28" s="597"/>
      <c r="T28" s="597"/>
      <c r="U28" s="597"/>
      <c r="V28" s="597"/>
      <c r="W28" s="597"/>
      <c r="X28" s="597"/>
      <c r="Y28" s="597"/>
    </row>
    <row r="29" spans="1:25" customFormat="1">
      <c r="A29" s="2492"/>
      <c r="B29" s="2491"/>
      <c r="C29" s="638">
        <v>2015</v>
      </c>
      <c r="D29" s="639"/>
      <c r="E29" s="639"/>
      <c r="F29" s="639"/>
      <c r="G29" s="640"/>
      <c r="H29" s="621"/>
      <c r="I29" s="621"/>
      <c r="J29" s="621"/>
      <c r="K29" s="621"/>
      <c r="L29" s="621"/>
      <c r="M29" s="621"/>
      <c r="N29" s="621"/>
      <c r="O29" s="621"/>
      <c r="P29" s="621"/>
      <c r="Q29" s="600"/>
      <c r="R29" s="597"/>
      <c r="S29" s="597"/>
      <c r="T29" s="597"/>
      <c r="U29" s="597"/>
      <c r="V29" s="597"/>
      <c r="W29" s="597"/>
      <c r="X29" s="597"/>
      <c r="Y29" s="597"/>
    </row>
    <row r="30" spans="1:25" customFormat="1">
      <c r="A30" s="2492"/>
      <c r="B30" s="2491"/>
      <c r="C30" s="638">
        <v>2016</v>
      </c>
      <c r="D30" s="641">
        <v>12390</v>
      </c>
      <c r="E30" s="641">
        <v>90000</v>
      </c>
      <c r="F30" s="641">
        <v>30000</v>
      </c>
      <c r="G30" s="642">
        <f>SUM(D30:F30)</f>
        <v>132390</v>
      </c>
      <c r="H30" s="621"/>
      <c r="I30" s="621"/>
      <c r="J30" s="621"/>
      <c r="K30" s="621"/>
      <c r="L30" s="621"/>
      <c r="M30" s="621"/>
      <c r="N30" s="621"/>
      <c r="O30" s="621"/>
      <c r="P30" s="621"/>
      <c r="Q30" s="600"/>
      <c r="R30" s="597"/>
      <c r="S30" s="597"/>
      <c r="T30" s="597"/>
      <c r="U30" s="597"/>
      <c r="V30" s="597"/>
      <c r="W30" s="597"/>
      <c r="X30" s="597"/>
      <c r="Y30" s="597"/>
    </row>
    <row r="31" spans="1:25" customFormat="1">
      <c r="A31" s="2492"/>
      <c r="B31" s="2491"/>
      <c r="C31" s="638">
        <v>2017</v>
      </c>
      <c r="D31" s="831">
        <v>0</v>
      </c>
      <c r="E31" s="831">
        <v>15000</v>
      </c>
      <c r="F31" s="831">
        <v>0</v>
      </c>
      <c r="G31" s="832">
        <f>SUM(D31:F31)</f>
        <v>15000</v>
      </c>
      <c r="H31" s="621"/>
      <c r="I31" s="621"/>
      <c r="J31" s="621"/>
      <c r="K31" s="621"/>
      <c r="L31" s="621"/>
      <c r="M31" s="621"/>
      <c r="N31" s="621"/>
      <c r="O31" s="621"/>
      <c r="P31" s="621"/>
      <c r="Q31" s="600"/>
      <c r="R31" s="597"/>
      <c r="S31" s="597"/>
      <c r="T31" s="597"/>
      <c r="U31" s="597"/>
      <c r="V31" s="597"/>
      <c r="W31" s="597"/>
      <c r="X31" s="597"/>
      <c r="Y31" s="597"/>
    </row>
    <row r="32" spans="1:25" customFormat="1">
      <c r="A32" s="2492"/>
      <c r="B32" s="2491"/>
      <c r="C32" s="638">
        <v>2018</v>
      </c>
      <c r="D32" s="641"/>
      <c r="E32" s="641"/>
      <c r="F32" s="641"/>
      <c r="G32" s="642">
        <v>0</v>
      </c>
      <c r="H32" s="621"/>
      <c r="I32" s="621"/>
      <c r="J32" s="621"/>
      <c r="K32" s="621"/>
      <c r="L32" s="621"/>
      <c r="M32" s="621"/>
      <c r="N32" s="621"/>
      <c r="O32" s="621"/>
      <c r="P32" s="621"/>
      <c r="Q32" s="600"/>
      <c r="R32" s="597"/>
      <c r="S32" s="597"/>
      <c r="T32" s="597"/>
      <c r="U32" s="597"/>
      <c r="V32" s="597"/>
      <c r="W32" s="597"/>
      <c r="X32" s="597"/>
      <c r="Y32" s="597"/>
    </row>
    <row r="33" spans="1:17" customFormat="1">
      <c r="A33" s="2492"/>
      <c r="B33" s="2491"/>
      <c r="C33" s="643">
        <v>2019</v>
      </c>
      <c r="D33" s="641"/>
      <c r="E33" s="641"/>
      <c r="F33" s="641"/>
      <c r="G33" s="642">
        <v>0</v>
      </c>
      <c r="H33" s="621"/>
      <c r="I33" s="621"/>
      <c r="J33" s="621"/>
      <c r="K33" s="621"/>
      <c r="L33" s="621"/>
      <c r="M33" s="621"/>
      <c r="N33" s="621"/>
      <c r="O33" s="621"/>
      <c r="P33" s="621"/>
      <c r="Q33" s="600"/>
    </row>
    <row r="34" spans="1:17" customFormat="1">
      <c r="A34" s="2492"/>
      <c r="B34" s="2491"/>
      <c r="C34" s="638">
        <v>2020</v>
      </c>
      <c r="D34" s="641"/>
      <c r="E34" s="641"/>
      <c r="F34" s="641"/>
      <c r="G34" s="642">
        <v>0</v>
      </c>
      <c r="H34" s="621"/>
      <c r="I34" s="621"/>
      <c r="J34" s="621"/>
      <c r="K34" s="621"/>
      <c r="L34" s="621"/>
      <c r="M34" s="621"/>
      <c r="N34" s="621"/>
      <c r="O34" s="621"/>
      <c r="P34" s="621"/>
      <c r="Q34" s="600"/>
    </row>
    <row r="35" spans="1:17" customFormat="1" ht="109.5" customHeight="1">
      <c r="A35" s="2493"/>
      <c r="B35" s="2494"/>
      <c r="C35" s="644" t="s">
        <v>13</v>
      </c>
      <c r="D35" s="642">
        <f>SUM(D29:D34)</f>
        <v>12390</v>
      </c>
      <c r="E35" s="642">
        <f>SUM(E29:E34)</f>
        <v>105000</v>
      </c>
      <c r="F35" s="642">
        <f>SUM(F29:F34)</f>
        <v>30000</v>
      </c>
      <c r="G35" s="642">
        <f>SUM(G29:G34)</f>
        <v>147390</v>
      </c>
      <c r="H35" s="621"/>
      <c r="I35" s="621"/>
      <c r="J35" s="621"/>
      <c r="K35" s="621"/>
      <c r="L35" s="621"/>
      <c r="M35" s="621"/>
      <c r="N35" s="621"/>
      <c r="O35" s="621"/>
      <c r="P35" s="621"/>
      <c r="Q35" s="600"/>
    </row>
    <row r="36" spans="1:17" customFormat="1">
      <c r="A36" s="645"/>
      <c r="B36" s="645"/>
      <c r="C36" s="632"/>
      <c r="D36" s="597"/>
      <c r="E36" s="597"/>
      <c r="F36" s="597"/>
      <c r="G36" s="597"/>
      <c r="H36" s="600"/>
      <c r="I36" s="600"/>
      <c r="J36" s="600"/>
      <c r="K36" s="600"/>
      <c r="L36" s="600"/>
      <c r="M36" s="600"/>
      <c r="N36" s="600"/>
      <c r="O36" s="600"/>
      <c r="P36" s="600"/>
      <c r="Q36" s="600"/>
    </row>
    <row r="37" spans="1:17" customFormat="1" ht="21" customHeight="1">
      <c r="A37" s="646" t="s">
        <v>25</v>
      </c>
      <c r="B37" s="646"/>
      <c r="C37" s="647"/>
      <c r="D37" s="647"/>
      <c r="E37" s="647"/>
      <c r="F37" s="621"/>
      <c r="G37" s="621"/>
      <c r="H37" s="621"/>
      <c r="I37" s="648"/>
      <c r="J37" s="648"/>
      <c r="K37" s="648"/>
      <c r="L37" s="597"/>
      <c r="M37" s="597"/>
      <c r="N37" s="597"/>
      <c r="O37" s="597"/>
      <c r="P37" s="597"/>
      <c r="Q37" s="597"/>
    </row>
    <row r="38" spans="1:17" customFormat="1" ht="12.75" customHeight="1">
      <c r="A38" s="597"/>
      <c r="B38" s="597"/>
      <c r="C38" s="597"/>
      <c r="D38" s="597"/>
      <c r="E38" s="597"/>
      <c r="F38" s="597"/>
      <c r="G38" s="621"/>
      <c r="H38" s="621"/>
      <c r="I38" s="597"/>
      <c r="J38" s="597"/>
      <c r="K38" s="597"/>
      <c r="L38" s="597"/>
      <c r="M38" s="597"/>
      <c r="N38" s="597"/>
      <c r="O38" s="597"/>
      <c r="P38" s="597"/>
      <c r="Q38" s="597"/>
    </row>
    <row r="39" spans="1:17" customFormat="1" ht="88.5" customHeight="1">
      <c r="A39" s="649" t="s">
        <v>26</v>
      </c>
      <c r="B39" s="650" t="s">
        <v>337</v>
      </c>
      <c r="C39" s="651" t="s">
        <v>9</v>
      </c>
      <c r="D39" s="652" t="s">
        <v>27</v>
      </c>
      <c r="E39" s="653" t="s">
        <v>28</v>
      </c>
      <c r="F39" s="654"/>
      <c r="G39" s="616"/>
      <c r="H39" s="616"/>
      <c r="I39" s="597"/>
      <c r="J39" s="597"/>
      <c r="K39" s="597"/>
      <c r="L39" s="597"/>
      <c r="M39" s="597"/>
      <c r="N39" s="597"/>
      <c r="O39" s="597"/>
      <c r="P39" s="597"/>
      <c r="Q39" s="597"/>
    </row>
    <row r="40" spans="1:17" customFormat="1">
      <c r="A40" s="2501" t="s">
        <v>341</v>
      </c>
      <c r="B40" s="2501"/>
      <c r="C40" s="655">
        <v>2014</v>
      </c>
      <c r="D40" s="619"/>
      <c r="E40" s="618"/>
      <c r="F40" s="600"/>
      <c r="G40" s="621"/>
      <c r="H40" s="621"/>
      <c r="I40" s="597"/>
      <c r="J40" s="597"/>
      <c r="K40" s="597"/>
      <c r="L40" s="597"/>
      <c r="M40" s="597"/>
      <c r="N40" s="597"/>
      <c r="O40" s="597"/>
      <c r="P40" s="597"/>
      <c r="Q40" s="597"/>
    </row>
    <row r="41" spans="1:17" customFormat="1">
      <c r="A41" s="2501"/>
      <c r="B41" s="2501"/>
      <c r="C41" s="656">
        <v>2015</v>
      </c>
      <c r="D41" s="657"/>
      <c r="E41" s="658"/>
      <c r="F41" s="600"/>
      <c r="G41" s="621"/>
      <c r="H41" s="621"/>
      <c r="I41" s="597"/>
      <c r="J41" s="597"/>
      <c r="K41" s="597"/>
      <c r="L41" s="597"/>
      <c r="M41" s="597"/>
      <c r="N41" s="597"/>
      <c r="O41" s="597"/>
      <c r="P41" s="597"/>
      <c r="Q41" s="597"/>
    </row>
    <row r="42" spans="1:17" customFormat="1">
      <c r="A42" s="2501"/>
      <c r="B42" s="2501"/>
      <c r="C42" s="656">
        <v>2016</v>
      </c>
      <c r="D42" s="659">
        <v>68992</v>
      </c>
      <c r="E42" s="660">
        <v>16134</v>
      </c>
      <c r="F42" s="600"/>
      <c r="G42" s="621"/>
      <c r="H42" s="621"/>
      <c r="I42" s="597"/>
      <c r="J42" s="597"/>
      <c r="K42" s="597"/>
      <c r="L42" s="597"/>
      <c r="M42" s="597"/>
      <c r="N42" s="597"/>
      <c r="O42" s="597"/>
      <c r="P42" s="597"/>
      <c r="Q42" s="597"/>
    </row>
    <row r="43" spans="1:17" customFormat="1">
      <c r="A43" s="2501"/>
      <c r="B43" s="2501"/>
      <c r="C43" s="656">
        <v>2017</v>
      </c>
      <c r="D43" s="833">
        <v>21606</v>
      </c>
      <c r="E43" s="834">
        <v>12749</v>
      </c>
      <c r="F43" s="600"/>
      <c r="G43" s="621"/>
      <c r="H43" s="621"/>
      <c r="I43" s="597"/>
      <c r="J43" s="597"/>
      <c r="K43" s="597"/>
      <c r="L43" s="597"/>
      <c r="M43" s="597"/>
      <c r="N43" s="597"/>
      <c r="O43" s="597"/>
      <c r="P43" s="597"/>
      <c r="Q43" s="597"/>
    </row>
    <row r="44" spans="1:17" customFormat="1">
      <c r="A44" s="2501"/>
      <c r="B44" s="2501"/>
      <c r="C44" s="656">
        <v>2018</v>
      </c>
      <c r="D44" s="657"/>
      <c r="E44" s="658"/>
      <c r="F44" s="600"/>
      <c r="G44" s="621"/>
      <c r="H44" s="621"/>
      <c r="I44" s="597"/>
      <c r="J44" s="597"/>
      <c r="K44" s="597"/>
      <c r="L44" s="597"/>
      <c r="M44" s="597"/>
      <c r="N44" s="597"/>
      <c r="O44" s="597"/>
      <c r="P44" s="597"/>
      <c r="Q44" s="597"/>
    </row>
    <row r="45" spans="1:17" customFormat="1">
      <c r="A45" s="2501"/>
      <c r="B45" s="2501"/>
      <c r="C45" s="656">
        <v>2019</v>
      </c>
      <c r="D45" s="657"/>
      <c r="E45" s="658"/>
      <c r="F45" s="600"/>
      <c r="G45" s="621"/>
      <c r="H45" s="621"/>
      <c r="I45" s="597"/>
      <c r="J45" s="597"/>
      <c r="K45" s="597"/>
      <c r="L45" s="597"/>
      <c r="M45" s="597"/>
      <c r="N45" s="597"/>
      <c r="O45" s="597"/>
      <c r="P45" s="597"/>
      <c r="Q45" s="597"/>
    </row>
    <row r="46" spans="1:17" customFormat="1">
      <c r="A46" s="2501"/>
      <c r="B46" s="2501"/>
      <c r="C46" s="656">
        <v>2020</v>
      </c>
      <c r="D46" s="657"/>
      <c r="E46" s="658"/>
      <c r="F46" s="600"/>
      <c r="G46" s="621"/>
      <c r="H46" s="621"/>
      <c r="I46" s="597"/>
      <c r="J46" s="597"/>
      <c r="K46" s="597"/>
      <c r="L46" s="597"/>
      <c r="M46" s="597"/>
      <c r="N46" s="597"/>
      <c r="O46" s="597"/>
      <c r="P46" s="597"/>
      <c r="Q46" s="597"/>
    </row>
    <row r="47" spans="1:17" customFormat="1">
      <c r="A47" s="2501"/>
      <c r="B47" s="2501"/>
      <c r="C47" s="628" t="s">
        <v>13</v>
      </c>
      <c r="D47" s="629">
        <f>SUM(D41:D46)</f>
        <v>90598</v>
      </c>
      <c r="E47" s="630">
        <f>SUM(E41:E46)</f>
        <v>28883</v>
      </c>
      <c r="F47" s="661"/>
      <c r="G47" s="621"/>
      <c r="H47" s="621"/>
      <c r="I47" s="597"/>
      <c r="J47" s="597"/>
      <c r="K47" s="597"/>
      <c r="L47" s="597"/>
      <c r="M47" s="597"/>
      <c r="N47" s="597"/>
      <c r="O47" s="597"/>
      <c r="P47" s="597"/>
      <c r="Q47" s="597"/>
    </row>
    <row r="48" spans="1:17" s="621" customFormat="1">
      <c r="A48" s="662"/>
      <c r="B48" s="663"/>
      <c r="C48" s="664"/>
    </row>
    <row r="49" spans="1:15" customFormat="1" ht="83.25" customHeight="1">
      <c r="A49" s="665" t="s">
        <v>30</v>
      </c>
      <c r="B49" s="650" t="s">
        <v>337</v>
      </c>
      <c r="C49" s="666" t="s">
        <v>9</v>
      </c>
      <c r="D49" s="652" t="s">
        <v>31</v>
      </c>
      <c r="E49" s="653" t="s">
        <v>32</v>
      </c>
      <c r="F49" s="653" t="s">
        <v>33</v>
      </c>
      <c r="G49" s="653" t="s">
        <v>34</v>
      </c>
      <c r="H49" s="653" t="s">
        <v>35</v>
      </c>
      <c r="I49" s="653" t="s">
        <v>36</v>
      </c>
      <c r="J49" s="653" t="s">
        <v>37</v>
      </c>
      <c r="K49" s="653" t="s">
        <v>38</v>
      </c>
      <c r="L49" s="597"/>
      <c r="M49" s="597"/>
      <c r="N49" s="597"/>
      <c r="O49" s="597"/>
    </row>
    <row r="50" spans="1:15" customFormat="1" ht="17.25" customHeight="1">
      <c r="A50" s="2502" t="s">
        <v>342</v>
      </c>
      <c r="B50" s="2502"/>
      <c r="C50" s="667" t="s">
        <v>40</v>
      </c>
      <c r="D50" s="619"/>
      <c r="E50" s="618"/>
      <c r="F50" s="618"/>
      <c r="G50" s="618"/>
      <c r="H50" s="618"/>
      <c r="I50" s="618"/>
      <c r="J50" s="618"/>
      <c r="K50" s="618"/>
      <c r="L50" s="597"/>
      <c r="M50" s="597"/>
      <c r="N50" s="597"/>
      <c r="O50" s="597"/>
    </row>
    <row r="51" spans="1:15" customFormat="1" ht="15" customHeight="1">
      <c r="A51" s="2502"/>
      <c r="B51" s="2502"/>
      <c r="C51" s="656">
        <v>2014</v>
      </c>
      <c r="D51" s="625"/>
      <c r="E51" s="622"/>
      <c r="F51" s="622"/>
      <c r="G51" s="622"/>
      <c r="H51" s="622"/>
      <c r="I51" s="622"/>
      <c r="J51" s="622"/>
      <c r="K51" s="622"/>
      <c r="L51" s="597"/>
      <c r="M51" s="597"/>
      <c r="N51" s="597"/>
      <c r="O51" s="597"/>
    </row>
    <row r="52" spans="1:15" customFormat="1">
      <c r="A52" s="2502"/>
      <c r="B52" s="2502"/>
      <c r="C52" s="656">
        <v>2015</v>
      </c>
      <c r="D52" s="625"/>
      <c r="E52" s="622"/>
      <c r="F52" s="622"/>
      <c r="G52" s="622"/>
      <c r="H52" s="622"/>
      <c r="I52" s="622"/>
      <c r="J52" s="622"/>
      <c r="K52" s="622"/>
      <c r="L52" s="597"/>
      <c r="M52" s="597"/>
      <c r="N52" s="597"/>
      <c r="O52" s="597"/>
    </row>
    <row r="53" spans="1:15" customFormat="1">
      <c r="A53" s="2502"/>
      <c r="B53" s="2502"/>
      <c r="C53" s="656">
        <v>2016</v>
      </c>
      <c r="D53" s="625">
        <v>0</v>
      </c>
      <c r="E53" s="622">
        <v>0</v>
      </c>
      <c r="F53" s="622">
        <v>0</v>
      </c>
      <c r="G53" s="622">
        <v>0</v>
      </c>
      <c r="H53" s="622">
        <v>0</v>
      </c>
      <c r="I53" s="622">
        <v>0</v>
      </c>
      <c r="J53" s="622">
        <v>0</v>
      </c>
      <c r="K53" s="622">
        <v>0</v>
      </c>
      <c r="L53" s="597"/>
      <c r="M53" s="597"/>
      <c r="N53" s="597"/>
      <c r="O53" s="597"/>
    </row>
    <row r="54" spans="1:15" customFormat="1">
      <c r="A54" s="2502"/>
      <c r="B54" s="2502"/>
      <c r="C54" s="656">
        <v>2017</v>
      </c>
      <c r="D54" s="828">
        <v>0</v>
      </c>
      <c r="E54" s="679">
        <v>0</v>
      </c>
      <c r="F54" s="679">
        <v>0</v>
      </c>
      <c r="G54" s="679">
        <v>0</v>
      </c>
      <c r="H54" s="679">
        <v>0</v>
      </c>
      <c r="I54" s="679">
        <v>0</v>
      </c>
      <c r="J54" s="679">
        <v>0</v>
      </c>
      <c r="K54" s="679">
        <v>0</v>
      </c>
      <c r="L54" s="597"/>
      <c r="M54" s="597"/>
      <c r="N54" s="597"/>
      <c r="O54" s="597"/>
    </row>
    <row r="55" spans="1:15" customFormat="1">
      <c r="A55" s="2502"/>
      <c r="B55" s="2502"/>
      <c r="C55" s="656">
        <v>2018</v>
      </c>
      <c r="D55" s="625"/>
      <c r="E55" s="622"/>
      <c r="F55" s="622"/>
      <c r="G55" s="622"/>
      <c r="H55" s="622"/>
      <c r="I55" s="622"/>
      <c r="J55" s="622"/>
      <c r="K55" s="622"/>
      <c r="L55" s="597"/>
      <c r="M55" s="597"/>
      <c r="N55" s="597"/>
      <c r="O55" s="597"/>
    </row>
    <row r="56" spans="1:15" customFormat="1">
      <c r="A56" s="2502"/>
      <c r="B56" s="2502"/>
      <c r="C56" s="656">
        <v>2019</v>
      </c>
      <c r="D56" s="625"/>
      <c r="E56" s="622"/>
      <c r="F56" s="622"/>
      <c r="G56" s="622"/>
      <c r="H56" s="622"/>
      <c r="I56" s="622"/>
      <c r="J56" s="622"/>
      <c r="K56" s="622"/>
      <c r="L56" s="597"/>
      <c r="M56" s="597"/>
      <c r="N56" s="597"/>
      <c r="O56" s="597"/>
    </row>
    <row r="57" spans="1:15" customFormat="1">
      <c r="A57" s="2502"/>
      <c r="B57" s="2502"/>
      <c r="C57" s="656">
        <v>2020</v>
      </c>
      <c r="D57" s="625"/>
      <c r="E57" s="622"/>
      <c r="F57" s="622"/>
      <c r="G57" s="622"/>
      <c r="H57" s="622"/>
      <c r="I57" s="622"/>
      <c r="J57" s="622"/>
      <c r="K57" s="668"/>
      <c r="L57" s="597"/>
      <c r="M57" s="597"/>
      <c r="N57" s="597"/>
      <c r="O57" s="597"/>
    </row>
    <row r="58" spans="1:15" customFormat="1" ht="20.25" customHeight="1">
      <c r="A58" s="2502"/>
      <c r="B58" s="2502"/>
      <c r="C58" s="628" t="s">
        <v>13</v>
      </c>
      <c r="D58" s="629">
        <v>0</v>
      </c>
      <c r="E58" s="630">
        <v>0</v>
      </c>
      <c r="F58" s="630">
        <v>0</v>
      </c>
      <c r="G58" s="630">
        <v>0</v>
      </c>
      <c r="H58" s="630">
        <v>0</v>
      </c>
      <c r="I58" s="630">
        <v>0</v>
      </c>
      <c r="J58" s="630">
        <v>0</v>
      </c>
      <c r="K58" s="630">
        <v>0</v>
      </c>
      <c r="L58" s="597"/>
      <c r="M58" s="597"/>
      <c r="N58" s="597"/>
      <c r="O58" s="597"/>
    </row>
    <row r="59" spans="1:15" customFormat="1">
      <c r="A59" s="597"/>
      <c r="B59" s="597"/>
      <c r="C59" s="597"/>
      <c r="D59" s="597"/>
      <c r="E59" s="597"/>
      <c r="F59" s="597"/>
      <c r="G59" s="597"/>
      <c r="H59" s="597"/>
      <c r="I59" s="597"/>
      <c r="J59" s="597"/>
      <c r="K59" s="597"/>
      <c r="L59" s="597"/>
      <c r="M59" s="597"/>
      <c r="N59" s="597"/>
      <c r="O59" s="597"/>
    </row>
    <row r="60" spans="1:15" customFormat="1" ht="21" customHeight="1">
      <c r="A60" s="2503" t="s">
        <v>41</v>
      </c>
      <c r="B60" s="669"/>
      <c r="C60" s="2504" t="s">
        <v>9</v>
      </c>
      <c r="D60" s="2505" t="s">
        <v>42</v>
      </c>
      <c r="E60" s="2506" t="s">
        <v>6</v>
      </c>
      <c r="F60" s="2506"/>
      <c r="G60" s="2506"/>
      <c r="H60" s="2506"/>
      <c r="I60" s="2506"/>
      <c r="J60" s="2506"/>
      <c r="K60" s="2506"/>
      <c r="L60" s="2506"/>
      <c r="M60" s="597"/>
      <c r="N60" s="597"/>
      <c r="O60" s="597"/>
    </row>
    <row r="61" spans="1:15" customFormat="1" ht="115.5" customHeight="1">
      <c r="A61" s="2503"/>
      <c r="B61" s="650" t="s">
        <v>337</v>
      </c>
      <c r="C61" s="2504"/>
      <c r="D61" s="2505"/>
      <c r="E61" s="670" t="s">
        <v>14</v>
      </c>
      <c r="F61" s="671" t="s">
        <v>15</v>
      </c>
      <c r="G61" s="671" t="s">
        <v>16</v>
      </c>
      <c r="H61" s="672" t="s">
        <v>17</v>
      </c>
      <c r="I61" s="672" t="s">
        <v>338</v>
      </c>
      <c r="J61" s="673" t="s">
        <v>19</v>
      </c>
      <c r="K61" s="671" t="s">
        <v>20</v>
      </c>
      <c r="L61" s="671" t="s">
        <v>21</v>
      </c>
      <c r="M61" s="674"/>
      <c r="N61" s="600"/>
      <c r="O61" s="600"/>
    </row>
    <row r="62" spans="1:15" customFormat="1">
      <c r="A62" s="2501" t="s">
        <v>343</v>
      </c>
      <c r="B62" s="2501"/>
      <c r="C62" s="655">
        <v>2014</v>
      </c>
      <c r="D62" s="655"/>
      <c r="E62" s="675"/>
      <c r="F62" s="676"/>
      <c r="G62" s="676"/>
      <c r="H62" s="676"/>
      <c r="I62" s="676"/>
      <c r="J62" s="676"/>
      <c r="K62" s="676"/>
      <c r="L62" s="618"/>
      <c r="M62" s="600"/>
      <c r="N62" s="600"/>
      <c r="O62" s="600"/>
    </row>
    <row r="63" spans="1:15" customFormat="1">
      <c r="A63" s="2501"/>
      <c r="B63" s="2501"/>
      <c r="C63" s="656">
        <v>2015</v>
      </c>
      <c r="D63" s="656"/>
      <c r="E63" s="677"/>
      <c r="F63" s="622"/>
      <c r="G63" s="622"/>
      <c r="H63" s="622"/>
      <c r="I63" s="622"/>
      <c r="J63" s="622"/>
      <c r="K63" s="622"/>
      <c r="L63" s="622"/>
      <c r="M63" s="600"/>
      <c r="N63" s="600"/>
      <c r="O63" s="600"/>
    </row>
    <row r="64" spans="1:15" customFormat="1">
      <c r="A64" s="2501"/>
      <c r="B64" s="2501"/>
      <c r="C64" s="656">
        <v>2016</v>
      </c>
      <c r="D64" s="678">
        <v>5</v>
      </c>
      <c r="E64" s="677">
        <v>0</v>
      </c>
      <c r="F64" s="622">
        <v>0</v>
      </c>
      <c r="G64" s="622">
        <v>0</v>
      </c>
      <c r="H64" s="622">
        <v>0</v>
      </c>
      <c r="I64" s="622">
        <v>0</v>
      </c>
      <c r="J64" s="622">
        <v>0</v>
      </c>
      <c r="K64" s="622">
        <v>0</v>
      </c>
      <c r="L64" s="679">
        <v>5</v>
      </c>
      <c r="M64" s="600"/>
      <c r="N64" s="600"/>
      <c r="O64" s="600"/>
    </row>
    <row r="65" spans="1:20" customFormat="1">
      <c r="A65" s="2501"/>
      <c r="B65" s="2501"/>
      <c r="C65" s="656">
        <v>2017</v>
      </c>
      <c r="D65" s="678">
        <v>0</v>
      </c>
      <c r="E65" s="712">
        <v>0</v>
      </c>
      <c r="F65" s="679">
        <v>0</v>
      </c>
      <c r="G65" s="679">
        <v>0</v>
      </c>
      <c r="H65" s="679">
        <v>0</v>
      </c>
      <c r="I65" s="679">
        <v>0</v>
      </c>
      <c r="J65" s="679">
        <v>0</v>
      </c>
      <c r="K65" s="679">
        <v>0</v>
      </c>
      <c r="L65" s="679">
        <v>0</v>
      </c>
      <c r="M65" s="600"/>
      <c r="N65" s="600"/>
      <c r="O65" s="600"/>
      <c r="P65" s="597"/>
      <c r="Q65" s="597"/>
      <c r="R65" s="597"/>
      <c r="S65" s="597"/>
      <c r="T65" s="597"/>
    </row>
    <row r="66" spans="1:20" customFormat="1">
      <c r="A66" s="2501"/>
      <c r="B66" s="2501"/>
      <c r="C66" s="656">
        <v>2018</v>
      </c>
      <c r="D66" s="656"/>
      <c r="E66" s="677"/>
      <c r="F66" s="622"/>
      <c r="G66" s="622"/>
      <c r="H66" s="622"/>
      <c r="I66" s="622"/>
      <c r="J66" s="622"/>
      <c r="K66" s="622"/>
      <c r="L66" s="622"/>
      <c r="M66" s="600"/>
      <c r="N66" s="600"/>
      <c r="O66" s="600"/>
      <c r="P66" s="597"/>
      <c r="Q66" s="597"/>
      <c r="R66" s="597"/>
      <c r="S66" s="597"/>
      <c r="T66" s="597"/>
    </row>
    <row r="67" spans="1:20" customFormat="1" ht="17.25" customHeight="1">
      <c r="A67" s="2501"/>
      <c r="B67" s="2501"/>
      <c r="C67" s="656">
        <v>2019</v>
      </c>
      <c r="D67" s="656"/>
      <c r="E67" s="677"/>
      <c r="F67" s="622"/>
      <c r="G67" s="622"/>
      <c r="H67" s="622"/>
      <c r="I67" s="622"/>
      <c r="J67" s="622"/>
      <c r="K67" s="622"/>
      <c r="L67" s="622"/>
      <c r="M67" s="600"/>
      <c r="N67" s="600"/>
      <c r="O67" s="600"/>
      <c r="P67" s="597"/>
      <c r="Q67" s="597"/>
      <c r="R67" s="597"/>
      <c r="S67" s="597"/>
      <c r="T67" s="597"/>
    </row>
    <row r="68" spans="1:20" customFormat="1" ht="16.5" customHeight="1">
      <c r="A68" s="2501"/>
      <c r="B68" s="2501"/>
      <c r="C68" s="656">
        <v>2020</v>
      </c>
      <c r="D68" s="656"/>
      <c r="E68" s="677"/>
      <c r="F68" s="622"/>
      <c r="G68" s="622"/>
      <c r="H68" s="622"/>
      <c r="I68" s="622"/>
      <c r="J68" s="622"/>
      <c r="K68" s="622"/>
      <c r="L68" s="622"/>
      <c r="M68" s="661"/>
      <c r="N68" s="661"/>
      <c r="O68" s="661"/>
      <c r="P68" s="597"/>
      <c r="Q68" s="597"/>
      <c r="R68" s="597"/>
      <c r="S68" s="597"/>
      <c r="T68" s="597"/>
    </row>
    <row r="69" spans="1:20" customFormat="1" ht="18" customHeight="1">
      <c r="A69" s="2501"/>
      <c r="B69" s="2501"/>
      <c r="C69" s="680" t="s">
        <v>13</v>
      </c>
      <c r="D69" s="681">
        <f t="shared" ref="D69:L69" si="1">SUM(D63:D68)</f>
        <v>5</v>
      </c>
      <c r="E69" s="682">
        <f t="shared" si="1"/>
        <v>0</v>
      </c>
      <c r="F69" s="683">
        <f t="shared" si="1"/>
        <v>0</v>
      </c>
      <c r="G69" s="683">
        <f t="shared" si="1"/>
        <v>0</v>
      </c>
      <c r="H69" s="683">
        <f t="shared" si="1"/>
        <v>0</v>
      </c>
      <c r="I69" s="683">
        <f t="shared" si="1"/>
        <v>0</v>
      </c>
      <c r="J69" s="683">
        <f t="shared" si="1"/>
        <v>0</v>
      </c>
      <c r="K69" s="683">
        <f t="shared" si="1"/>
        <v>0</v>
      </c>
      <c r="L69" s="683">
        <f t="shared" si="1"/>
        <v>5</v>
      </c>
      <c r="M69" s="661"/>
      <c r="N69" s="661"/>
      <c r="O69" s="661"/>
      <c r="P69" s="597"/>
      <c r="Q69" s="597"/>
      <c r="R69" s="597"/>
      <c r="S69" s="597"/>
      <c r="T69" s="597"/>
    </row>
    <row r="70" spans="1:20" customFormat="1" ht="20.25" customHeight="1">
      <c r="A70" s="684"/>
      <c r="B70" s="685"/>
      <c r="C70" s="686"/>
      <c r="D70" s="687"/>
      <c r="E70" s="687"/>
      <c r="F70" s="687"/>
      <c r="G70" s="687"/>
      <c r="H70" s="686"/>
      <c r="I70" s="688"/>
      <c r="J70" s="688"/>
      <c r="K70" s="688"/>
      <c r="L70" s="688"/>
      <c r="M70" s="688"/>
      <c r="N70" s="688"/>
      <c r="O70" s="688"/>
      <c r="P70" s="617"/>
      <c r="Q70" s="617"/>
      <c r="R70" s="617"/>
      <c r="S70" s="617"/>
      <c r="T70" s="617"/>
    </row>
    <row r="71" spans="1:20" customFormat="1" ht="132" customHeight="1">
      <c r="A71" s="649" t="s">
        <v>44</v>
      </c>
      <c r="B71" s="650" t="s">
        <v>337</v>
      </c>
      <c r="C71" s="651" t="s">
        <v>9</v>
      </c>
      <c r="D71" s="689" t="s">
        <v>45</v>
      </c>
      <c r="E71" s="689" t="s">
        <v>344</v>
      </c>
      <c r="F71" s="689" t="s">
        <v>345</v>
      </c>
      <c r="G71" s="690" t="s">
        <v>48</v>
      </c>
      <c r="H71" s="691" t="s">
        <v>14</v>
      </c>
      <c r="I71" s="689" t="s">
        <v>15</v>
      </c>
      <c r="J71" s="689" t="s">
        <v>16</v>
      </c>
      <c r="K71" s="689" t="s">
        <v>17</v>
      </c>
      <c r="L71" s="689" t="s">
        <v>338</v>
      </c>
      <c r="M71" s="692" t="s">
        <v>19</v>
      </c>
      <c r="N71" s="689" t="s">
        <v>20</v>
      </c>
      <c r="O71" s="689" t="s">
        <v>21</v>
      </c>
      <c r="P71" s="597"/>
      <c r="Q71" s="597"/>
      <c r="R71" s="597"/>
      <c r="S71" s="597"/>
      <c r="T71" s="597"/>
    </row>
    <row r="72" spans="1:20" customFormat="1" ht="15" customHeight="1">
      <c r="A72" s="2501" t="s">
        <v>346</v>
      </c>
      <c r="B72" s="2501"/>
      <c r="C72" s="655">
        <v>2014</v>
      </c>
      <c r="D72" s="655"/>
      <c r="E72" s="655"/>
      <c r="F72" s="655"/>
      <c r="G72" s="693">
        <v>0</v>
      </c>
      <c r="H72" s="619"/>
      <c r="I72" s="694"/>
      <c r="J72" s="676"/>
      <c r="K72" s="676"/>
      <c r="L72" s="676"/>
      <c r="M72" s="676"/>
      <c r="N72" s="676"/>
      <c r="O72" s="676"/>
      <c r="P72" s="597"/>
      <c r="Q72" s="597"/>
      <c r="R72" s="597"/>
      <c r="S72" s="597"/>
      <c r="T72" s="597"/>
    </row>
    <row r="73" spans="1:20" customFormat="1">
      <c r="A73" s="2501"/>
      <c r="B73" s="2501"/>
      <c r="C73" s="656">
        <v>2015</v>
      </c>
      <c r="D73" s="656"/>
      <c r="E73" s="656"/>
      <c r="F73" s="656"/>
      <c r="G73" s="693"/>
      <c r="H73" s="625"/>
      <c r="I73" s="625"/>
      <c r="J73" s="622"/>
      <c r="K73" s="622"/>
      <c r="L73" s="622"/>
      <c r="M73" s="622"/>
      <c r="N73" s="622"/>
      <c r="O73" s="622"/>
      <c r="P73" s="597"/>
      <c r="Q73" s="597"/>
      <c r="R73" s="597"/>
      <c r="S73" s="597"/>
      <c r="T73" s="597"/>
    </row>
    <row r="74" spans="1:20" customFormat="1">
      <c r="A74" s="2501"/>
      <c r="B74" s="2501"/>
      <c r="C74" s="656">
        <v>2016</v>
      </c>
      <c r="D74" s="656">
        <v>0</v>
      </c>
      <c r="E74" s="656">
        <v>2</v>
      </c>
      <c r="F74" s="656">
        <v>1</v>
      </c>
      <c r="G74" s="693">
        <f>SUM(D74,E74,F74)</f>
        <v>3</v>
      </c>
      <c r="H74" s="625">
        <v>0</v>
      </c>
      <c r="I74" s="625">
        <v>0</v>
      </c>
      <c r="J74" s="622">
        <v>0</v>
      </c>
      <c r="K74" s="622">
        <v>0</v>
      </c>
      <c r="L74" s="622">
        <v>0</v>
      </c>
      <c r="M74" s="622">
        <v>0</v>
      </c>
      <c r="N74" s="622">
        <v>0</v>
      </c>
      <c r="O74" s="622">
        <v>3</v>
      </c>
      <c r="P74" s="597"/>
      <c r="Q74" s="597"/>
      <c r="R74" s="597"/>
      <c r="S74" s="597"/>
      <c r="T74" s="597"/>
    </row>
    <row r="75" spans="1:20" customFormat="1">
      <c r="A75" s="2501"/>
      <c r="B75" s="2501"/>
      <c r="C75" s="656">
        <v>2017</v>
      </c>
      <c r="D75" s="678">
        <v>0</v>
      </c>
      <c r="E75" s="678">
        <v>0</v>
      </c>
      <c r="F75" s="678">
        <v>0</v>
      </c>
      <c r="G75" s="835">
        <v>0</v>
      </c>
      <c r="H75" s="828">
        <v>0</v>
      </c>
      <c r="I75" s="828">
        <v>0</v>
      </c>
      <c r="J75" s="679">
        <v>0</v>
      </c>
      <c r="K75" s="679">
        <v>0</v>
      </c>
      <c r="L75" s="679">
        <v>0</v>
      </c>
      <c r="M75" s="679">
        <v>0</v>
      </c>
      <c r="N75" s="679">
        <v>0</v>
      </c>
      <c r="O75" s="679">
        <v>0</v>
      </c>
      <c r="P75" s="597"/>
      <c r="Q75" s="597"/>
      <c r="R75" s="597"/>
      <c r="S75" s="597"/>
      <c r="T75" s="597"/>
    </row>
    <row r="76" spans="1:20" customFormat="1">
      <c r="A76" s="2501"/>
      <c r="B76" s="2501"/>
      <c r="C76" s="656">
        <v>2018</v>
      </c>
      <c r="D76" s="656"/>
      <c r="E76" s="656"/>
      <c r="F76" s="656"/>
      <c r="G76" s="693">
        <v>0</v>
      </c>
      <c r="H76" s="625"/>
      <c r="I76" s="625"/>
      <c r="J76" s="622"/>
      <c r="K76" s="622"/>
      <c r="L76" s="622"/>
      <c r="M76" s="622"/>
      <c r="N76" s="622"/>
      <c r="O76" s="622"/>
      <c r="P76" s="597"/>
      <c r="Q76" s="597"/>
      <c r="R76" s="597"/>
      <c r="S76" s="597"/>
      <c r="T76" s="597"/>
    </row>
    <row r="77" spans="1:20" customFormat="1" ht="15.75" customHeight="1">
      <c r="A77" s="2501"/>
      <c r="B77" s="2501"/>
      <c r="C77" s="656">
        <v>2019</v>
      </c>
      <c r="D77" s="656"/>
      <c r="E77" s="656"/>
      <c r="F77" s="656"/>
      <c r="G77" s="693">
        <v>0</v>
      </c>
      <c r="H77" s="625"/>
      <c r="I77" s="625"/>
      <c r="J77" s="622"/>
      <c r="K77" s="622"/>
      <c r="L77" s="622"/>
      <c r="M77" s="622"/>
      <c r="N77" s="622"/>
      <c r="O77" s="622"/>
      <c r="P77" s="597"/>
      <c r="Q77" s="597"/>
      <c r="R77" s="597"/>
      <c r="S77" s="597"/>
      <c r="T77" s="597"/>
    </row>
    <row r="78" spans="1:20" customFormat="1" ht="17.25" customHeight="1">
      <c r="A78" s="2501"/>
      <c r="B78" s="2501"/>
      <c r="C78" s="656">
        <v>2020</v>
      </c>
      <c r="D78" s="656"/>
      <c r="E78" s="656"/>
      <c r="F78" s="656"/>
      <c r="G78" s="693">
        <v>0</v>
      </c>
      <c r="H78" s="625"/>
      <c r="I78" s="625"/>
      <c r="J78" s="622"/>
      <c r="K78" s="622"/>
      <c r="L78" s="622"/>
      <c r="M78" s="622"/>
      <c r="N78" s="622"/>
      <c r="O78" s="622"/>
      <c r="P78" s="597"/>
      <c r="Q78" s="597"/>
      <c r="R78" s="597"/>
      <c r="S78" s="597"/>
      <c r="T78" s="597"/>
    </row>
    <row r="79" spans="1:20" customFormat="1" ht="20.25" customHeight="1">
      <c r="A79" s="2501"/>
      <c r="B79" s="2501"/>
      <c r="C79" s="680" t="s">
        <v>13</v>
      </c>
      <c r="D79" s="681">
        <f>SUM(D73:D78)</f>
        <v>0</v>
      </c>
      <c r="E79" s="681">
        <f>SUM(E73:E78)</f>
        <v>2</v>
      </c>
      <c r="F79" s="681">
        <f>SUM(F73:F78)</f>
        <v>1</v>
      </c>
      <c r="G79" s="695">
        <f>SUM(G72:G78)</f>
        <v>3</v>
      </c>
      <c r="H79" s="696">
        <f t="shared" ref="H79:O79" si="2">SUM(H73:H78)</f>
        <v>0</v>
      </c>
      <c r="I79" s="697">
        <f t="shared" si="2"/>
        <v>0</v>
      </c>
      <c r="J79" s="683">
        <f t="shared" si="2"/>
        <v>0</v>
      </c>
      <c r="K79" s="683">
        <f t="shared" si="2"/>
        <v>0</v>
      </c>
      <c r="L79" s="683">
        <f t="shared" si="2"/>
        <v>0</v>
      </c>
      <c r="M79" s="683">
        <f t="shared" si="2"/>
        <v>0</v>
      </c>
      <c r="N79" s="683">
        <f t="shared" si="2"/>
        <v>0</v>
      </c>
      <c r="O79" s="683">
        <f t="shared" si="2"/>
        <v>3</v>
      </c>
      <c r="P79" s="597"/>
      <c r="Q79" s="597"/>
      <c r="R79" s="597"/>
      <c r="S79" s="597"/>
      <c r="T79" s="597"/>
    </row>
    <row r="80" spans="1:20" customFormat="1">
      <c r="A80" s="597"/>
      <c r="B80" s="597"/>
      <c r="C80" s="597"/>
      <c r="D80" s="597"/>
      <c r="E80" s="597"/>
      <c r="F80" s="597"/>
      <c r="G80" s="597"/>
      <c r="H80" s="597"/>
      <c r="I80" s="597"/>
      <c r="J80" s="597"/>
      <c r="K80" s="597"/>
      <c r="L80" s="597"/>
      <c r="M80" s="597"/>
      <c r="N80" s="597"/>
      <c r="O80" s="597"/>
      <c r="P80" s="597"/>
      <c r="Q80" s="597"/>
      <c r="R80" s="597"/>
      <c r="S80" s="597"/>
      <c r="T80" s="597"/>
    </row>
    <row r="81" spans="1:16" customFormat="1" ht="36.75" customHeight="1">
      <c r="A81" s="698"/>
      <c r="B81" s="685"/>
      <c r="C81" s="699"/>
      <c r="D81" s="700"/>
      <c r="E81" s="661"/>
      <c r="F81" s="661"/>
      <c r="G81" s="661"/>
      <c r="H81" s="661"/>
      <c r="I81" s="661"/>
      <c r="J81" s="661"/>
      <c r="K81" s="661"/>
      <c r="L81" s="597"/>
      <c r="M81" s="597"/>
      <c r="N81" s="597"/>
      <c r="O81" s="597"/>
      <c r="P81" s="597"/>
    </row>
    <row r="82" spans="1:16" customFormat="1" ht="28.5" customHeight="1">
      <c r="A82" s="701" t="s">
        <v>49</v>
      </c>
      <c r="B82" s="701"/>
      <c r="C82" s="702"/>
      <c r="D82" s="702"/>
      <c r="E82" s="702"/>
      <c r="F82" s="702"/>
      <c r="G82" s="702"/>
      <c r="H82" s="702"/>
      <c r="I82" s="702"/>
      <c r="J82" s="702"/>
      <c r="K82" s="702"/>
      <c r="L82" s="703"/>
      <c r="M82" s="597"/>
      <c r="N82" s="597"/>
      <c r="O82" s="597"/>
      <c r="P82" s="597"/>
    </row>
    <row r="83" spans="1:16" customFormat="1" ht="14.25" customHeight="1">
      <c r="A83" s="594"/>
      <c r="B83" s="594"/>
      <c r="C83" s="597"/>
      <c r="D83" s="597"/>
      <c r="E83" s="597"/>
      <c r="F83" s="597"/>
      <c r="G83" s="597"/>
      <c r="H83" s="597"/>
      <c r="I83" s="597"/>
      <c r="J83" s="597"/>
      <c r="K83" s="597"/>
      <c r="L83" s="597"/>
      <c r="M83" s="597"/>
      <c r="N83" s="597"/>
      <c r="O83" s="597"/>
      <c r="P83" s="597"/>
    </row>
    <row r="84" spans="1:16" s="617" customFormat="1" ht="128.25" customHeight="1">
      <c r="A84" s="704" t="s">
        <v>347</v>
      </c>
      <c r="B84" s="705" t="s">
        <v>348</v>
      </c>
      <c r="C84" s="706" t="s">
        <v>9</v>
      </c>
      <c r="D84" s="707" t="s">
        <v>349</v>
      </c>
      <c r="E84" s="708" t="s">
        <v>350</v>
      </c>
      <c r="F84" s="706" t="s">
        <v>54</v>
      </c>
      <c r="G84" s="706" t="s">
        <v>55</v>
      </c>
      <c r="H84" s="706" t="s">
        <v>56</v>
      </c>
      <c r="I84" s="706" t="s">
        <v>57</v>
      </c>
      <c r="J84" s="706" t="s">
        <v>58</v>
      </c>
      <c r="K84" s="706" t="s">
        <v>59</v>
      </c>
    </row>
    <row r="85" spans="1:16" customFormat="1" ht="15" customHeight="1">
      <c r="A85" s="2507" t="s">
        <v>351</v>
      </c>
      <c r="B85" s="2507"/>
      <c r="C85" s="655">
        <v>2014</v>
      </c>
      <c r="D85" s="709"/>
      <c r="E85" s="710"/>
      <c r="F85" s="618"/>
      <c r="G85" s="618"/>
      <c r="H85" s="618"/>
      <c r="I85" s="618"/>
      <c r="J85" s="618"/>
      <c r="K85" s="618"/>
      <c r="L85" s="597"/>
      <c r="M85" s="597"/>
      <c r="N85" s="597"/>
      <c r="O85" s="597"/>
      <c r="P85" s="597"/>
    </row>
    <row r="86" spans="1:16" customFormat="1">
      <c r="A86" s="2507"/>
      <c r="B86" s="2507"/>
      <c r="C86" s="656">
        <v>2015</v>
      </c>
      <c r="D86" s="711"/>
      <c r="E86" s="677"/>
      <c r="F86" s="622"/>
      <c r="G86" s="622"/>
      <c r="H86" s="622"/>
      <c r="I86" s="622"/>
      <c r="J86" s="622"/>
      <c r="K86" s="622"/>
      <c r="L86" s="597"/>
      <c r="M86" s="597"/>
      <c r="N86" s="597"/>
      <c r="O86" s="597"/>
      <c r="P86" s="597"/>
    </row>
    <row r="87" spans="1:16" customFormat="1">
      <c r="A87" s="2507"/>
      <c r="B87" s="2507"/>
      <c r="C87" s="656">
        <v>2016</v>
      </c>
      <c r="D87" s="711">
        <v>3</v>
      </c>
      <c r="E87" s="712">
        <v>0</v>
      </c>
      <c r="F87" s="679">
        <v>0</v>
      </c>
      <c r="G87" s="679">
        <v>0</v>
      </c>
      <c r="H87" s="679">
        <v>0</v>
      </c>
      <c r="I87" s="679">
        <v>0</v>
      </c>
      <c r="J87" s="679">
        <v>0</v>
      </c>
      <c r="K87" s="679">
        <v>3</v>
      </c>
      <c r="L87" s="597"/>
      <c r="M87" s="597"/>
      <c r="N87" s="597"/>
      <c r="O87" s="597"/>
      <c r="P87" s="597"/>
    </row>
    <row r="88" spans="1:16" customFormat="1">
      <c r="A88" s="2507"/>
      <c r="B88" s="2507"/>
      <c r="C88" s="656">
        <v>2017</v>
      </c>
      <c r="D88" s="836">
        <v>0</v>
      </c>
      <c r="E88" s="712">
        <v>0</v>
      </c>
      <c r="F88" s="679">
        <v>0</v>
      </c>
      <c r="G88" s="679">
        <v>0</v>
      </c>
      <c r="H88" s="679">
        <v>0</v>
      </c>
      <c r="I88" s="679">
        <v>0</v>
      </c>
      <c r="J88" s="679">
        <v>0</v>
      </c>
      <c r="K88" s="679">
        <v>0</v>
      </c>
      <c r="L88" s="597"/>
      <c r="M88" s="597"/>
      <c r="N88" s="597"/>
      <c r="O88" s="597"/>
      <c r="P88" s="597"/>
    </row>
    <row r="89" spans="1:16" customFormat="1">
      <c r="A89" s="2507"/>
      <c r="B89" s="2507"/>
      <c r="C89" s="656">
        <v>2018</v>
      </c>
      <c r="D89" s="711"/>
      <c r="E89" s="677"/>
      <c r="F89" s="622"/>
      <c r="G89" s="622"/>
      <c r="H89" s="622"/>
      <c r="I89" s="622"/>
      <c r="J89" s="622"/>
      <c r="K89" s="622"/>
      <c r="L89" s="597"/>
      <c r="M89" s="597"/>
      <c r="N89" s="597"/>
      <c r="O89" s="597"/>
      <c r="P89" s="597"/>
    </row>
    <row r="90" spans="1:16" customFormat="1">
      <c r="A90" s="2507"/>
      <c r="B90" s="2507"/>
      <c r="C90" s="656">
        <v>2019</v>
      </c>
      <c r="D90" s="711"/>
      <c r="E90" s="677"/>
      <c r="F90" s="622"/>
      <c r="G90" s="622"/>
      <c r="H90" s="622"/>
      <c r="I90" s="622"/>
      <c r="J90" s="622"/>
      <c r="K90" s="622"/>
      <c r="L90" s="597"/>
      <c r="M90" s="597"/>
      <c r="N90" s="597"/>
      <c r="O90" s="597"/>
      <c r="P90" s="597"/>
    </row>
    <row r="91" spans="1:16" customFormat="1">
      <c r="A91" s="2507"/>
      <c r="B91" s="2507"/>
      <c r="C91" s="656">
        <v>2020</v>
      </c>
      <c r="D91" s="711"/>
      <c r="E91" s="677"/>
      <c r="F91" s="622"/>
      <c r="G91" s="622"/>
      <c r="H91" s="622"/>
      <c r="I91" s="622"/>
      <c r="J91" s="622"/>
      <c r="K91" s="622"/>
      <c r="L91" s="597"/>
      <c r="M91" s="597"/>
      <c r="N91" s="597"/>
      <c r="O91" s="597"/>
      <c r="P91" s="597"/>
    </row>
    <row r="92" spans="1:16" customFormat="1" ht="18" customHeight="1">
      <c r="A92" s="2507"/>
      <c r="B92" s="2507"/>
      <c r="C92" s="680" t="s">
        <v>13</v>
      </c>
      <c r="D92" s="713">
        <f>SUM(D86:D91)</f>
        <v>3</v>
      </c>
      <c r="E92" s="682">
        <v>0</v>
      </c>
      <c r="F92" s="683">
        <v>0</v>
      </c>
      <c r="G92" s="683">
        <v>0</v>
      </c>
      <c r="H92" s="683">
        <v>0</v>
      </c>
      <c r="I92" s="683">
        <v>0</v>
      </c>
      <c r="J92" s="683">
        <v>0</v>
      </c>
      <c r="K92" s="683">
        <f>SUM(K86:K91)</f>
        <v>3</v>
      </c>
      <c r="L92" s="597"/>
      <c r="M92" s="597"/>
      <c r="N92" s="597"/>
      <c r="O92" s="597"/>
      <c r="P92" s="597"/>
    </row>
    <row r="93" spans="1:16" customFormat="1" ht="20.25" customHeight="1">
      <c r="A93" s="597"/>
      <c r="B93" s="597"/>
      <c r="C93" s="597"/>
      <c r="D93" s="597"/>
      <c r="E93" s="597"/>
      <c r="F93" s="597"/>
      <c r="G93" s="597"/>
      <c r="H93" s="597"/>
      <c r="I93" s="597"/>
      <c r="J93" s="597"/>
      <c r="K93" s="597"/>
      <c r="L93" s="597"/>
      <c r="M93" s="597"/>
      <c r="N93" s="597"/>
      <c r="O93" s="597"/>
      <c r="P93" s="597"/>
    </row>
    <row r="94" spans="1:16" customFormat="1" ht="21">
      <c r="A94" s="714" t="s">
        <v>60</v>
      </c>
      <c r="B94" s="714"/>
      <c r="C94" s="715"/>
      <c r="D94" s="715"/>
      <c r="E94" s="715"/>
      <c r="F94" s="715"/>
      <c r="G94" s="715"/>
      <c r="H94" s="715"/>
      <c r="I94" s="715"/>
      <c r="J94" s="715"/>
      <c r="K94" s="715"/>
      <c r="L94" s="715"/>
      <c r="M94" s="715"/>
      <c r="N94" s="716"/>
      <c r="O94" s="716"/>
      <c r="P94" s="716"/>
    </row>
    <row r="95" spans="1:16" s="648" customFormat="1" ht="15" customHeight="1">
      <c r="A95" s="717"/>
      <c r="B95" s="717"/>
    </row>
    <row r="96" spans="1:16" customFormat="1" ht="29.25" customHeight="1">
      <c r="A96" s="2508" t="s">
        <v>61</v>
      </c>
      <c r="B96" s="2509" t="s">
        <v>352</v>
      </c>
      <c r="C96" s="2512" t="s">
        <v>9</v>
      </c>
      <c r="D96" s="2511" t="s">
        <v>63</v>
      </c>
      <c r="E96" s="2511"/>
      <c r="F96" s="2510" t="s">
        <v>64</v>
      </c>
      <c r="G96" s="2510"/>
      <c r="H96" s="2510"/>
      <c r="I96" s="2510"/>
      <c r="J96" s="2510"/>
      <c r="K96" s="2510"/>
      <c r="L96" s="2510"/>
      <c r="M96" s="2510"/>
      <c r="N96" s="718"/>
      <c r="O96" s="718"/>
      <c r="P96" s="718"/>
    </row>
    <row r="97" spans="1:16" customFormat="1" ht="100.5" customHeight="1">
      <c r="A97" s="2508"/>
      <c r="B97" s="2509"/>
      <c r="C97" s="2512"/>
      <c r="D97" s="719" t="s">
        <v>65</v>
      </c>
      <c r="E97" s="720" t="s">
        <v>66</v>
      </c>
      <c r="F97" s="721" t="s">
        <v>14</v>
      </c>
      <c r="G97" s="722" t="s">
        <v>67</v>
      </c>
      <c r="H97" s="723" t="s">
        <v>55</v>
      </c>
      <c r="I97" s="724" t="s">
        <v>56</v>
      </c>
      <c r="J97" s="724" t="s">
        <v>57</v>
      </c>
      <c r="K97" s="725" t="s">
        <v>68</v>
      </c>
      <c r="L97" s="723" t="s">
        <v>58</v>
      </c>
      <c r="M97" s="723" t="s">
        <v>59</v>
      </c>
      <c r="N97" s="718"/>
      <c r="O97" s="718"/>
      <c r="P97" s="718"/>
    </row>
    <row r="98" spans="1:16" customFormat="1" ht="17.25" customHeight="1">
      <c r="A98" s="2507" t="s">
        <v>353</v>
      </c>
      <c r="B98" s="2501"/>
      <c r="C98" s="655">
        <v>2014</v>
      </c>
      <c r="D98" s="619"/>
      <c r="E98" s="618"/>
      <c r="F98" s="726"/>
      <c r="G98" s="655"/>
      <c r="H98" s="655"/>
      <c r="I98" s="655"/>
      <c r="J98" s="655"/>
      <c r="K98" s="655"/>
      <c r="L98" s="655"/>
      <c r="M98" s="655"/>
      <c r="N98" s="718"/>
      <c r="O98" s="718"/>
      <c r="P98" s="718"/>
    </row>
    <row r="99" spans="1:16" customFormat="1" ht="16.5" customHeight="1">
      <c r="A99" s="2501"/>
      <c r="B99" s="2501"/>
      <c r="C99" s="656">
        <v>2015</v>
      </c>
      <c r="D99" s="625"/>
      <c r="E99" s="727"/>
      <c r="F99" s="728"/>
      <c r="G99" s="656"/>
      <c r="H99" s="656"/>
      <c r="I99" s="656"/>
      <c r="J99" s="656"/>
      <c r="K99" s="656"/>
      <c r="L99" s="656"/>
      <c r="M99" s="656"/>
      <c r="N99" s="718"/>
      <c r="O99" s="718"/>
      <c r="P99" s="718"/>
    </row>
    <row r="100" spans="1:16" customFormat="1" ht="16.5" customHeight="1">
      <c r="A100" s="2501"/>
      <c r="B100" s="2501"/>
      <c r="C100" s="656">
        <v>2016</v>
      </c>
      <c r="D100" s="625">
        <v>1</v>
      </c>
      <c r="E100" s="622">
        <v>10</v>
      </c>
      <c r="F100" s="728">
        <v>0</v>
      </c>
      <c r="G100" s="656">
        <v>0</v>
      </c>
      <c r="H100" s="656">
        <v>0</v>
      </c>
      <c r="I100" s="656">
        <v>0</v>
      </c>
      <c r="J100" s="656">
        <v>0</v>
      </c>
      <c r="K100" s="656">
        <v>0</v>
      </c>
      <c r="L100" s="656">
        <v>0</v>
      </c>
      <c r="M100" s="656">
        <v>1</v>
      </c>
      <c r="N100" s="718"/>
      <c r="O100" s="718"/>
      <c r="P100" s="718"/>
    </row>
    <row r="101" spans="1:16" customFormat="1" ht="16.5" customHeight="1">
      <c r="A101" s="2501"/>
      <c r="B101" s="2501"/>
      <c r="C101" s="656">
        <v>2017</v>
      </c>
      <c r="D101" s="828">
        <v>1</v>
      </c>
      <c r="E101" s="679">
        <v>7</v>
      </c>
      <c r="F101" s="837">
        <v>0</v>
      </c>
      <c r="G101" s="678">
        <v>0</v>
      </c>
      <c r="H101" s="678">
        <v>0</v>
      </c>
      <c r="I101" s="678">
        <v>0</v>
      </c>
      <c r="J101" s="678">
        <v>0</v>
      </c>
      <c r="K101" s="678">
        <v>0</v>
      </c>
      <c r="L101" s="678">
        <v>0</v>
      </c>
      <c r="M101" s="678">
        <v>1</v>
      </c>
      <c r="N101" s="718"/>
      <c r="O101" s="718"/>
      <c r="P101" s="718"/>
    </row>
    <row r="102" spans="1:16" customFormat="1" ht="15.75" customHeight="1">
      <c r="A102" s="2501"/>
      <c r="B102" s="2501"/>
      <c r="C102" s="656">
        <v>2018</v>
      </c>
      <c r="D102" s="625"/>
      <c r="E102" s="622"/>
      <c r="F102" s="728"/>
      <c r="G102" s="656"/>
      <c r="H102" s="656"/>
      <c r="I102" s="656"/>
      <c r="J102" s="656"/>
      <c r="K102" s="656"/>
      <c r="L102" s="656"/>
      <c r="M102" s="656"/>
      <c r="N102" s="718"/>
      <c r="O102" s="718"/>
      <c r="P102" s="718"/>
    </row>
    <row r="103" spans="1:16" customFormat="1" ht="14.25" customHeight="1">
      <c r="A103" s="2501"/>
      <c r="B103" s="2501"/>
      <c r="C103" s="656">
        <v>2019</v>
      </c>
      <c r="D103" s="625"/>
      <c r="E103" s="622"/>
      <c r="F103" s="728"/>
      <c r="G103" s="656"/>
      <c r="H103" s="656"/>
      <c r="I103" s="656"/>
      <c r="J103" s="656"/>
      <c r="K103" s="656"/>
      <c r="L103" s="656"/>
      <c r="M103" s="656"/>
      <c r="N103" s="718"/>
      <c r="O103" s="718"/>
      <c r="P103" s="718"/>
    </row>
    <row r="104" spans="1:16" customFormat="1" ht="14.25" customHeight="1">
      <c r="A104" s="2501"/>
      <c r="B104" s="2501"/>
      <c r="C104" s="656">
        <v>2020</v>
      </c>
      <c r="D104" s="625"/>
      <c r="E104" s="622"/>
      <c r="F104" s="728"/>
      <c r="G104" s="656"/>
      <c r="H104" s="656"/>
      <c r="I104" s="656"/>
      <c r="J104" s="656"/>
      <c r="K104" s="656"/>
      <c r="L104" s="656"/>
      <c r="M104" s="656"/>
      <c r="N104" s="718"/>
      <c r="O104" s="718"/>
      <c r="P104" s="718"/>
    </row>
    <row r="105" spans="1:16" customFormat="1" ht="19.5" customHeight="1">
      <c r="A105" s="2501"/>
      <c r="B105" s="2501"/>
      <c r="C105" s="680" t="s">
        <v>13</v>
      </c>
      <c r="D105" s="697">
        <f>SUM(D99:D104)</f>
        <v>2</v>
      </c>
      <c r="E105" s="683">
        <f>SUM(E99:E104)</f>
        <v>17</v>
      </c>
      <c r="F105" s="729">
        <v>0</v>
      </c>
      <c r="G105" s="730">
        <v>0</v>
      </c>
      <c r="H105" s="730">
        <v>0</v>
      </c>
      <c r="I105" s="730">
        <v>0</v>
      </c>
      <c r="J105" s="730">
        <v>0</v>
      </c>
      <c r="K105" s="730">
        <v>0</v>
      </c>
      <c r="L105" s="730">
        <v>0</v>
      </c>
      <c r="M105" s="730">
        <f>SUM(M99:M104)</f>
        <v>2</v>
      </c>
      <c r="N105" s="718"/>
      <c r="O105" s="718"/>
      <c r="P105" s="718"/>
    </row>
    <row r="106" spans="1:16" customFormat="1">
      <c r="A106" s="731"/>
      <c r="B106" s="731"/>
      <c r="C106" s="732"/>
      <c r="D106" s="600"/>
      <c r="E106" s="600"/>
      <c r="F106" s="597"/>
      <c r="G106" s="597"/>
      <c r="H106" s="733"/>
      <c r="I106" s="733"/>
      <c r="J106" s="733"/>
      <c r="K106" s="733"/>
      <c r="L106" s="733"/>
      <c r="M106" s="733"/>
      <c r="N106" s="733"/>
      <c r="O106" s="597"/>
      <c r="P106" s="597"/>
    </row>
    <row r="107" spans="1:16" customFormat="1" ht="15" customHeight="1">
      <c r="A107" s="2508" t="s">
        <v>354</v>
      </c>
      <c r="B107" s="2509" t="s">
        <v>352</v>
      </c>
      <c r="C107" s="2512" t="s">
        <v>9</v>
      </c>
      <c r="D107" s="2511" t="s">
        <v>70</v>
      </c>
      <c r="E107" s="2510" t="s">
        <v>71</v>
      </c>
      <c r="F107" s="2510"/>
      <c r="G107" s="2510"/>
      <c r="H107" s="2510"/>
      <c r="I107" s="2510"/>
      <c r="J107" s="2510"/>
      <c r="K107" s="2510"/>
      <c r="L107" s="2510"/>
      <c r="M107" s="733"/>
      <c r="N107" s="733"/>
      <c r="O107" s="597"/>
      <c r="P107" s="597"/>
    </row>
    <row r="108" spans="1:16" customFormat="1" ht="103.5" customHeight="1">
      <c r="A108" s="2508"/>
      <c r="B108" s="2509"/>
      <c r="C108" s="2512"/>
      <c r="D108" s="2511"/>
      <c r="E108" s="721" t="s">
        <v>14</v>
      </c>
      <c r="F108" s="722" t="s">
        <v>67</v>
      </c>
      <c r="G108" s="723" t="s">
        <v>55</v>
      </c>
      <c r="H108" s="724" t="s">
        <v>56</v>
      </c>
      <c r="I108" s="724" t="s">
        <v>57</v>
      </c>
      <c r="J108" s="725" t="s">
        <v>68</v>
      </c>
      <c r="K108" s="723" t="s">
        <v>58</v>
      </c>
      <c r="L108" s="723" t="s">
        <v>59</v>
      </c>
      <c r="M108" s="733"/>
      <c r="N108" s="733"/>
      <c r="O108" s="597"/>
      <c r="P108" s="597"/>
    </row>
    <row r="109" spans="1:16" customFormat="1">
      <c r="A109" s="2513"/>
      <c r="B109" s="2513"/>
      <c r="C109" s="655">
        <v>2014</v>
      </c>
      <c r="D109" s="618"/>
      <c r="E109" s="726"/>
      <c r="F109" s="655"/>
      <c r="G109" s="655"/>
      <c r="H109" s="655"/>
      <c r="I109" s="655"/>
      <c r="J109" s="655"/>
      <c r="K109" s="655"/>
      <c r="L109" s="655"/>
      <c r="M109" s="733"/>
      <c r="N109" s="733"/>
      <c r="O109" s="597"/>
      <c r="P109" s="597"/>
    </row>
    <row r="110" spans="1:16" customFormat="1">
      <c r="A110" s="2513"/>
      <c r="B110" s="2513"/>
      <c r="C110" s="656">
        <v>2015</v>
      </c>
      <c r="D110" s="622"/>
      <c r="E110" s="728"/>
      <c r="F110" s="656"/>
      <c r="G110" s="656"/>
      <c r="H110" s="656"/>
      <c r="I110" s="656"/>
      <c r="J110" s="656"/>
      <c r="K110" s="656"/>
      <c r="L110" s="656"/>
      <c r="M110" s="733"/>
      <c r="N110" s="733"/>
      <c r="O110" s="597"/>
      <c r="P110" s="597"/>
    </row>
    <row r="111" spans="1:16" customFormat="1">
      <c r="A111" s="2513"/>
      <c r="B111" s="2513"/>
      <c r="C111" s="656">
        <v>2016</v>
      </c>
      <c r="D111" s="622">
        <v>0</v>
      </c>
      <c r="E111" s="728">
        <v>0</v>
      </c>
      <c r="F111" s="656">
        <v>0</v>
      </c>
      <c r="G111" s="656">
        <v>0</v>
      </c>
      <c r="H111" s="656">
        <v>0</v>
      </c>
      <c r="I111" s="656">
        <v>0</v>
      </c>
      <c r="J111" s="656">
        <v>0</v>
      </c>
      <c r="K111" s="656">
        <v>0</v>
      </c>
      <c r="L111" s="656">
        <v>0</v>
      </c>
      <c r="M111" s="733"/>
      <c r="N111" s="733"/>
      <c r="O111" s="597"/>
      <c r="P111" s="597"/>
    </row>
    <row r="112" spans="1:16" customFormat="1">
      <c r="A112" s="2513"/>
      <c r="B112" s="2513"/>
      <c r="C112" s="656">
        <v>2017</v>
      </c>
      <c r="D112" s="622">
        <v>0</v>
      </c>
      <c r="E112" s="728">
        <v>0</v>
      </c>
      <c r="F112" s="656">
        <v>0</v>
      </c>
      <c r="G112" s="656">
        <v>0</v>
      </c>
      <c r="H112" s="656">
        <v>0</v>
      </c>
      <c r="I112" s="656">
        <v>0</v>
      </c>
      <c r="J112" s="656">
        <v>0</v>
      </c>
      <c r="K112" s="656">
        <v>0</v>
      </c>
      <c r="L112" s="656">
        <v>0</v>
      </c>
      <c r="M112" s="733"/>
      <c r="N112" s="733"/>
      <c r="O112" s="597"/>
      <c r="P112" s="597"/>
    </row>
    <row r="113" spans="1:14" customFormat="1">
      <c r="A113" s="2513"/>
      <c r="B113" s="2513"/>
      <c r="C113" s="656">
        <v>2018</v>
      </c>
      <c r="D113" s="622"/>
      <c r="E113" s="728"/>
      <c r="F113" s="656"/>
      <c r="G113" s="656"/>
      <c r="H113" s="656"/>
      <c r="I113" s="656"/>
      <c r="J113" s="656"/>
      <c r="K113" s="656"/>
      <c r="L113" s="656"/>
      <c r="M113" s="733"/>
      <c r="N113" s="733"/>
    </row>
    <row r="114" spans="1:14" customFormat="1">
      <c r="A114" s="2513"/>
      <c r="B114" s="2513"/>
      <c r="C114" s="656">
        <v>2019</v>
      </c>
      <c r="D114" s="622"/>
      <c r="E114" s="728"/>
      <c r="F114" s="656"/>
      <c r="G114" s="656"/>
      <c r="H114" s="656"/>
      <c r="I114" s="656"/>
      <c r="J114" s="656"/>
      <c r="K114" s="656"/>
      <c r="L114" s="656"/>
      <c r="M114" s="733"/>
      <c r="N114" s="733"/>
    </row>
    <row r="115" spans="1:14" customFormat="1">
      <c r="A115" s="2513"/>
      <c r="B115" s="2513"/>
      <c r="C115" s="656">
        <v>2020</v>
      </c>
      <c r="D115" s="622"/>
      <c r="E115" s="728"/>
      <c r="F115" s="656"/>
      <c r="G115" s="656"/>
      <c r="H115" s="656"/>
      <c r="I115" s="656"/>
      <c r="J115" s="656"/>
      <c r="K115" s="656"/>
      <c r="L115" s="656"/>
      <c r="M115" s="733"/>
      <c r="N115" s="733"/>
    </row>
    <row r="116" spans="1:14" customFormat="1" ht="25.5" customHeight="1">
      <c r="A116" s="2513"/>
      <c r="B116" s="2513"/>
      <c r="C116" s="680" t="s">
        <v>13</v>
      </c>
      <c r="D116" s="683">
        <v>0</v>
      </c>
      <c r="E116" s="729">
        <v>0</v>
      </c>
      <c r="F116" s="730">
        <v>0</v>
      </c>
      <c r="G116" s="730">
        <v>0</v>
      </c>
      <c r="H116" s="730">
        <v>0</v>
      </c>
      <c r="I116" s="730">
        <v>0</v>
      </c>
      <c r="J116" s="730"/>
      <c r="K116" s="730">
        <v>0</v>
      </c>
      <c r="L116" s="730">
        <v>0</v>
      </c>
      <c r="M116" s="733"/>
      <c r="N116" s="733"/>
    </row>
    <row r="117" spans="1:14" customFormat="1" ht="21">
      <c r="A117" s="717"/>
      <c r="B117" s="734"/>
      <c r="C117" s="648"/>
      <c r="D117" s="648"/>
      <c r="E117" s="648"/>
      <c r="F117" s="648"/>
      <c r="G117" s="648"/>
      <c r="H117" s="648"/>
      <c r="I117" s="648"/>
      <c r="J117" s="648"/>
      <c r="K117" s="648"/>
      <c r="L117" s="648"/>
      <c r="M117" s="733"/>
      <c r="N117" s="733"/>
    </row>
    <row r="118" spans="1:14" customFormat="1" ht="15" customHeight="1">
      <c r="A118" s="2508" t="s">
        <v>72</v>
      </c>
      <c r="B118" s="2509" t="s">
        <v>352</v>
      </c>
      <c r="C118" s="2512" t="s">
        <v>9</v>
      </c>
      <c r="D118" s="2511" t="s">
        <v>73</v>
      </c>
      <c r="E118" s="2510" t="s">
        <v>71</v>
      </c>
      <c r="F118" s="2510"/>
      <c r="G118" s="2510"/>
      <c r="H118" s="2510"/>
      <c r="I118" s="2510"/>
      <c r="J118" s="2510"/>
      <c r="K118" s="2510"/>
      <c r="L118" s="2510"/>
      <c r="M118" s="733"/>
      <c r="N118" s="733"/>
    </row>
    <row r="119" spans="1:14" customFormat="1" ht="120.75" customHeight="1">
      <c r="A119" s="2508"/>
      <c r="B119" s="2509"/>
      <c r="C119" s="2512"/>
      <c r="D119" s="2511"/>
      <c r="E119" s="721" t="s">
        <v>14</v>
      </c>
      <c r="F119" s="722" t="s">
        <v>67</v>
      </c>
      <c r="G119" s="723" t="s">
        <v>55</v>
      </c>
      <c r="H119" s="724" t="s">
        <v>56</v>
      </c>
      <c r="I119" s="724" t="s">
        <v>57</v>
      </c>
      <c r="J119" s="725" t="s">
        <v>68</v>
      </c>
      <c r="K119" s="723" t="s">
        <v>58</v>
      </c>
      <c r="L119" s="723" t="s">
        <v>59</v>
      </c>
      <c r="M119" s="733"/>
      <c r="N119" s="733"/>
    </row>
    <row r="120" spans="1:14" customFormat="1">
      <c r="A120" s="2513"/>
      <c r="B120" s="2513"/>
      <c r="C120" s="655">
        <v>2014</v>
      </c>
      <c r="D120" s="618"/>
      <c r="E120" s="726"/>
      <c r="F120" s="655"/>
      <c r="G120" s="655"/>
      <c r="H120" s="655"/>
      <c r="I120" s="655"/>
      <c r="J120" s="655"/>
      <c r="K120" s="655"/>
      <c r="L120" s="655"/>
      <c r="M120" s="733"/>
      <c r="N120" s="733"/>
    </row>
    <row r="121" spans="1:14" customFormat="1">
      <c r="A121" s="2513"/>
      <c r="B121" s="2513"/>
      <c r="C121" s="656">
        <v>2015</v>
      </c>
      <c r="D121" s="622"/>
      <c r="E121" s="728"/>
      <c r="F121" s="656"/>
      <c r="G121" s="656"/>
      <c r="H121" s="656"/>
      <c r="I121" s="656"/>
      <c r="J121" s="656"/>
      <c r="K121" s="656"/>
      <c r="L121" s="656"/>
      <c r="M121" s="733"/>
      <c r="N121" s="733"/>
    </row>
    <row r="122" spans="1:14" customFormat="1">
      <c r="A122" s="2513"/>
      <c r="B122" s="2513"/>
      <c r="C122" s="656">
        <v>2016</v>
      </c>
      <c r="D122" s="622">
        <v>0</v>
      </c>
      <c r="E122" s="728">
        <v>0</v>
      </c>
      <c r="F122" s="656">
        <v>0</v>
      </c>
      <c r="G122" s="656">
        <v>0</v>
      </c>
      <c r="H122" s="656">
        <v>0</v>
      </c>
      <c r="I122" s="656">
        <v>0</v>
      </c>
      <c r="J122" s="656">
        <v>0</v>
      </c>
      <c r="K122" s="656">
        <v>0</v>
      </c>
      <c r="L122" s="656">
        <v>0</v>
      </c>
      <c r="M122" s="733"/>
      <c r="N122" s="733"/>
    </row>
    <row r="123" spans="1:14" customFormat="1">
      <c r="A123" s="2513"/>
      <c r="B123" s="2513"/>
      <c r="C123" s="656">
        <v>2017</v>
      </c>
      <c r="D123" s="622">
        <v>0</v>
      </c>
      <c r="E123" s="728">
        <v>0</v>
      </c>
      <c r="F123" s="656">
        <v>0</v>
      </c>
      <c r="G123" s="656">
        <v>0</v>
      </c>
      <c r="H123" s="656">
        <v>0</v>
      </c>
      <c r="I123" s="656">
        <v>0</v>
      </c>
      <c r="J123" s="656">
        <v>0</v>
      </c>
      <c r="K123" s="656">
        <v>0</v>
      </c>
      <c r="L123" s="656">
        <v>0</v>
      </c>
      <c r="M123" s="733"/>
      <c r="N123" s="733"/>
    </row>
    <row r="124" spans="1:14" customFormat="1">
      <c r="A124" s="2513"/>
      <c r="B124" s="2513"/>
      <c r="C124" s="656">
        <v>2018</v>
      </c>
      <c r="D124" s="622"/>
      <c r="E124" s="728"/>
      <c r="F124" s="656"/>
      <c r="G124" s="656"/>
      <c r="H124" s="656"/>
      <c r="I124" s="656"/>
      <c r="J124" s="656"/>
      <c r="K124" s="656"/>
      <c r="L124" s="656"/>
      <c r="M124" s="733"/>
      <c r="N124" s="733"/>
    </row>
    <row r="125" spans="1:14" customFormat="1">
      <c r="A125" s="2513"/>
      <c r="B125" s="2513"/>
      <c r="C125" s="656">
        <v>2019</v>
      </c>
      <c r="D125" s="622"/>
      <c r="E125" s="728"/>
      <c r="F125" s="656"/>
      <c r="G125" s="656"/>
      <c r="H125" s="656"/>
      <c r="I125" s="656"/>
      <c r="J125" s="656"/>
      <c r="K125" s="656"/>
      <c r="L125" s="656"/>
      <c r="M125" s="733"/>
      <c r="N125" s="733"/>
    </row>
    <row r="126" spans="1:14" customFormat="1">
      <c r="A126" s="2513"/>
      <c r="B126" s="2513"/>
      <c r="C126" s="656">
        <v>2020</v>
      </c>
      <c r="D126" s="622"/>
      <c r="E126" s="728"/>
      <c r="F126" s="656"/>
      <c r="G126" s="656"/>
      <c r="H126" s="656"/>
      <c r="I126" s="656"/>
      <c r="J126" s="656"/>
      <c r="K126" s="656"/>
      <c r="L126" s="656"/>
      <c r="M126" s="733"/>
      <c r="N126" s="733"/>
    </row>
    <row r="127" spans="1:14" customFormat="1">
      <c r="A127" s="2513"/>
      <c r="B127" s="2513"/>
      <c r="C127" s="680" t="s">
        <v>13</v>
      </c>
      <c r="D127" s="683">
        <v>0</v>
      </c>
      <c r="E127" s="729">
        <v>0</v>
      </c>
      <c r="F127" s="730">
        <v>0</v>
      </c>
      <c r="G127" s="730">
        <v>0</v>
      </c>
      <c r="H127" s="730">
        <v>0</v>
      </c>
      <c r="I127" s="730">
        <v>0</v>
      </c>
      <c r="J127" s="730"/>
      <c r="K127" s="730">
        <v>0</v>
      </c>
      <c r="L127" s="730">
        <v>0</v>
      </c>
      <c r="M127" s="733"/>
      <c r="N127" s="733"/>
    </row>
    <row r="128" spans="1:14" customFormat="1">
      <c r="A128" s="731"/>
      <c r="B128" s="731"/>
      <c r="C128" s="732"/>
      <c r="D128" s="600"/>
      <c r="E128" s="600"/>
      <c r="F128" s="597"/>
      <c r="G128" s="597"/>
      <c r="H128" s="733"/>
      <c r="I128" s="733"/>
      <c r="J128" s="733"/>
      <c r="K128" s="733"/>
      <c r="L128" s="733"/>
      <c r="M128" s="733"/>
      <c r="N128" s="733"/>
    </row>
    <row r="129" spans="1:16" customFormat="1" ht="15" customHeight="1">
      <c r="A129" s="2508" t="s">
        <v>75</v>
      </c>
      <c r="B129" s="2509" t="s">
        <v>352</v>
      </c>
      <c r="C129" s="735" t="s">
        <v>9</v>
      </c>
      <c r="D129" s="2511" t="s">
        <v>76</v>
      </c>
      <c r="E129" s="2511"/>
      <c r="F129" s="2511"/>
      <c r="G129" s="2511"/>
      <c r="H129" s="733"/>
      <c r="I129" s="733"/>
      <c r="J129" s="733"/>
      <c r="K129" s="733"/>
      <c r="L129" s="733"/>
      <c r="M129" s="733"/>
      <c r="N129" s="733"/>
      <c r="O129" s="597"/>
      <c r="P129" s="597"/>
    </row>
    <row r="130" spans="1:16" customFormat="1" ht="77.25" customHeight="1">
      <c r="A130" s="2508"/>
      <c r="B130" s="2509"/>
      <c r="C130" s="736"/>
      <c r="D130" s="719" t="s">
        <v>77</v>
      </c>
      <c r="E130" s="720" t="s">
        <v>78</v>
      </c>
      <c r="F130" s="720" t="s">
        <v>79</v>
      </c>
      <c r="G130" s="737" t="s">
        <v>13</v>
      </c>
      <c r="H130" s="733"/>
      <c r="I130" s="733"/>
      <c r="J130" s="733"/>
      <c r="K130" s="733"/>
      <c r="L130" s="733"/>
      <c r="M130" s="733"/>
      <c r="N130" s="733"/>
      <c r="O130" s="597"/>
      <c r="P130" s="597"/>
    </row>
    <row r="131" spans="1:16" customFormat="1" ht="15" customHeight="1">
      <c r="A131" s="2514" t="s">
        <v>355</v>
      </c>
      <c r="B131" s="2515"/>
      <c r="C131" s="655">
        <v>2015</v>
      </c>
      <c r="D131" s="738"/>
      <c r="E131" s="739"/>
      <c r="F131" s="739"/>
      <c r="G131" s="740"/>
      <c r="H131" s="733"/>
      <c r="I131" s="733"/>
      <c r="J131" s="733"/>
      <c r="K131" s="733"/>
      <c r="L131" s="733"/>
      <c r="M131" s="733"/>
      <c r="N131" s="733"/>
      <c r="O131" s="597"/>
      <c r="P131" s="597"/>
    </row>
    <row r="132" spans="1:16" customFormat="1">
      <c r="A132" s="2514"/>
      <c r="B132" s="2515"/>
      <c r="C132" s="656">
        <v>2016</v>
      </c>
      <c r="D132" s="625">
        <v>105</v>
      </c>
      <c r="E132" s="622">
        <v>0</v>
      </c>
      <c r="F132" s="622">
        <v>0</v>
      </c>
      <c r="G132" s="741">
        <f>SUM(D132:F132)</f>
        <v>105</v>
      </c>
      <c r="H132" s="733"/>
      <c r="I132" s="733"/>
      <c r="J132" s="733"/>
      <c r="K132" s="733"/>
      <c r="L132" s="733"/>
      <c r="M132" s="733"/>
      <c r="N132" s="733"/>
      <c r="O132" s="597"/>
      <c r="P132" s="597"/>
    </row>
    <row r="133" spans="1:16" customFormat="1">
      <c r="A133" s="2514"/>
      <c r="B133" s="2515"/>
      <c r="C133" s="656">
        <v>2017</v>
      </c>
      <c r="D133" s="828">
        <v>68</v>
      </c>
      <c r="E133" s="679">
        <v>0</v>
      </c>
      <c r="F133" s="679">
        <v>0</v>
      </c>
      <c r="G133" s="838">
        <f>SUM(D133:F133)</f>
        <v>68</v>
      </c>
      <c r="H133" s="733"/>
      <c r="I133" s="733"/>
      <c r="J133" s="733"/>
      <c r="K133" s="733"/>
      <c r="L133" s="733"/>
      <c r="M133" s="733"/>
      <c r="N133" s="733"/>
      <c r="O133" s="597"/>
      <c r="P133" s="597"/>
    </row>
    <row r="134" spans="1:16" customFormat="1">
      <c r="A134" s="2514"/>
      <c r="B134" s="2515"/>
      <c r="C134" s="656">
        <v>2018</v>
      </c>
      <c r="D134" s="625"/>
      <c r="E134" s="622"/>
      <c r="F134" s="622"/>
      <c r="G134" s="741">
        <v>0</v>
      </c>
      <c r="H134" s="733"/>
      <c r="I134" s="733"/>
      <c r="J134" s="733"/>
      <c r="K134" s="733"/>
      <c r="L134" s="733"/>
      <c r="M134" s="733"/>
      <c r="N134" s="733"/>
      <c r="O134" s="597"/>
      <c r="P134" s="597"/>
    </row>
    <row r="135" spans="1:16" customFormat="1">
      <c r="A135" s="2514"/>
      <c r="B135" s="2515"/>
      <c r="C135" s="656">
        <v>2019</v>
      </c>
      <c r="D135" s="625"/>
      <c r="E135" s="622"/>
      <c r="F135" s="622"/>
      <c r="G135" s="741">
        <v>0</v>
      </c>
      <c r="H135" s="733"/>
      <c r="I135" s="733"/>
      <c r="J135" s="733"/>
      <c r="K135" s="733"/>
      <c r="L135" s="733"/>
      <c r="M135" s="733"/>
      <c r="N135" s="733"/>
      <c r="O135" s="597"/>
      <c r="P135" s="597"/>
    </row>
    <row r="136" spans="1:16" customFormat="1">
      <c r="A136" s="2514"/>
      <c r="B136" s="2515"/>
      <c r="C136" s="656">
        <v>2020</v>
      </c>
      <c r="D136" s="625"/>
      <c r="E136" s="622"/>
      <c r="F136" s="622"/>
      <c r="G136" s="741">
        <v>0</v>
      </c>
      <c r="H136" s="733"/>
      <c r="I136" s="733"/>
      <c r="J136" s="733"/>
      <c r="K136" s="733"/>
      <c r="L136" s="733"/>
      <c r="M136" s="733"/>
      <c r="N136" s="733"/>
      <c r="O136" s="597"/>
      <c r="P136" s="597"/>
    </row>
    <row r="137" spans="1:16" customFormat="1" ht="17.25" customHeight="1">
      <c r="A137" s="2516"/>
      <c r="B137" s="2517"/>
      <c r="C137" s="680" t="s">
        <v>13</v>
      </c>
      <c r="D137" s="697">
        <f>SUM(D131:D136)</f>
        <v>173</v>
      </c>
      <c r="E137" s="697">
        <v>0</v>
      </c>
      <c r="F137" s="697">
        <v>0</v>
      </c>
      <c r="G137" s="742">
        <f>SUM(G131:G136)</f>
        <v>173</v>
      </c>
      <c r="H137" s="733"/>
      <c r="I137" s="733"/>
      <c r="J137" s="733"/>
      <c r="K137" s="733"/>
      <c r="L137" s="733"/>
      <c r="M137" s="733"/>
      <c r="N137" s="733"/>
      <c r="O137" s="597"/>
      <c r="P137" s="597"/>
    </row>
    <row r="138" spans="1:16" customFormat="1">
      <c r="A138" s="731"/>
      <c r="B138" s="731"/>
      <c r="C138" s="732"/>
      <c r="D138" s="600"/>
      <c r="E138" s="600"/>
      <c r="F138" s="597"/>
      <c r="G138" s="597"/>
      <c r="H138" s="733"/>
      <c r="I138" s="733"/>
      <c r="J138" s="733"/>
      <c r="K138" s="733"/>
      <c r="L138" s="733"/>
      <c r="M138" s="733"/>
      <c r="N138" s="733"/>
      <c r="O138" s="597"/>
      <c r="P138" s="597"/>
    </row>
    <row r="139" spans="1:16" s="648" customFormat="1" ht="33" customHeight="1">
      <c r="A139" s="743"/>
      <c r="B139" s="663"/>
      <c r="C139" s="664"/>
      <c r="D139" s="621"/>
      <c r="E139" s="621"/>
      <c r="F139" s="621"/>
      <c r="G139" s="621"/>
      <c r="H139" s="621"/>
      <c r="I139" s="744"/>
      <c r="J139" s="745"/>
      <c r="K139" s="745"/>
      <c r="L139" s="745"/>
      <c r="M139" s="745"/>
      <c r="N139" s="745"/>
      <c r="O139" s="745"/>
      <c r="P139" s="745"/>
    </row>
    <row r="140" spans="1:16" customFormat="1" ht="21">
      <c r="A140" s="746" t="s">
        <v>80</v>
      </c>
      <c r="B140" s="746"/>
      <c r="C140" s="747"/>
      <c r="D140" s="747"/>
      <c r="E140" s="747"/>
      <c r="F140" s="747"/>
      <c r="G140" s="747"/>
      <c r="H140" s="747"/>
      <c r="I140" s="747"/>
      <c r="J140" s="747"/>
      <c r="K140" s="747"/>
      <c r="L140" s="747"/>
      <c r="M140" s="747"/>
      <c r="N140" s="747"/>
      <c r="O140" s="716"/>
      <c r="P140" s="716"/>
    </row>
    <row r="141" spans="1:16" customFormat="1" ht="21.75" customHeight="1">
      <c r="A141" s="748"/>
      <c r="B141" s="685"/>
      <c r="C141" s="699"/>
      <c r="D141" s="661"/>
      <c r="E141" s="661"/>
      <c r="F141" s="661"/>
      <c r="G141" s="661"/>
      <c r="H141" s="661"/>
      <c r="I141" s="718"/>
      <c r="J141" s="718"/>
      <c r="K141" s="718"/>
      <c r="L141" s="718"/>
      <c r="M141" s="718"/>
      <c r="N141" s="718"/>
      <c r="O141" s="718"/>
      <c r="P141" s="718"/>
    </row>
    <row r="142" spans="1:16" customFormat="1" ht="21.75" customHeight="1">
      <c r="A142" s="2522" t="s">
        <v>81</v>
      </c>
      <c r="B142" s="2520" t="s">
        <v>352</v>
      </c>
      <c r="C142" s="2523" t="s">
        <v>9</v>
      </c>
      <c r="D142" s="2523" t="s">
        <v>82</v>
      </c>
      <c r="E142" s="2523"/>
      <c r="F142" s="2523"/>
      <c r="G142" s="2523"/>
      <c r="H142" s="2523"/>
      <c r="I142" s="2523"/>
      <c r="J142" s="2518" t="s">
        <v>83</v>
      </c>
      <c r="K142" s="2518"/>
      <c r="L142" s="2518"/>
      <c r="M142" s="2518"/>
      <c r="N142" s="2518"/>
      <c r="O142" s="718"/>
      <c r="P142" s="718"/>
    </row>
    <row r="143" spans="1:16" customFormat="1" ht="113.25" customHeight="1">
      <c r="A143" s="2522"/>
      <c r="B143" s="2520"/>
      <c r="C143" s="2523"/>
      <c r="D143" s="749" t="s">
        <v>84</v>
      </c>
      <c r="E143" s="750" t="s">
        <v>85</v>
      </c>
      <c r="F143" s="751" t="s">
        <v>86</v>
      </c>
      <c r="G143" s="751" t="s">
        <v>87</v>
      </c>
      <c r="H143" s="751" t="s">
        <v>88</v>
      </c>
      <c r="I143" s="751" t="s">
        <v>89</v>
      </c>
      <c r="J143" s="752" t="s">
        <v>90</v>
      </c>
      <c r="K143" s="753" t="s">
        <v>91</v>
      </c>
      <c r="L143" s="752" t="s">
        <v>92</v>
      </c>
      <c r="M143" s="753" t="s">
        <v>91</v>
      </c>
      <c r="N143" s="754" t="s">
        <v>93</v>
      </c>
      <c r="O143" s="718"/>
      <c r="P143" s="718"/>
    </row>
    <row r="144" spans="1:16" customFormat="1" ht="19.5" customHeight="1">
      <c r="A144" s="2513"/>
      <c r="B144" s="2513"/>
      <c r="C144" s="655">
        <v>2014</v>
      </c>
      <c r="D144" s="619"/>
      <c r="E144" s="619"/>
      <c r="F144" s="618"/>
      <c r="G144" s="655"/>
      <c r="H144" s="655"/>
      <c r="I144" s="730"/>
      <c r="J144" s="755"/>
      <c r="K144" s="655"/>
      <c r="L144" s="755"/>
      <c r="M144" s="655"/>
      <c r="N144" s="756"/>
      <c r="O144" s="718"/>
      <c r="P144" s="718"/>
    </row>
    <row r="145" spans="1:16" customFormat="1" ht="19.5" customHeight="1">
      <c r="A145" s="2513"/>
      <c r="B145" s="2513"/>
      <c r="C145" s="656">
        <v>2015</v>
      </c>
      <c r="D145" s="625"/>
      <c r="E145" s="625"/>
      <c r="F145" s="622"/>
      <c r="G145" s="656"/>
      <c r="H145" s="656"/>
      <c r="I145" s="730"/>
      <c r="J145" s="757"/>
      <c r="K145" s="656"/>
      <c r="L145" s="757"/>
      <c r="M145" s="656"/>
      <c r="N145" s="758"/>
      <c r="O145" s="718"/>
      <c r="P145" s="718"/>
    </row>
    <row r="146" spans="1:16" customFormat="1" ht="20.25" customHeight="1">
      <c r="A146" s="2513"/>
      <c r="B146" s="2513"/>
      <c r="C146" s="656">
        <v>2016</v>
      </c>
      <c r="D146" s="625">
        <v>0</v>
      </c>
      <c r="E146" s="625">
        <v>0</v>
      </c>
      <c r="F146" s="622">
        <v>0</v>
      </c>
      <c r="G146" s="656">
        <v>0</v>
      </c>
      <c r="H146" s="656">
        <v>0</v>
      </c>
      <c r="I146" s="730">
        <v>0</v>
      </c>
      <c r="J146" s="757">
        <v>0</v>
      </c>
      <c r="K146" s="656">
        <v>0</v>
      </c>
      <c r="L146" s="757">
        <v>0</v>
      </c>
      <c r="M146" s="656">
        <v>0</v>
      </c>
      <c r="N146" s="758">
        <v>0</v>
      </c>
      <c r="O146" s="718"/>
      <c r="P146" s="718"/>
    </row>
    <row r="147" spans="1:16" customFormat="1" ht="17.25" customHeight="1">
      <c r="A147" s="2513"/>
      <c r="B147" s="2513"/>
      <c r="C147" s="656">
        <v>2017</v>
      </c>
      <c r="D147" s="625">
        <v>0</v>
      </c>
      <c r="E147" s="625">
        <v>0</v>
      </c>
      <c r="F147" s="622">
        <v>0</v>
      </c>
      <c r="G147" s="656">
        <v>0</v>
      </c>
      <c r="H147" s="656">
        <v>0</v>
      </c>
      <c r="I147" s="730">
        <v>0</v>
      </c>
      <c r="J147" s="757">
        <v>0</v>
      </c>
      <c r="K147" s="656">
        <v>0</v>
      </c>
      <c r="L147" s="757">
        <v>0</v>
      </c>
      <c r="M147" s="656">
        <v>0</v>
      </c>
      <c r="N147" s="758">
        <v>0</v>
      </c>
      <c r="O147" s="718"/>
      <c r="P147" s="718"/>
    </row>
    <row r="148" spans="1:16" customFormat="1" ht="19.5" customHeight="1">
      <c r="A148" s="2513"/>
      <c r="B148" s="2513"/>
      <c r="C148" s="656">
        <v>2018</v>
      </c>
      <c r="D148" s="625"/>
      <c r="E148" s="625"/>
      <c r="F148" s="622"/>
      <c r="G148" s="656"/>
      <c r="H148" s="656"/>
      <c r="I148" s="730">
        <v>0</v>
      </c>
      <c r="J148" s="757"/>
      <c r="K148" s="656"/>
      <c r="L148" s="757"/>
      <c r="M148" s="656"/>
      <c r="N148" s="758"/>
      <c r="O148" s="718"/>
      <c r="P148" s="718"/>
    </row>
    <row r="149" spans="1:16" customFormat="1" ht="19.5" customHeight="1">
      <c r="A149" s="2513"/>
      <c r="B149" s="2513"/>
      <c r="C149" s="656">
        <v>2019</v>
      </c>
      <c r="D149" s="625"/>
      <c r="E149" s="625"/>
      <c r="F149" s="622"/>
      <c r="G149" s="656"/>
      <c r="H149" s="656"/>
      <c r="I149" s="730">
        <v>0</v>
      </c>
      <c r="J149" s="757"/>
      <c r="K149" s="656"/>
      <c r="L149" s="757"/>
      <c r="M149" s="656"/>
      <c r="N149" s="758"/>
      <c r="O149" s="718"/>
      <c r="P149" s="718"/>
    </row>
    <row r="150" spans="1:16" customFormat="1" ht="18.75" customHeight="1">
      <c r="A150" s="2513"/>
      <c r="B150" s="2513"/>
      <c r="C150" s="656">
        <v>2020</v>
      </c>
      <c r="D150" s="625"/>
      <c r="E150" s="625"/>
      <c r="F150" s="622"/>
      <c r="G150" s="656"/>
      <c r="H150" s="656"/>
      <c r="I150" s="730">
        <v>0</v>
      </c>
      <c r="J150" s="757"/>
      <c r="K150" s="656"/>
      <c r="L150" s="757"/>
      <c r="M150" s="656"/>
      <c r="N150" s="758"/>
      <c r="O150" s="718"/>
      <c r="P150" s="718"/>
    </row>
    <row r="151" spans="1:16" customFormat="1" ht="18" customHeight="1">
      <c r="A151" s="2513"/>
      <c r="B151" s="2513"/>
      <c r="C151" s="680" t="s">
        <v>13</v>
      </c>
      <c r="D151" s="697">
        <v>0</v>
      </c>
      <c r="E151" s="697">
        <v>0</v>
      </c>
      <c r="F151" s="697">
        <v>0</v>
      </c>
      <c r="G151" s="697">
        <v>0</v>
      </c>
      <c r="H151" s="697">
        <v>0</v>
      </c>
      <c r="I151" s="683">
        <v>0</v>
      </c>
      <c r="J151" s="759">
        <v>0</v>
      </c>
      <c r="K151" s="730">
        <v>0</v>
      </c>
      <c r="L151" s="759">
        <v>0</v>
      </c>
      <c r="M151" s="730">
        <v>0</v>
      </c>
      <c r="N151" s="760">
        <v>0</v>
      </c>
      <c r="O151" s="718"/>
      <c r="P151" s="718"/>
    </row>
    <row r="152" spans="1:16" customFormat="1" ht="27" customHeight="1">
      <c r="A152" s="597"/>
      <c r="B152" s="761"/>
      <c r="C152" s="597"/>
      <c r="D152" s="597"/>
      <c r="E152" s="597"/>
      <c r="F152" s="597"/>
      <c r="G152" s="597"/>
      <c r="H152" s="597"/>
      <c r="I152" s="597"/>
      <c r="J152" s="597"/>
      <c r="K152" s="597"/>
      <c r="L152" s="597"/>
      <c r="M152" s="597"/>
      <c r="N152" s="597"/>
      <c r="O152" s="718"/>
      <c r="P152" s="718"/>
    </row>
    <row r="153" spans="1:16" customFormat="1" ht="35.25" customHeight="1">
      <c r="A153" s="2519" t="s">
        <v>94</v>
      </c>
      <c r="B153" s="2520" t="s">
        <v>352</v>
      </c>
      <c r="C153" s="2518" t="s">
        <v>9</v>
      </c>
      <c r="D153" s="2521" t="s">
        <v>95</v>
      </c>
      <c r="E153" s="2521"/>
      <c r="F153" s="2521"/>
      <c r="G153" s="2521"/>
      <c r="H153" s="2521" t="s">
        <v>96</v>
      </c>
      <c r="I153" s="2521"/>
      <c r="J153" s="2521"/>
      <c r="K153" s="617"/>
      <c r="L153" s="617"/>
      <c r="M153" s="617"/>
      <c r="N153" s="617"/>
      <c r="O153" s="718"/>
      <c r="P153" s="718"/>
    </row>
    <row r="154" spans="1:16" customFormat="1" ht="49.5" customHeight="1">
      <c r="A154" s="2519"/>
      <c r="B154" s="2520"/>
      <c r="C154" s="2518"/>
      <c r="D154" s="762" t="s">
        <v>97</v>
      </c>
      <c r="E154" s="763" t="s">
        <v>356</v>
      </c>
      <c r="F154" s="764" t="s">
        <v>99</v>
      </c>
      <c r="G154" s="765" t="s">
        <v>100</v>
      </c>
      <c r="H154" s="762" t="s">
        <v>101</v>
      </c>
      <c r="I154" s="763" t="s">
        <v>102</v>
      </c>
      <c r="J154" s="763" t="s">
        <v>93</v>
      </c>
      <c r="K154" s="617"/>
      <c r="L154" s="617"/>
      <c r="M154" s="617"/>
      <c r="N154" s="617"/>
      <c r="O154" s="718"/>
      <c r="P154" s="718"/>
    </row>
    <row r="155" spans="1:16" customFormat="1" ht="18.75" customHeight="1">
      <c r="A155" s="2513"/>
      <c r="B155" s="2513"/>
      <c r="C155" s="766">
        <v>2014</v>
      </c>
      <c r="D155" s="755"/>
      <c r="E155" s="655"/>
      <c r="F155" s="655"/>
      <c r="G155" s="730"/>
      <c r="H155" s="755"/>
      <c r="I155" s="655"/>
      <c r="J155" s="655"/>
      <c r="K155" s="597"/>
      <c r="L155" s="597"/>
      <c r="M155" s="597"/>
      <c r="N155" s="597"/>
      <c r="O155" s="718"/>
      <c r="P155" s="718"/>
    </row>
    <row r="156" spans="1:16" customFormat="1" ht="19.5" customHeight="1">
      <c r="A156" s="2513"/>
      <c r="B156" s="2513"/>
      <c r="C156" s="767">
        <v>2015</v>
      </c>
      <c r="D156" s="757"/>
      <c r="E156" s="656"/>
      <c r="F156" s="656"/>
      <c r="G156" s="730"/>
      <c r="H156" s="757"/>
      <c r="I156" s="656"/>
      <c r="J156" s="656"/>
      <c r="K156" s="597"/>
      <c r="L156" s="597"/>
      <c r="M156" s="597"/>
      <c r="N156" s="597"/>
      <c r="O156" s="718"/>
      <c r="P156" s="718"/>
    </row>
    <row r="157" spans="1:16" customFormat="1" ht="17.25" customHeight="1">
      <c r="A157" s="2513"/>
      <c r="B157" s="2513"/>
      <c r="C157" s="767">
        <v>2016</v>
      </c>
      <c r="D157" s="757">
        <v>0</v>
      </c>
      <c r="E157" s="656">
        <v>0</v>
      </c>
      <c r="F157" s="656">
        <v>0</v>
      </c>
      <c r="G157" s="730">
        <v>0</v>
      </c>
      <c r="H157" s="757">
        <v>0</v>
      </c>
      <c r="I157" s="656">
        <v>0</v>
      </c>
      <c r="J157" s="656">
        <v>0</v>
      </c>
      <c r="K157" s="597"/>
      <c r="L157" s="597"/>
      <c r="M157" s="597"/>
      <c r="N157" s="597"/>
      <c r="O157" s="718"/>
      <c r="P157" s="718"/>
    </row>
    <row r="158" spans="1:16" customFormat="1" ht="15" customHeight="1">
      <c r="A158" s="2513"/>
      <c r="B158" s="2513"/>
      <c r="C158" s="767">
        <v>2017</v>
      </c>
      <c r="D158" s="757">
        <v>0</v>
      </c>
      <c r="E158" s="656">
        <v>0</v>
      </c>
      <c r="F158" s="656">
        <v>0</v>
      </c>
      <c r="G158" s="730">
        <v>0</v>
      </c>
      <c r="H158" s="757">
        <v>0</v>
      </c>
      <c r="I158" s="656">
        <v>0</v>
      </c>
      <c r="J158" s="656">
        <v>0</v>
      </c>
      <c r="K158" s="597"/>
      <c r="L158" s="597"/>
      <c r="M158" s="597"/>
      <c r="N158" s="597"/>
      <c r="O158" s="718"/>
      <c r="P158" s="718"/>
    </row>
    <row r="159" spans="1:16" customFormat="1" ht="19.5" customHeight="1">
      <c r="A159" s="2513"/>
      <c r="B159" s="2513"/>
      <c r="C159" s="767">
        <v>2018</v>
      </c>
      <c r="D159" s="757"/>
      <c r="E159" s="656"/>
      <c r="F159" s="656"/>
      <c r="G159" s="730">
        <v>0</v>
      </c>
      <c r="H159" s="757"/>
      <c r="I159" s="656"/>
      <c r="J159" s="656"/>
      <c r="K159" s="597"/>
      <c r="L159" s="597"/>
      <c r="M159" s="597"/>
      <c r="N159" s="597"/>
      <c r="O159" s="718"/>
      <c r="P159" s="718"/>
    </row>
    <row r="160" spans="1:16" customFormat="1" ht="15" customHeight="1">
      <c r="A160" s="2513"/>
      <c r="B160" s="2513"/>
      <c r="C160" s="767">
        <v>2019</v>
      </c>
      <c r="D160" s="757"/>
      <c r="E160" s="656"/>
      <c r="F160" s="656"/>
      <c r="G160" s="730">
        <v>0</v>
      </c>
      <c r="H160" s="757"/>
      <c r="I160" s="656"/>
      <c r="J160" s="656"/>
      <c r="K160" s="597"/>
      <c r="L160" s="597"/>
      <c r="M160" s="597"/>
      <c r="N160" s="597"/>
      <c r="O160" s="718"/>
      <c r="P160" s="718"/>
    </row>
    <row r="161" spans="1:18" customFormat="1" ht="17.25" customHeight="1">
      <c r="A161" s="2513"/>
      <c r="B161" s="2513"/>
      <c r="C161" s="767">
        <v>2020</v>
      </c>
      <c r="D161" s="757"/>
      <c r="E161" s="656"/>
      <c r="F161" s="656"/>
      <c r="G161" s="730">
        <v>0</v>
      </c>
      <c r="H161" s="757"/>
      <c r="I161" s="656"/>
      <c r="J161" s="656"/>
      <c r="K161" s="597"/>
      <c r="L161" s="597"/>
      <c r="M161" s="597"/>
      <c r="N161" s="597"/>
      <c r="O161" s="718"/>
      <c r="P161" s="718"/>
      <c r="Q161" s="597"/>
      <c r="R161" s="597"/>
    </row>
    <row r="162" spans="1:18" customFormat="1">
      <c r="A162" s="2513"/>
      <c r="B162" s="2513"/>
      <c r="C162" s="768" t="s">
        <v>13</v>
      </c>
      <c r="D162" s="759">
        <v>0</v>
      </c>
      <c r="E162" s="730">
        <v>0</v>
      </c>
      <c r="F162" s="730">
        <v>0</v>
      </c>
      <c r="G162" s="730">
        <v>0</v>
      </c>
      <c r="H162" s="759">
        <v>0</v>
      </c>
      <c r="I162" s="730">
        <v>0</v>
      </c>
      <c r="J162" s="769">
        <v>0</v>
      </c>
      <c r="K162" s="597"/>
      <c r="L162" s="597"/>
      <c r="M162" s="597"/>
      <c r="N162" s="597"/>
      <c r="O162" s="597"/>
      <c r="P162" s="597"/>
      <c r="Q162" s="597"/>
      <c r="R162" s="597"/>
    </row>
    <row r="163" spans="1:18" customFormat="1" ht="24.75" customHeight="1">
      <c r="A163" s="748"/>
      <c r="B163" s="685"/>
      <c r="C163" s="770"/>
      <c r="D163" s="718"/>
      <c r="E163" s="771"/>
      <c r="F163" s="718"/>
      <c r="G163" s="718"/>
      <c r="H163" s="718"/>
      <c r="I163" s="718"/>
      <c r="J163" s="700"/>
      <c r="K163" s="772"/>
      <c r="L163" s="597"/>
      <c r="M163" s="597"/>
      <c r="N163" s="597"/>
      <c r="O163" s="597"/>
      <c r="P163" s="597"/>
      <c r="Q163" s="597"/>
      <c r="R163" s="597"/>
    </row>
    <row r="164" spans="1:18" customFormat="1" ht="95.25" customHeight="1">
      <c r="A164" s="773" t="s">
        <v>103</v>
      </c>
      <c r="B164" s="774" t="s">
        <v>357</v>
      </c>
      <c r="C164" s="775" t="s">
        <v>9</v>
      </c>
      <c r="D164" s="776" t="s">
        <v>105</v>
      </c>
      <c r="E164" s="776" t="s">
        <v>106</v>
      </c>
      <c r="F164" s="777" t="s">
        <v>107</v>
      </c>
      <c r="G164" s="776" t="s">
        <v>108</v>
      </c>
      <c r="H164" s="776" t="s">
        <v>109</v>
      </c>
      <c r="I164" s="776" t="s">
        <v>110</v>
      </c>
      <c r="J164" s="1984" t="s">
        <v>111</v>
      </c>
      <c r="K164" s="778" t="s">
        <v>112</v>
      </c>
      <c r="L164" s="674"/>
      <c r="M164" s="597"/>
      <c r="N164" s="597"/>
      <c r="O164" s="597"/>
      <c r="P164" s="597"/>
      <c r="Q164" s="597"/>
      <c r="R164" s="597"/>
    </row>
    <row r="165" spans="1:18" customFormat="1" ht="15.75" customHeight="1">
      <c r="A165" s="2524"/>
      <c r="B165" s="2524"/>
      <c r="C165" s="779">
        <v>2014</v>
      </c>
      <c r="D165" s="655"/>
      <c r="E165" s="655"/>
      <c r="F165" s="655"/>
      <c r="G165" s="655"/>
      <c r="H165" s="655"/>
      <c r="I165" s="1982"/>
      <c r="J165" s="1986"/>
      <c r="K165" s="619"/>
      <c r="L165" s="674"/>
      <c r="M165" s="597"/>
      <c r="N165" s="597"/>
      <c r="O165" s="597"/>
      <c r="P165" s="597"/>
      <c r="Q165" s="597"/>
      <c r="R165" s="597"/>
    </row>
    <row r="166" spans="1:18" customFormat="1">
      <c r="A166" s="2524"/>
      <c r="B166" s="2524"/>
      <c r="C166" s="780">
        <v>2015</v>
      </c>
      <c r="D166" s="781"/>
      <c r="E166" s="781"/>
      <c r="F166" s="781"/>
      <c r="G166" s="781"/>
      <c r="H166" s="781"/>
      <c r="I166" s="1983"/>
      <c r="J166" s="1987"/>
      <c r="K166" s="697"/>
      <c r="L166" s="674"/>
      <c r="M166" s="597"/>
      <c r="N166" s="597"/>
      <c r="O166" s="597"/>
      <c r="P166" s="597"/>
      <c r="Q166" s="597"/>
      <c r="R166" s="597"/>
    </row>
    <row r="167" spans="1:18" customFormat="1">
      <c r="A167" s="2524"/>
      <c r="B167" s="2524"/>
      <c r="C167" s="780">
        <v>2016</v>
      </c>
      <c r="D167" s="781">
        <v>0</v>
      </c>
      <c r="E167" s="781">
        <v>0</v>
      </c>
      <c r="F167" s="781">
        <v>0</v>
      </c>
      <c r="G167" s="781">
        <v>0</v>
      </c>
      <c r="H167" s="781">
        <v>0</v>
      </c>
      <c r="I167" s="1983">
        <v>0</v>
      </c>
      <c r="J167" s="1987">
        <v>0</v>
      </c>
      <c r="K167" s="697">
        <v>0</v>
      </c>
      <c r="L167" s="597"/>
      <c r="M167" s="597"/>
      <c r="N167" s="597"/>
      <c r="O167" s="597"/>
      <c r="P167" s="597"/>
      <c r="Q167" s="597"/>
      <c r="R167" s="597"/>
    </row>
    <row r="168" spans="1:18" customFormat="1">
      <c r="A168" s="2524"/>
      <c r="B168" s="2524"/>
      <c r="C168" s="780">
        <v>2017</v>
      </c>
      <c r="D168" s="781">
        <v>0</v>
      </c>
      <c r="E168" s="718">
        <v>0</v>
      </c>
      <c r="F168" s="781">
        <v>0</v>
      </c>
      <c r="G168" s="781">
        <v>0</v>
      </c>
      <c r="H168" s="781">
        <v>0</v>
      </c>
      <c r="I168" s="1983">
        <v>0</v>
      </c>
      <c r="J168" s="1987">
        <v>0</v>
      </c>
      <c r="K168" s="697">
        <v>0</v>
      </c>
      <c r="L168" s="597"/>
      <c r="M168" s="597"/>
      <c r="N168" s="597"/>
      <c r="O168" s="597"/>
      <c r="P168" s="597"/>
      <c r="Q168" s="597"/>
      <c r="R168" s="597"/>
    </row>
    <row r="169" spans="1:18" customFormat="1">
      <c r="A169" s="2524"/>
      <c r="B169" s="2524"/>
      <c r="C169" s="782">
        <v>2018</v>
      </c>
      <c r="D169" s="781"/>
      <c r="E169" s="781"/>
      <c r="F169" s="781"/>
      <c r="G169" s="783"/>
      <c r="H169" s="781"/>
      <c r="I169" s="1983"/>
      <c r="J169" s="1987"/>
      <c r="K169" s="697"/>
      <c r="L169" s="674"/>
      <c r="M169" s="597"/>
      <c r="N169" s="597"/>
      <c r="O169" s="597"/>
      <c r="P169" s="597"/>
      <c r="Q169" s="597"/>
      <c r="R169" s="597"/>
    </row>
    <row r="170" spans="1:18" customFormat="1">
      <c r="A170" s="2524"/>
      <c r="B170" s="2524"/>
      <c r="C170" s="780">
        <v>2019</v>
      </c>
      <c r="D170" s="718"/>
      <c r="E170" s="781"/>
      <c r="F170" s="781"/>
      <c r="G170" s="781"/>
      <c r="H170" s="783"/>
      <c r="I170" s="1983"/>
      <c r="J170" s="1987"/>
      <c r="K170" s="697"/>
      <c r="L170" s="674"/>
      <c r="M170" s="597"/>
      <c r="N170" s="597"/>
      <c r="O170" s="597"/>
      <c r="P170" s="597"/>
      <c r="Q170" s="597"/>
      <c r="R170" s="597"/>
    </row>
    <row r="171" spans="1:18" customFormat="1">
      <c r="A171" s="2524"/>
      <c r="B171" s="2524"/>
      <c r="C171" s="782">
        <v>2020</v>
      </c>
      <c r="D171" s="781"/>
      <c r="E171" s="781"/>
      <c r="F171" s="781"/>
      <c r="G171" s="781"/>
      <c r="H171" s="781"/>
      <c r="I171" s="1983"/>
      <c r="J171" s="1987"/>
      <c r="K171" s="697"/>
      <c r="L171" s="674"/>
      <c r="M171" s="597"/>
      <c r="N171" s="597"/>
      <c r="O171" s="597"/>
      <c r="P171" s="597"/>
      <c r="Q171" s="597"/>
      <c r="R171" s="597"/>
    </row>
    <row r="172" spans="1:18" customFormat="1" ht="41.25" customHeight="1">
      <c r="A172" s="2524"/>
      <c r="B172" s="2524"/>
      <c r="C172" s="784" t="s">
        <v>13</v>
      </c>
      <c r="D172" s="730">
        <v>0</v>
      </c>
      <c r="E172" s="730">
        <v>0</v>
      </c>
      <c r="F172" s="730">
        <v>0</v>
      </c>
      <c r="G172" s="730">
        <v>0</v>
      </c>
      <c r="H172" s="730">
        <v>0</v>
      </c>
      <c r="I172" s="785">
        <v>0</v>
      </c>
      <c r="J172" s="1985">
        <v>0</v>
      </c>
      <c r="K172" s="759">
        <v>0</v>
      </c>
      <c r="L172" s="674"/>
      <c r="M172" s="597"/>
      <c r="N172" s="597"/>
      <c r="O172" s="597"/>
      <c r="P172" s="597"/>
      <c r="Q172" s="597"/>
      <c r="R172" s="597"/>
    </row>
    <row r="173" spans="1:18" s="648" customFormat="1" ht="26.25" customHeight="1">
      <c r="A173" s="786"/>
      <c r="B173" s="663"/>
      <c r="C173" s="664"/>
      <c r="D173" s="621"/>
      <c r="E173" s="621"/>
      <c r="F173" s="621"/>
      <c r="G173" s="745"/>
      <c r="H173" s="745"/>
      <c r="I173" s="745"/>
      <c r="J173" s="745"/>
      <c r="K173" s="745"/>
      <c r="L173" s="745"/>
      <c r="M173" s="745"/>
      <c r="N173" s="745"/>
      <c r="O173" s="745"/>
      <c r="P173" s="745"/>
      <c r="Q173" s="745"/>
      <c r="R173" s="744"/>
    </row>
    <row r="174" spans="1:18" customFormat="1" ht="21">
      <c r="A174" s="787" t="s">
        <v>114</v>
      </c>
      <c r="B174" s="787"/>
      <c r="C174" s="788"/>
      <c r="D174" s="788"/>
      <c r="E174" s="788"/>
      <c r="F174" s="788"/>
      <c r="G174" s="788"/>
      <c r="H174" s="788"/>
      <c r="I174" s="788"/>
      <c r="J174" s="788"/>
      <c r="K174" s="788"/>
      <c r="L174" s="788"/>
      <c r="M174" s="788"/>
      <c r="N174" s="788"/>
      <c r="O174" s="788"/>
      <c r="P174" s="597"/>
      <c r="Q174" s="597"/>
      <c r="R174" s="597"/>
    </row>
    <row r="175" spans="1:18" customFormat="1" ht="21">
      <c r="A175" s="789"/>
      <c r="B175" s="789"/>
      <c r="C175" s="597"/>
      <c r="D175" s="597"/>
      <c r="E175" s="597"/>
      <c r="F175" s="597"/>
      <c r="G175" s="597"/>
      <c r="H175" s="597"/>
      <c r="I175" s="597"/>
      <c r="J175" s="597"/>
      <c r="K175" s="597"/>
      <c r="L175" s="597"/>
      <c r="M175" s="597"/>
      <c r="N175" s="597"/>
      <c r="O175" s="597"/>
      <c r="P175" s="597"/>
      <c r="Q175" s="597"/>
      <c r="R175" s="597"/>
    </row>
    <row r="176" spans="1:18" s="617" customFormat="1" ht="22.5" customHeight="1">
      <c r="A176" s="2525" t="s">
        <v>115</v>
      </c>
      <c r="B176" s="2526" t="s">
        <v>358</v>
      </c>
      <c r="C176" s="2527" t="s">
        <v>9</v>
      </c>
      <c r="D176" s="2527" t="s">
        <v>126</v>
      </c>
      <c r="E176" s="2527"/>
      <c r="F176" s="2527"/>
      <c r="G176" s="2527"/>
      <c r="H176" s="790"/>
      <c r="I176" s="2536" t="s">
        <v>118</v>
      </c>
      <c r="J176" s="2536"/>
      <c r="K176" s="2536"/>
      <c r="L176" s="2536"/>
      <c r="M176" s="2536"/>
      <c r="N176" s="2536"/>
      <c r="O176" s="2536"/>
    </row>
    <row r="177" spans="1:15" s="617" customFormat="1" ht="129.75" customHeight="1">
      <c r="A177" s="2525"/>
      <c r="B177" s="2526"/>
      <c r="C177" s="2527"/>
      <c r="D177" s="791" t="s">
        <v>119</v>
      </c>
      <c r="E177" s="792" t="s">
        <v>120</v>
      </c>
      <c r="F177" s="792" t="s">
        <v>121</v>
      </c>
      <c r="G177" s="793" t="s">
        <v>122</v>
      </c>
      <c r="H177" s="794" t="s">
        <v>123</v>
      </c>
      <c r="I177" s="795" t="s">
        <v>350</v>
      </c>
      <c r="J177" s="796" t="s">
        <v>54</v>
      </c>
      <c r="K177" s="796" t="s">
        <v>55</v>
      </c>
      <c r="L177" s="796" t="s">
        <v>56</v>
      </c>
      <c r="M177" s="796" t="s">
        <v>57</v>
      </c>
      <c r="N177" s="796" t="s">
        <v>58</v>
      </c>
      <c r="O177" s="796" t="s">
        <v>59</v>
      </c>
    </row>
    <row r="178" spans="1:15" customFormat="1" ht="15" customHeight="1">
      <c r="A178" s="2501" t="s">
        <v>359</v>
      </c>
      <c r="B178" s="2501"/>
      <c r="C178" s="655">
        <v>2014</v>
      </c>
      <c r="D178" s="619"/>
      <c r="E178" s="618"/>
      <c r="F178" s="618"/>
      <c r="G178" s="683">
        <v>0</v>
      </c>
      <c r="H178" s="710"/>
      <c r="I178" s="710"/>
      <c r="J178" s="618"/>
      <c r="K178" s="618"/>
      <c r="L178" s="618"/>
      <c r="M178" s="618"/>
      <c r="N178" s="618"/>
      <c r="O178" s="618"/>
    </row>
    <row r="179" spans="1:15" customFormat="1">
      <c r="A179" s="2501"/>
      <c r="B179" s="2501"/>
      <c r="C179" s="656">
        <v>2015</v>
      </c>
      <c r="D179" s="623"/>
      <c r="E179" s="622"/>
      <c r="F179" s="622"/>
      <c r="G179" s="683"/>
      <c r="H179" s="797"/>
      <c r="I179" s="677"/>
      <c r="J179" s="622"/>
      <c r="K179" s="622"/>
      <c r="L179" s="622"/>
      <c r="M179" s="622"/>
      <c r="N179" s="622"/>
      <c r="O179" s="622"/>
    </row>
    <row r="180" spans="1:15" customFormat="1">
      <c r="A180" s="2501"/>
      <c r="B180" s="2501"/>
      <c r="C180" s="656">
        <v>2016</v>
      </c>
      <c r="D180" s="625">
        <v>2</v>
      </c>
      <c r="E180" s="622">
        <v>3</v>
      </c>
      <c r="F180" s="622">
        <v>10</v>
      </c>
      <c r="G180" s="683">
        <f>SUM(D180:F180)</f>
        <v>15</v>
      </c>
      <c r="H180" s="797">
        <v>36</v>
      </c>
      <c r="I180" s="677">
        <v>0</v>
      </c>
      <c r="J180" s="622">
        <v>0</v>
      </c>
      <c r="K180" s="622">
        <v>0</v>
      </c>
      <c r="L180" s="622">
        <v>0</v>
      </c>
      <c r="M180" s="622">
        <v>1</v>
      </c>
      <c r="N180" s="622">
        <v>0</v>
      </c>
      <c r="O180" s="622">
        <v>14</v>
      </c>
    </row>
    <row r="181" spans="1:15" customFormat="1">
      <c r="A181" s="2501"/>
      <c r="B181" s="2501"/>
      <c r="C181" s="656">
        <v>2017</v>
      </c>
      <c r="D181" s="625">
        <v>0</v>
      </c>
      <c r="E181" s="622">
        <v>0</v>
      </c>
      <c r="F181" s="622">
        <v>0</v>
      </c>
      <c r="G181" s="683">
        <v>0</v>
      </c>
      <c r="H181" s="797">
        <v>0</v>
      </c>
      <c r="I181" s="677">
        <v>0</v>
      </c>
      <c r="J181" s="622">
        <v>0</v>
      </c>
      <c r="K181" s="622">
        <v>0</v>
      </c>
      <c r="L181" s="622">
        <v>0</v>
      </c>
      <c r="M181" s="622">
        <v>0</v>
      </c>
      <c r="N181" s="622">
        <v>0</v>
      </c>
      <c r="O181" s="622">
        <v>0</v>
      </c>
    </row>
    <row r="182" spans="1:15" customFormat="1">
      <c r="A182" s="2501"/>
      <c r="B182" s="2501"/>
      <c r="C182" s="656">
        <v>2018</v>
      </c>
      <c r="D182" s="625"/>
      <c r="E182" s="622"/>
      <c r="F182" s="622"/>
      <c r="G182" s="683">
        <v>0</v>
      </c>
      <c r="H182" s="797"/>
      <c r="I182" s="677"/>
      <c r="J182" s="622"/>
      <c r="K182" s="622"/>
      <c r="L182" s="622"/>
      <c r="M182" s="622"/>
      <c r="N182" s="622"/>
      <c r="O182" s="622"/>
    </row>
    <row r="183" spans="1:15" customFormat="1">
      <c r="A183" s="2501"/>
      <c r="B183" s="2501"/>
      <c r="C183" s="656">
        <v>2019</v>
      </c>
      <c r="D183" s="625"/>
      <c r="E183" s="622"/>
      <c r="F183" s="622"/>
      <c r="G183" s="683">
        <v>0</v>
      </c>
      <c r="H183" s="797"/>
      <c r="I183" s="677"/>
      <c r="J183" s="622"/>
      <c r="K183" s="622"/>
      <c r="L183" s="622"/>
      <c r="M183" s="622"/>
      <c r="N183" s="622"/>
      <c r="O183" s="622"/>
    </row>
    <row r="184" spans="1:15" customFormat="1">
      <c r="A184" s="2501"/>
      <c r="B184" s="2501"/>
      <c r="C184" s="656">
        <v>2020</v>
      </c>
      <c r="D184" s="625"/>
      <c r="E184" s="622"/>
      <c r="F184" s="622"/>
      <c r="G184" s="683">
        <v>0</v>
      </c>
      <c r="H184" s="797"/>
      <c r="I184" s="677"/>
      <c r="J184" s="622"/>
      <c r="K184" s="622"/>
      <c r="L184" s="622"/>
      <c r="M184" s="622"/>
      <c r="N184" s="622"/>
      <c r="O184" s="622"/>
    </row>
    <row r="185" spans="1:15" customFormat="1" ht="45" customHeight="1">
      <c r="A185" s="2501"/>
      <c r="B185" s="2501"/>
      <c r="C185" s="680" t="s">
        <v>13</v>
      </c>
      <c r="D185" s="697">
        <f t="shared" ref="D185:O185" si="3">SUM(D179:D184)</f>
        <v>2</v>
      </c>
      <c r="E185" s="683">
        <f t="shared" si="3"/>
        <v>3</v>
      </c>
      <c r="F185" s="683">
        <f t="shared" si="3"/>
        <v>10</v>
      </c>
      <c r="G185" s="683">
        <f t="shared" si="3"/>
        <v>15</v>
      </c>
      <c r="H185" s="693">
        <f t="shared" si="3"/>
        <v>36</v>
      </c>
      <c r="I185" s="682">
        <f t="shared" si="3"/>
        <v>0</v>
      </c>
      <c r="J185" s="683">
        <f t="shared" si="3"/>
        <v>0</v>
      </c>
      <c r="K185" s="683">
        <f t="shared" si="3"/>
        <v>0</v>
      </c>
      <c r="L185" s="683">
        <f t="shared" si="3"/>
        <v>0</v>
      </c>
      <c r="M185" s="683">
        <f t="shared" si="3"/>
        <v>1</v>
      </c>
      <c r="N185" s="683">
        <f t="shared" si="3"/>
        <v>0</v>
      </c>
      <c r="O185" s="683">
        <f t="shared" si="3"/>
        <v>14</v>
      </c>
    </row>
    <row r="186" spans="1:15" customFormat="1" ht="33" customHeight="1">
      <c r="A186" s="597"/>
      <c r="B186" s="597"/>
      <c r="C186" s="597"/>
      <c r="D186" s="597"/>
      <c r="E186" s="597"/>
      <c r="F186" s="597"/>
      <c r="G186" s="597"/>
      <c r="H186" s="597"/>
      <c r="I186" s="597"/>
      <c r="J186" s="597"/>
      <c r="K186" s="597"/>
      <c r="L186" s="597"/>
      <c r="M186" s="597"/>
      <c r="N186" s="597"/>
      <c r="O186" s="597"/>
    </row>
    <row r="187" spans="1:15" customFormat="1" ht="19.5" customHeight="1">
      <c r="A187" s="2537" t="s">
        <v>125</v>
      </c>
      <c r="B187" s="2526" t="s">
        <v>358</v>
      </c>
      <c r="C187" s="2527" t="s">
        <v>9</v>
      </c>
      <c r="D187" s="2538" t="s">
        <v>126</v>
      </c>
      <c r="E187" s="2538"/>
      <c r="F187" s="2538"/>
      <c r="G187" s="2538"/>
      <c r="H187" s="2539" t="s">
        <v>127</v>
      </c>
      <c r="I187" s="2539"/>
      <c r="J187" s="2539"/>
      <c r="K187" s="2539"/>
      <c r="L187" s="2539"/>
      <c r="M187" s="597"/>
      <c r="N187" s="597"/>
      <c r="O187" s="597"/>
    </row>
    <row r="188" spans="1:15" customFormat="1" ht="77.25">
      <c r="A188" s="2537"/>
      <c r="B188" s="2526"/>
      <c r="C188" s="2527"/>
      <c r="D188" s="796" t="s">
        <v>128</v>
      </c>
      <c r="E188" s="796" t="s">
        <v>129</v>
      </c>
      <c r="F188" s="796" t="s">
        <v>130</v>
      </c>
      <c r="G188" s="798" t="s">
        <v>13</v>
      </c>
      <c r="H188" s="799" t="s">
        <v>131</v>
      </c>
      <c r="I188" s="796" t="s">
        <v>132</v>
      </c>
      <c r="J188" s="796" t="s">
        <v>133</v>
      </c>
      <c r="K188" s="796" t="s">
        <v>360</v>
      </c>
      <c r="L188" s="796" t="s">
        <v>135</v>
      </c>
      <c r="M188" s="597"/>
      <c r="N188" s="597"/>
      <c r="O188" s="597"/>
    </row>
    <row r="189" spans="1:15" customFormat="1" ht="15" customHeight="1">
      <c r="A189" s="2528" t="s">
        <v>361</v>
      </c>
      <c r="B189" s="2502"/>
      <c r="C189" s="800">
        <v>2014</v>
      </c>
      <c r="D189" s="694"/>
      <c r="E189" s="676"/>
      <c r="F189" s="676"/>
      <c r="G189" s="801">
        <v>0</v>
      </c>
      <c r="H189" s="675"/>
      <c r="I189" s="676"/>
      <c r="J189" s="676"/>
      <c r="K189" s="676"/>
      <c r="L189" s="676"/>
      <c r="M189" s="597"/>
      <c r="N189" s="597"/>
      <c r="O189" s="597"/>
    </row>
    <row r="190" spans="1:15" customFormat="1">
      <c r="A190" s="2502"/>
      <c r="B190" s="2502"/>
      <c r="C190" s="656">
        <v>2015</v>
      </c>
      <c r="D190" s="625"/>
      <c r="E190" s="622"/>
      <c r="F190" s="622"/>
      <c r="G190" s="801"/>
      <c r="H190" s="677"/>
      <c r="I190" s="622"/>
      <c r="J190" s="622"/>
      <c r="K190" s="622"/>
      <c r="L190" s="622"/>
      <c r="M190" s="597"/>
      <c r="N190" s="597"/>
      <c r="O190" s="597"/>
    </row>
    <row r="191" spans="1:15" customFormat="1">
      <c r="A191" s="2502"/>
      <c r="B191" s="2502"/>
      <c r="C191" s="656">
        <v>2016</v>
      </c>
      <c r="D191" s="625">
        <v>69</v>
      </c>
      <c r="E191" s="622">
        <v>110</v>
      </c>
      <c r="F191" s="622">
        <v>378</v>
      </c>
      <c r="G191" s="801">
        <f>SUM(D191:F191)</f>
        <v>557</v>
      </c>
      <c r="H191" s="677">
        <v>0</v>
      </c>
      <c r="I191" s="622">
        <v>94</v>
      </c>
      <c r="J191" s="622">
        <v>6</v>
      </c>
      <c r="K191" s="622">
        <v>0</v>
      </c>
      <c r="L191" s="622">
        <v>457</v>
      </c>
      <c r="M191" s="597"/>
      <c r="N191" s="597"/>
      <c r="O191" s="597"/>
    </row>
    <row r="192" spans="1:15" customFormat="1">
      <c r="A192" s="2502"/>
      <c r="B192" s="2502"/>
      <c r="C192" s="656">
        <v>2017</v>
      </c>
      <c r="D192" s="625">
        <v>0</v>
      </c>
      <c r="E192" s="622">
        <v>0</v>
      </c>
      <c r="F192" s="622">
        <v>0</v>
      </c>
      <c r="G192" s="801">
        <v>0</v>
      </c>
      <c r="H192" s="677">
        <v>0</v>
      </c>
      <c r="I192" s="622">
        <v>0</v>
      </c>
      <c r="J192" s="622">
        <v>0</v>
      </c>
      <c r="K192" s="622">
        <v>0</v>
      </c>
      <c r="L192" s="622">
        <v>0</v>
      </c>
      <c r="M192" s="597"/>
      <c r="N192" s="597"/>
      <c r="O192" s="597"/>
    </row>
    <row r="193" spans="1:14" customFormat="1">
      <c r="A193" s="2502"/>
      <c r="B193" s="2502"/>
      <c r="C193" s="656">
        <v>2018</v>
      </c>
      <c r="D193" s="625"/>
      <c r="E193" s="622"/>
      <c r="F193" s="622"/>
      <c r="G193" s="801">
        <v>0</v>
      </c>
      <c r="H193" s="677"/>
      <c r="I193" s="622"/>
      <c r="J193" s="622"/>
      <c r="K193" s="622"/>
      <c r="L193" s="622"/>
      <c r="M193" s="597"/>
      <c r="N193" s="597"/>
    </row>
    <row r="194" spans="1:14" customFormat="1">
      <c r="A194" s="2502"/>
      <c r="B194" s="2502"/>
      <c r="C194" s="656">
        <v>2019</v>
      </c>
      <c r="D194" s="625"/>
      <c r="E194" s="622"/>
      <c r="F194" s="622"/>
      <c r="G194" s="801">
        <v>0</v>
      </c>
      <c r="H194" s="677"/>
      <c r="I194" s="622"/>
      <c r="J194" s="622"/>
      <c r="K194" s="622"/>
      <c r="L194" s="622"/>
      <c r="M194" s="597"/>
      <c r="N194" s="597"/>
    </row>
    <row r="195" spans="1:14" customFormat="1">
      <c r="A195" s="2502"/>
      <c r="B195" s="2502"/>
      <c r="C195" s="656">
        <v>2020</v>
      </c>
      <c r="D195" s="625"/>
      <c r="E195" s="622"/>
      <c r="F195" s="622"/>
      <c r="G195" s="801">
        <v>0</v>
      </c>
      <c r="H195" s="677"/>
      <c r="I195" s="622"/>
      <c r="J195" s="622"/>
      <c r="K195" s="622"/>
      <c r="L195" s="622"/>
      <c r="M195" s="597"/>
      <c r="N195" s="597"/>
    </row>
    <row r="196" spans="1:14" customFormat="1" ht="28.5" customHeight="1">
      <c r="A196" s="2502"/>
      <c r="B196" s="2502"/>
      <c r="C196" s="680" t="s">
        <v>13</v>
      </c>
      <c r="D196" s="697">
        <f>SUM(D190:D195)</f>
        <v>69</v>
      </c>
      <c r="E196" s="683">
        <f>SUM(E190:E195)</f>
        <v>110</v>
      </c>
      <c r="F196" s="683">
        <f>SUM(F190:F195)</f>
        <v>378</v>
      </c>
      <c r="G196" s="802">
        <f>SUM(G189:G195)</f>
        <v>557</v>
      </c>
      <c r="H196" s="682">
        <f>SUM(H190:H195)</f>
        <v>0</v>
      </c>
      <c r="I196" s="683">
        <f>SUM(I190:I195)</f>
        <v>94</v>
      </c>
      <c r="J196" s="683">
        <f>SUM(J190:J195)</f>
        <v>6</v>
      </c>
      <c r="K196" s="683">
        <f>SUM(K190:K195)</f>
        <v>0</v>
      </c>
      <c r="L196" s="683">
        <f>SUM(L190:L195)</f>
        <v>457</v>
      </c>
      <c r="M196" s="597"/>
      <c r="N196" s="597"/>
    </row>
    <row r="197" spans="1:14" customFormat="1">
      <c r="A197" s="597"/>
      <c r="B197" s="597"/>
      <c r="C197" s="597"/>
      <c r="D197" s="597"/>
      <c r="E197" s="597"/>
      <c r="F197" s="597"/>
      <c r="G197" s="597"/>
      <c r="H197" s="597"/>
      <c r="I197" s="597"/>
      <c r="J197" s="597"/>
      <c r="K197" s="597"/>
      <c r="L197" s="597"/>
      <c r="M197" s="597"/>
      <c r="N197" s="597"/>
    </row>
    <row r="198" spans="1:14" customFormat="1">
      <c r="A198" s="597"/>
      <c r="B198" s="597"/>
      <c r="C198" s="597"/>
      <c r="D198" s="597"/>
      <c r="E198" s="597"/>
      <c r="F198" s="597"/>
      <c r="G198" s="597"/>
      <c r="H198" s="597"/>
      <c r="I198" s="597"/>
      <c r="J198" s="597"/>
      <c r="K198" s="597"/>
      <c r="L198" s="597"/>
      <c r="M198" s="597"/>
      <c r="N198" s="597"/>
    </row>
    <row r="199" spans="1:14" customFormat="1" ht="21">
      <c r="A199" s="803" t="s">
        <v>137</v>
      </c>
      <c r="B199" s="803"/>
      <c r="C199" s="804"/>
      <c r="D199" s="804"/>
      <c r="E199" s="804"/>
      <c r="F199" s="804"/>
      <c r="G199" s="804"/>
      <c r="H199" s="804"/>
      <c r="I199" s="804"/>
      <c r="J199" s="804"/>
      <c r="K199" s="804"/>
      <c r="L199" s="804"/>
      <c r="M199" s="648"/>
      <c r="N199" s="648"/>
    </row>
    <row r="200" spans="1:14" customFormat="1" ht="10.5" customHeight="1">
      <c r="A200" s="805"/>
      <c r="B200" s="805"/>
      <c r="C200" s="804"/>
      <c r="D200" s="804"/>
      <c r="E200" s="804"/>
      <c r="F200" s="804"/>
      <c r="G200" s="804"/>
      <c r="H200" s="804"/>
      <c r="I200" s="804"/>
      <c r="J200" s="804"/>
      <c r="K200" s="804"/>
      <c r="L200" s="804"/>
      <c r="M200" s="597"/>
      <c r="N200" s="597"/>
    </row>
    <row r="201" spans="1:14" s="617" customFormat="1" ht="101.25" customHeight="1">
      <c r="A201" s="806" t="s">
        <v>362</v>
      </c>
      <c r="B201" s="807" t="s">
        <v>358</v>
      </c>
      <c r="C201" s="808" t="s">
        <v>9</v>
      </c>
      <c r="D201" s="809" t="s">
        <v>139</v>
      </c>
      <c r="E201" s="808" t="s">
        <v>140</v>
      </c>
      <c r="F201" s="808" t="s">
        <v>141</v>
      </c>
      <c r="G201" s="808" t="s">
        <v>142</v>
      </c>
      <c r="H201" s="810" t="s">
        <v>143</v>
      </c>
      <c r="I201" s="808" t="s">
        <v>144</v>
      </c>
      <c r="J201" s="808" t="s">
        <v>145</v>
      </c>
      <c r="K201" s="808" t="s">
        <v>146</v>
      </c>
      <c r="L201" s="808" t="s">
        <v>147</v>
      </c>
    </row>
    <row r="202" spans="1:14" customFormat="1" ht="15" customHeight="1">
      <c r="A202" s="2529" t="s">
        <v>615</v>
      </c>
      <c r="B202" s="2530"/>
      <c r="C202" s="655">
        <v>2014</v>
      </c>
      <c r="D202" s="619"/>
      <c r="E202" s="618"/>
      <c r="F202" s="618"/>
      <c r="G202" s="618"/>
      <c r="H202" s="811"/>
      <c r="I202" s="618"/>
      <c r="J202" s="618"/>
      <c r="K202" s="618"/>
      <c r="L202" s="618"/>
      <c r="M202" s="597"/>
      <c r="N202" s="597"/>
    </row>
    <row r="203" spans="1:14" customFormat="1">
      <c r="A203" s="2529"/>
      <c r="B203" s="2530"/>
      <c r="C203" s="656">
        <v>2015</v>
      </c>
      <c r="D203" s="625"/>
      <c r="E203" s="622"/>
      <c r="F203" s="622"/>
      <c r="G203" s="622"/>
      <c r="H203" s="812"/>
      <c r="I203" s="622"/>
      <c r="J203" s="622"/>
      <c r="K203" s="622"/>
      <c r="L203" s="622"/>
      <c r="M203" s="597"/>
      <c r="N203" s="597"/>
    </row>
    <row r="204" spans="1:14" customFormat="1">
      <c r="A204" s="2529"/>
      <c r="B204" s="2530"/>
      <c r="C204" s="656">
        <v>2016</v>
      </c>
      <c r="D204" s="1975">
        <v>1</v>
      </c>
      <c r="E204" s="622">
        <v>9</v>
      </c>
      <c r="F204" s="622">
        <v>5</v>
      </c>
      <c r="G204" s="622">
        <v>1</v>
      </c>
      <c r="H204" s="812">
        <v>4</v>
      </c>
      <c r="I204" s="622">
        <v>0</v>
      </c>
      <c r="J204" s="679">
        <v>1</v>
      </c>
      <c r="K204" s="679">
        <v>50</v>
      </c>
      <c r="L204" s="622">
        <v>0</v>
      </c>
      <c r="M204" s="597"/>
      <c r="N204" s="597"/>
    </row>
    <row r="205" spans="1:14" customFormat="1">
      <c r="A205" s="2529"/>
      <c r="B205" s="2530"/>
      <c r="C205" s="656">
        <v>2017</v>
      </c>
      <c r="D205" s="625">
        <v>0</v>
      </c>
      <c r="E205" s="622">
        <v>0</v>
      </c>
      <c r="F205" s="622">
        <v>0</v>
      </c>
      <c r="G205" s="622">
        <v>0</v>
      </c>
      <c r="H205" s="812">
        <v>0</v>
      </c>
      <c r="I205" s="622">
        <v>0</v>
      </c>
      <c r="J205" s="679">
        <v>0</v>
      </c>
      <c r="K205" s="679">
        <v>0</v>
      </c>
      <c r="L205" s="622">
        <v>0</v>
      </c>
      <c r="M205" s="597"/>
      <c r="N205" s="597"/>
    </row>
    <row r="206" spans="1:14" customFormat="1">
      <c r="A206" s="2529"/>
      <c r="B206" s="2530"/>
      <c r="C206" s="656">
        <v>2018</v>
      </c>
      <c r="D206" s="625"/>
      <c r="E206" s="622"/>
      <c r="F206" s="622"/>
      <c r="G206" s="622"/>
      <c r="H206" s="812"/>
      <c r="I206" s="622"/>
      <c r="J206" s="679"/>
      <c r="K206" s="679"/>
      <c r="L206" s="622"/>
      <c r="M206" s="597"/>
      <c r="N206" s="597"/>
    </row>
    <row r="207" spans="1:14" customFormat="1">
      <c r="A207" s="2529"/>
      <c r="B207" s="2530"/>
      <c r="C207" s="656">
        <v>2019</v>
      </c>
      <c r="D207" s="625"/>
      <c r="E207" s="622"/>
      <c r="F207" s="622"/>
      <c r="G207" s="622"/>
      <c r="H207" s="812"/>
      <c r="I207" s="622"/>
      <c r="J207" s="679"/>
      <c r="K207" s="679"/>
      <c r="L207" s="622"/>
      <c r="M207" s="597"/>
      <c r="N207" s="597"/>
    </row>
    <row r="208" spans="1:14" customFormat="1">
      <c r="A208" s="2529"/>
      <c r="B208" s="2530"/>
      <c r="C208" s="656">
        <v>2020</v>
      </c>
      <c r="D208" s="813"/>
      <c r="E208" s="814"/>
      <c r="F208" s="814"/>
      <c r="G208" s="814"/>
      <c r="H208" s="815"/>
      <c r="I208" s="814"/>
      <c r="J208" s="1980"/>
      <c r="K208" s="1980"/>
      <c r="L208" s="814"/>
      <c r="M208" s="597"/>
      <c r="N208" s="597"/>
    </row>
    <row r="209" spans="1:12" customFormat="1" ht="20.25" customHeight="1">
      <c r="A209" s="2531"/>
      <c r="B209" s="2532"/>
      <c r="C209" s="680" t="s">
        <v>13</v>
      </c>
      <c r="D209" s="1976">
        <f>SUM(D204:D205)</f>
        <v>1</v>
      </c>
      <c r="E209" s="697">
        <f>SUM(E204:E205)</f>
        <v>9</v>
      </c>
      <c r="F209" s="697">
        <f>SUM(F204:F205)</f>
        <v>5</v>
      </c>
      <c r="G209" s="697">
        <f>SUM(G204:G208)</f>
        <v>1</v>
      </c>
      <c r="H209" s="697">
        <f>SUM(H204:H208)</f>
        <v>4</v>
      </c>
      <c r="I209" s="697">
        <f>SUM(I204:I205)</f>
        <v>0</v>
      </c>
      <c r="J209" s="1981">
        <f>SUM(J204:J205)</f>
        <v>1</v>
      </c>
      <c r="K209" s="1981">
        <f>SUM(K204:K205)</f>
        <v>50</v>
      </c>
      <c r="L209" s="697">
        <f>SUM(L204:L205)</f>
        <v>0</v>
      </c>
    </row>
    <row r="210" spans="1:12" customFormat="1">
      <c r="A210" s="597"/>
      <c r="B210" s="597"/>
      <c r="C210" s="597"/>
      <c r="D210" s="597"/>
      <c r="E210" s="597"/>
      <c r="F210" s="597"/>
      <c r="G210" s="597"/>
      <c r="H210" s="597"/>
      <c r="I210" s="597"/>
      <c r="J210" s="597"/>
      <c r="K210" s="597"/>
      <c r="L210" s="597"/>
    </row>
    <row r="211" spans="1:12" customFormat="1">
      <c r="A211" s="597"/>
      <c r="B211" s="597"/>
      <c r="C211" s="597"/>
      <c r="D211" s="597"/>
      <c r="E211" s="597"/>
      <c r="F211" s="597"/>
      <c r="G211" s="597"/>
      <c r="H211" s="597"/>
      <c r="I211" s="597"/>
      <c r="J211" s="597"/>
      <c r="K211" s="597"/>
      <c r="L211" s="597"/>
    </row>
    <row r="212" spans="1:12" customFormat="1" ht="18.75">
      <c r="A212" s="816" t="s">
        <v>363</v>
      </c>
      <c r="B212" s="817" t="s">
        <v>364</v>
      </c>
      <c r="C212" s="720">
        <v>2014</v>
      </c>
      <c r="D212" s="720">
        <v>2015</v>
      </c>
      <c r="E212" s="720">
        <v>2016</v>
      </c>
      <c r="F212" s="720">
        <v>2017</v>
      </c>
      <c r="G212" s="720">
        <v>2018</v>
      </c>
      <c r="H212" s="720">
        <v>2019</v>
      </c>
      <c r="I212" s="720">
        <v>2020</v>
      </c>
      <c r="J212" s="597"/>
      <c r="K212" s="597"/>
      <c r="L212" s="597"/>
    </row>
    <row r="213" spans="1:12" customFormat="1" ht="15" customHeight="1">
      <c r="A213" s="597" t="s">
        <v>150</v>
      </c>
      <c r="B213" s="2533" t="s">
        <v>365</v>
      </c>
      <c r="C213" s="655"/>
      <c r="D213" s="818"/>
      <c r="E213" s="818">
        <v>807897.95</v>
      </c>
      <c r="F213" s="818">
        <v>54999.99</v>
      </c>
      <c r="G213" s="656"/>
      <c r="H213" s="656"/>
      <c r="I213" s="656"/>
      <c r="J213" s="597"/>
      <c r="K213" s="597"/>
      <c r="L213" s="597"/>
    </row>
    <row r="214" spans="1:12" customFormat="1">
      <c r="A214" s="597" t="s">
        <v>153</v>
      </c>
      <c r="B214" s="2534"/>
      <c r="C214" s="655"/>
      <c r="D214" s="819"/>
      <c r="E214" s="819">
        <v>463746.21</v>
      </c>
      <c r="F214" s="819">
        <v>54999.99</v>
      </c>
      <c r="G214" s="656"/>
      <c r="H214" s="656"/>
      <c r="I214" s="656"/>
      <c r="J214" s="597"/>
      <c r="K214" s="597"/>
      <c r="L214" s="597"/>
    </row>
    <row r="215" spans="1:12" customFormat="1">
      <c r="A215" s="597" t="s">
        <v>155</v>
      </c>
      <c r="B215" s="2534"/>
      <c r="C215" s="655"/>
      <c r="D215" s="819"/>
      <c r="E215" s="819">
        <v>19680</v>
      </c>
      <c r="F215" s="819">
        <v>0</v>
      </c>
      <c r="G215" s="656"/>
      <c r="H215" s="656"/>
      <c r="I215" s="656"/>
      <c r="J215" s="597"/>
      <c r="K215" s="597"/>
      <c r="L215" s="597"/>
    </row>
    <row r="216" spans="1:12" customFormat="1">
      <c r="A216" s="597" t="s">
        <v>157</v>
      </c>
      <c r="B216" s="2534"/>
      <c r="C216" s="655"/>
      <c r="D216" s="819"/>
      <c r="E216" s="819">
        <v>69804.259999999995</v>
      </c>
      <c r="F216" s="819">
        <v>0</v>
      </c>
      <c r="G216" s="656"/>
      <c r="H216" s="656"/>
      <c r="I216" s="656"/>
      <c r="J216" s="597"/>
      <c r="K216" s="597"/>
      <c r="L216" s="597"/>
    </row>
    <row r="217" spans="1:12" customFormat="1">
      <c r="A217" s="597" t="s">
        <v>158</v>
      </c>
      <c r="B217" s="2534"/>
      <c r="C217" s="655"/>
      <c r="D217" s="819"/>
      <c r="E217" s="819">
        <v>243114.09</v>
      </c>
      <c r="F217" s="819">
        <v>0</v>
      </c>
      <c r="G217" s="656"/>
      <c r="H217" s="656"/>
      <c r="I217" s="656"/>
      <c r="J217" s="597"/>
      <c r="K217" s="597"/>
      <c r="L217" s="597"/>
    </row>
    <row r="218" spans="1:12" customFormat="1" ht="29.25">
      <c r="A218" s="617" t="s">
        <v>159</v>
      </c>
      <c r="B218" s="2534"/>
      <c r="C218" s="655"/>
      <c r="D218" s="820"/>
      <c r="E218" s="839">
        <v>361553.52</v>
      </c>
      <c r="F218" s="839">
        <v>177670.84</v>
      </c>
      <c r="G218" s="656"/>
      <c r="H218" s="656"/>
      <c r="I218" s="656"/>
      <c r="J218" s="597"/>
      <c r="K218" s="597"/>
      <c r="L218" s="597"/>
    </row>
    <row r="219" spans="1:12" customFormat="1" ht="396" customHeight="1">
      <c r="A219" s="821"/>
      <c r="B219" s="2535"/>
      <c r="C219" s="628" t="s">
        <v>13</v>
      </c>
      <c r="D219" s="822">
        <f>SUM(D213,D218)</f>
        <v>0</v>
      </c>
      <c r="E219" s="822">
        <f>SUM(E213,E218)</f>
        <v>1169451.47</v>
      </c>
      <c r="F219" s="822">
        <f>SUM(F213,F218)</f>
        <v>232670.83</v>
      </c>
      <c r="G219" s="628">
        <v>0</v>
      </c>
      <c r="H219" s="628">
        <v>0</v>
      </c>
      <c r="I219" s="628">
        <v>0</v>
      </c>
      <c r="J219" s="597"/>
      <c r="K219" s="597"/>
      <c r="L219" s="597"/>
    </row>
    <row r="227" spans="1:1" customFormat="1">
      <c r="A227" s="617"/>
    </row>
  </sheetData>
  <mergeCells count="66">
    <mergeCell ref="A189:B196"/>
    <mergeCell ref="A202:B209"/>
    <mergeCell ref="B213:B219"/>
    <mergeCell ref="I176:O176"/>
    <mergeCell ref="A178:B185"/>
    <mergeCell ref="A187:A188"/>
    <mergeCell ref="B187:B188"/>
    <mergeCell ref="C187:C188"/>
    <mergeCell ref="D187:G187"/>
    <mergeCell ref="H187:L187"/>
    <mergeCell ref="D176:G176"/>
    <mergeCell ref="A155:B162"/>
    <mergeCell ref="A165:B172"/>
    <mergeCell ref="A176:A177"/>
    <mergeCell ref="B176:B177"/>
    <mergeCell ref="C176:C177"/>
    <mergeCell ref="J142:N142"/>
    <mergeCell ref="A144:B151"/>
    <mergeCell ref="A153:A154"/>
    <mergeCell ref="B153:B154"/>
    <mergeCell ref="C153:C154"/>
    <mergeCell ref="D153:G153"/>
    <mergeCell ref="H153:J153"/>
    <mergeCell ref="A142:A143"/>
    <mergeCell ref="B142:B143"/>
    <mergeCell ref="C142:C143"/>
    <mergeCell ref="D142:I142"/>
    <mergeCell ref="A120:B127"/>
    <mergeCell ref="A129:A130"/>
    <mergeCell ref="B129:B130"/>
    <mergeCell ref="D129:G129"/>
    <mergeCell ref="A131:B137"/>
    <mergeCell ref="E118:L118"/>
    <mergeCell ref="D96:E96"/>
    <mergeCell ref="F96:M96"/>
    <mergeCell ref="A98:B105"/>
    <mergeCell ref="A107:A108"/>
    <mergeCell ref="B107:B108"/>
    <mergeCell ref="C107:C108"/>
    <mergeCell ref="D107:D108"/>
    <mergeCell ref="E107:L107"/>
    <mergeCell ref="C96:C97"/>
    <mergeCell ref="A109:B116"/>
    <mergeCell ref="A118:A119"/>
    <mergeCell ref="B118:B119"/>
    <mergeCell ref="C118:C119"/>
    <mergeCell ref="D118:D119"/>
    <mergeCell ref="A62:B69"/>
    <mergeCell ref="A72:B79"/>
    <mergeCell ref="A85:B92"/>
    <mergeCell ref="A96:A97"/>
    <mergeCell ref="B96:B97"/>
    <mergeCell ref="D26:G26"/>
    <mergeCell ref="A28:B35"/>
    <mergeCell ref="A40:B47"/>
    <mergeCell ref="A50:B58"/>
    <mergeCell ref="A60:A61"/>
    <mergeCell ref="C60:C61"/>
    <mergeCell ref="D60:D61"/>
    <mergeCell ref="E60:L60"/>
    <mergeCell ref="A17:B24"/>
    <mergeCell ref="B1:F1"/>
    <mergeCell ref="A3:E3"/>
    <mergeCell ref="F3:O3"/>
    <mergeCell ref="A4:O10"/>
    <mergeCell ref="D15:G1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Y227"/>
  <sheetViews>
    <sheetView topLeftCell="A187" zoomScale="50" zoomScaleNormal="50" workbookViewId="0">
      <selection activeCell="M102" sqref="M102"/>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326</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580"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327</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f>SUM(D18:F18)</f>
        <v>0</v>
      </c>
      <c r="H18" s="42"/>
      <c r="I18" s="384"/>
      <c r="J18" s="41"/>
      <c r="K18" s="382"/>
      <c r="L18" s="41"/>
      <c r="M18" s="41"/>
      <c r="N18" s="41"/>
      <c r="O18" s="43"/>
      <c r="P18" s="38"/>
      <c r="Q18" s="38"/>
      <c r="R18" s="38"/>
      <c r="S18" s="38"/>
      <c r="T18" s="38"/>
      <c r="U18" s="38"/>
      <c r="V18" s="38"/>
      <c r="W18" s="38"/>
      <c r="X18" s="38"/>
      <c r="Y18" s="38"/>
    </row>
    <row r="19" spans="1:25">
      <c r="A19" s="2069"/>
      <c r="B19" s="2068"/>
      <c r="C19" s="39">
        <v>2016</v>
      </c>
      <c r="D19" s="40">
        <v>20</v>
      </c>
      <c r="E19" s="41">
        <v>8</v>
      </c>
      <c r="F19" s="41">
        <v>1</v>
      </c>
      <c r="G19" s="35">
        <v>29</v>
      </c>
      <c r="H19" s="42"/>
      <c r="I19" s="41">
        <v>13</v>
      </c>
      <c r="J19" s="41"/>
      <c r="K19" s="41">
        <v>14</v>
      </c>
      <c r="L19" s="41"/>
      <c r="M19" s="41">
        <v>1</v>
      </c>
      <c r="N19" s="41"/>
      <c r="O19" s="584">
        <v>1</v>
      </c>
      <c r="P19" s="38"/>
      <c r="Q19" s="38"/>
      <c r="R19" s="38"/>
      <c r="S19" s="38"/>
      <c r="T19" s="38"/>
      <c r="U19" s="38"/>
      <c r="V19" s="38"/>
      <c r="W19" s="38"/>
      <c r="X19" s="38"/>
      <c r="Y19" s="38"/>
    </row>
    <row r="20" spans="1:25">
      <c r="A20" s="2069"/>
      <c r="B20" s="206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20</v>
      </c>
      <c r="E24" s="47">
        <f>SUM(E17:E23)</f>
        <v>8</v>
      </c>
      <c r="F24" s="47">
        <f>SUM(F17:F23)</f>
        <v>1</v>
      </c>
      <c r="G24" s="48">
        <f>SUM(D24:F24)</f>
        <v>29</v>
      </c>
      <c r="H24" s="49">
        <f>SUM(H17:H23)</f>
        <v>0</v>
      </c>
      <c r="I24" s="50">
        <f>SUM(I17:I23)</f>
        <v>13</v>
      </c>
      <c r="J24" s="50">
        <f t="shared" ref="J24:N24" si="1">SUM(J17:J23)</f>
        <v>0</v>
      </c>
      <c r="K24" s="50">
        <f t="shared" si="1"/>
        <v>14</v>
      </c>
      <c r="L24" s="50">
        <f t="shared" si="1"/>
        <v>0</v>
      </c>
      <c r="M24" s="50">
        <f t="shared" si="1"/>
        <v>1</v>
      </c>
      <c r="N24" s="50">
        <f t="shared" si="1"/>
        <v>0</v>
      </c>
      <c r="O24" s="51">
        <f>SUM(O17:O23)</f>
        <v>1</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580"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328</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335"/>
      <c r="E29" s="41"/>
      <c r="F29" s="41"/>
      <c r="G29" s="59"/>
      <c r="H29" s="38"/>
      <c r="I29" s="38"/>
      <c r="J29" s="38"/>
      <c r="K29" s="38"/>
      <c r="L29" s="38"/>
      <c r="M29" s="38"/>
      <c r="N29" s="38"/>
      <c r="O29" s="38"/>
      <c r="P29" s="38"/>
      <c r="Q29" s="8"/>
    </row>
    <row r="30" spans="1:25">
      <c r="A30" s="2069"/>
      <c r="B30" s="2068"/>
      <c r="C30" s="60">
        <v>2016</v>
      </c>
      <c r="D30" s="585">
        <v>11934</v>
      </c>
      <c r="E30" s="586">
        <v>7740</v>
      </c>
      <c r="F30" s="586">
        <v>20000</v>
      </c>
      <c r="G30" s="59">
        <f t="shared" ref="G30:G35" si="2">SUM(D30:F30)</f>
        <v>39674</v>
      </c>
      <c r="H30" s="38"/>
      <c r="I30" s="38"/>
      <c r="J30" s="38"/>
      <c r="K30" s="38"/>
      <c r="L30" s="38"/>
      <c r="M30" s="38"/>
      <c r="N30" s="38"/>
      <c r="O30" s="38"/>
      <c r="P30" s="38"/>
      <c r="Q30" s="8"/>
    </row>
    <row r="31" spans="1:25">
      <c r="A31" s="2069"/>
      <c r="B31" s="2068"/>
      <c r="C31" s="60">
        <v>2017</v>
      </c>
      <c r="D31" s="42"/>
      <c r="E31" s="41"/>
      <c r="F31" s="41"/>
      <c r="G31" s="59">
        <f t="shared" si="2"/>
        <v>0</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11934</v>
      </c>
      <c r="E35" s="47">
        <f>SUM(E28:E34)</f>
        <v>7740</v>
      </c>
      <c r="F35" s="47">
        <f>SUM(F28:F34)</f>
        <v>20000</v>
      </c>
      <c r="G35" s="51">
        <f t="shared" si="2"/>
        <v>39674</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t="s">
        <v>329</v>
      </c>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587">
        <v>16954</v>
      </c>
      <c r="E42" s="588">
        <v>7930</v>
      </c>
      <c r="F42" s="8"/>
      <c r="G42" s="38"/>
      <c r="H42" s="38"/>
    </row>
    <row r="43" spans="1:17">
      <c r="A43" s="2069"/>
      <c r="B43" s="2068"/>
      <c r="C43" s="74">
        <v>2017</v>
      </c>
      <c r="D43" s="434">
        <v>15339</v>
      </c>
      <c r="E43" s="589">
        <v>7660</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32293</v>
      </c>
      <c r="E47" s="76">
        <f>SUM(E40:E46)</f>
        <v>15590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c r="B62" s="2039"/>
      <c r="C62" s="99">
        <v>2014</v>
      </c>
      <c r="D62" s="100"/>
      <c r="E62" s="101"/>
      <c r="F62" s="102"/>
      <c r="G62" s="102"/>
      <c r="H62" s="102"/>
      <c r="I62" s="102"/>
      <c r="J62" s="102"/>
      <c r="K62" s="102"/>
      <c r="L62" s="37"/>
      <c r="M62" s="8"/>
      <c r="N62" s="8"/>
      <c r="O62" s="8"/>
    </row>
    <row r="63" spans="1:15">
      <c r="A63" s="2048"/>
      <c r="B63" s="2039"/>
      <c r="C63" s="103">
        <v>2015</v>
      </c>
      <c r="D63" s="104"/>
      <c r="E63" s="105"/>
      <c r="F63" s="41"/>
      <c r="G63" s="41"/>
      <c r="H63" s="41"/>
      <c r="I63" s="41"/>
      <c r="J63" s="41"/>
      <c r="K63" s="41"/>
      <c r="L63" s="86"/>
      <c r="M63" s="8"/>
      <c r="N63" s="8"/>
      <c r="O63" s="8"/>
    </row>
    <row r="64" spans="1:15">
      <c r="A64" s="2048"/>
      <c r="B64" s="2039"/>
      <c r="C64" s="103">
        <v>2016</v>
      </c>
      <c r="D64" s="104"/>
      <c r="E64" s="105"/>
      <c r="F64" s="41"/>
      <c r="G64" s="41"/>
      <c r="H64" s="41"/>
      <c r="I64" s="41"/>
      <c r="J64" s="41"/>
      <c r="K64" s="41"/>
      <c r="L64" s="86"/>
      <c r="M64" s="8"/>
      <c r="N64" s="8"/>
      <c r="O64" s="8"/>
    </row>
    <row r="65" spans="1:20">
      <c r="A65" s="2048"/>
      <c r="B65" s="2039"/>
      <c r="C65" s="103">
        <v>2017</v>
      </c>
      <c r="D65" s="104"/>
      <c r="E65" s="105"/>
      <c r="F65" s="41"/>
      <c r="G65" s="41"/>
      <c r="H65" s="41"/>
      <c r="I65" s="41"/>
      <c r="J65" s="41"/>
      <c r="K65" s="41"/>
      <c r="L65" s="86"/>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0</v>
      </c>
      <c r="E69" s="108">
        <f>SUM(E62:E68)</f>
        <v>0</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580"/>
      <c r="Q70" s="580"/>
      <c r="R70" s="580"/>
      <c r="S70" s="580"/>
      <c r="T70" s="580"/>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c r="H73" s="40"/>
      <c r="I73" s="40"/>
      <c r="J73" s="41"/>
      <c r="K73" s="41"/>
      <c r="L73" s="41"/>
      <c r="M73" s="41"/>
      <c r="N73" s="41"/>
      <c r="O73" s="86"/>
    </row>
    <row r="74" spans="1:20">
      <c r="A74" s="2069"/>
      <c r="B74" s="2039"/>
      <c r="C74" s="74">
        <v>2016</v>
      </c>
      <c r="D74" s="128"/>
      <c r="E74" s="128"/>
      <c r="F74" s="128"/>
      <c r="G74" s="125">
        <f t="shared" ref="G74:G78" si="5">SUM(D74:F74)</f>
        <v>0</v>
      </c>
      <c r="H74" s="40"/>
      <c r="I74" s="40"/>
      <c r="J74" s="41"/>
      <c r="K74" s="41"/>
      <c r="L74" s="41"/>
      <c r="M74" s="41"/>
      <c r="N74" s="41"/>
      <c r="O74" s="86"/>
    </row>
    <row r="75" spans="1:20">
      <c r="A75" s="2069"/>
      <c r="B75" s="2039"/>
      <c r="C75" s="74">
        <v>2017</v>
      </c>
      <c r="D75" s="128"/>
      <c r="E75" s="128"/>
      <c r="F75" s="128"/>
      <c r="G75" s="125">
        <f t="shared" si="5"/>
        <v>0</v>
      </c>
      <c r="H75" s="40"/>
      <c r="I75" s="40"/>
      <c r="J75" s="41"/>
      <c r="K75" s="41"/>
      <c r="L75" s="41"/>
      <c r="M75" s="41"/>
      <c r="N75" s="41"/>
      <c r="O75" s="86"/>
    </row>
    <row r="76" spans="1:20">
      <c r="A76" s="2069"/>
      <c r="B76" s="2039"/>
      <c r="C76" s="74">
        <v>2018</v>
      </c>
      <c r="D76" s="128"/>
      <c r="E76" s="128"/>
      <c r="F76" s="128"/>
      <c r="G76" s="125">
        <f t="shared" si="5"/>
        <v>0</v>
      </c>
      <c r="H76" s="40"/>
      <c r="I76" s="40"/>
      <c r="J76" s="41"/>
      <c r="K76" s="41"/>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580"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330</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590">
        <v>1</v>
      </c>
      <c r="E100" s="382">
        <v>6</v>
      </c>
      <c r="F100" s="170"/>
      <c r="G100" s="171"/>
      <c r="H100" s="171"/>
      <c r="I100" s="171"/>
      <c r="J100" s="171"/>
      <c r="K100" s="171"/>
      <c r="L100" s="171"/>
      <c r="M100" s="172">
        <v>1</v>
      </c>
      <c r="N100" s="158"/>
      <c r="O100" s="158"/>
      <c r="P100" s="158"/>
    </row>
    <row r="101" spans="1:16" ht="16.5" customHeight="1">
      <c r="A101" s="2048"/>
      <c r="B101" s="2039"/>
      <c r="C101" s="103">
        <v>2017</v>
      </c>
      <c r="D101" s="40">
        <v>1</v>
      </c>
      <c r="E101" s="41">
        <v>2</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8</v>
      </c>
      <c r="F105" s="173">
        <f t="shared" si="8"/>
        <v>0</v>
      </c>
      <c r="G105" s="174">
        <f t="shared" si="8"/>
        <v>0</v>
      </c>
      <c r="H105" s="174">
        <f t="shared" si="8"/>
        <v>0</v>
      </c>
      <c r="I105" s="174">
        <f>SUM(I98:I104)</f>
        <v>0</v>
      </c>
      <c r="J105" s="174">
        <f t="shared" si="8"/>
        <v>0</v>
      </c>
      <c r="K105" s="174">
        <f t="shared" si="8"/>
        <v>0</v>
      </c>
      <c r="L105" s="174">
        <f>SUM(L98:L104)</f>
        <v>0</v>
      </c>
      <c r="M105" s="175">
        <v>1</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581" t="s">
        <v>9</v>
      </c>
      <c r="D129" s="182" t="s">
        <v>76</v>
      </c>
      <c r="E129" s="183"/>
      <c r="F129" s="183"/>
      <c r="G129" s="184"/>
      <c r="H129" s="178"/>
      <c r="I129" s="178"/>
      <c r="J129" s="178"/>
      <c r="K129" s="178"/>
      <c r="L129" s="178"/>
      <c r="M129" s="178"/>
      <c r="N129" s="178"/>
    </row>
    <row r="130" spans="1:16" ht="77.25" customHeight="1">
      <c r="A130" s="2044"/>
      <c r="B130" s="2046"/>
      <c r="C130" s="582"/>
      <c r="D130" s="159" t="s">
        <v>77</v>
      </c>
      <c r="E130" s="186" t="s">
        <v>78</v>
      </c>
      <c r="F130" s="160" t="s">
        <v>79</v>
      </c>
      <c r="G130" s="187" t="s">
        <v>13</v>
      </c>
      <c r="H130" s="178"/>
      <c r="I130" s="178"/>
      <c r="J130" s="178"/>
      <c r="K130" s="178"/>
      <c r="L130" s="178"/>
      <c r="M130" s="178"/>
      <c r="N130" s="178"/>
    </row>
    <row r="131" spans="1:16" ht="15" customHeight="1">
      <c r="A131" s="2025"/>
      <c r="B131" s="2068"/>
      <c r="C131" s="99">
        <v>2015</v>
      </c>
      <c r="D131" s="33"/>
      <c r="E131" s="34"/>
      <c r="F131" s="34"/>
      <c r="G131" s="191"/>
      <c r="H131" s="178"/>
      <c r="I131" s="178"/>
      <c r="J131" s="178"/>
      <c r="K131" s="178"/>
      <c r="L131" s="178"/>
      <c r="M131" s="178"/>
      <c r="N131" s="178"/>
    </row>
    <row r="132" spans="1:16">
      <c r="A132" s="2069"/>
      <c r="B132" s="2068"/>
      <c r="C132" s="103">
        <v>2016</v>
      </c>
      <c r="D132" s="381">
        <v>48</v>
      </c>
      <c r="E132" s="41"/>
      <c r="F132" s="41"/>
      <c r="G132" s="191">
        <f t="shared" ref="G132:G136" si="11">SUM(D132:F132)</f>
        <v>48</v>
      </c>
      <c r="H132" s="178"/>
      <c r="I132" s="178"/>
      <c r="J132" s="178"/>
      <c r="K132" s="178"/>
      <c r="L132" s="178"/>
      <c r="M132" s="178"/>
      <c r="N132" s="178"/>
    </row>
    <row r="133" spans="1:16">
      <c r="A133" s="2069"/>
      <c r="B133" s="2068"/>
      <c r="C133" s="103">
        <v>2017</v>
      </c>
      <c r="D133" s="40">
        <v>16</v>
      </c>
      <c r="E133" s="41"/>
      <c r="F133" s="41"/>
      <c r="G133" s="191">
        <f t="shared" si="11"/>
        <v>16</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64</v>
      </c>
      <c r="E137" s="132">
        <f t="shared" ref="E137:F137" si="12">SUM(E131:E136)</f>
        <v>0</v>
      </c>
      <c r="F137" s="132">
        <f t="shared" si="12"/>
        <v>0</v>
      </c>
      <c r="G137" s="192">
        <f>SUM(G131:G136)</f>
        <v>64</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580"/>
      <c r="L153" s="580"/>
      <c r="M153" s="580"/>
      <c r="N153" s="580"/>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580"/>
      <c r="L154" s="580"/>
      <c r="M154" s="580"/>
      <c r="N154" s="580"/>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580"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580"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8"/>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0"/>
      <c r="E179" s="41"/>
      <c r="F179" s="41"/>
      <c r="G179" s="278">
        <f t="shared" ref="G179:G184" si="19">SUM(D179:F179)</f>
        <v>0</v>
      </c>
      <c r="H179" s="279"/>
      <c r="I179" s="105"/>
      <c r="J179" s="41"/>
      <c r="K179" s="41"/>
      <c r="L179" s="41"/>
      <c r="M179" s="41"/>
      <c r="N179" s="41"/>
      <c r="O179" s="86"/>
    </row>
    <row r="180" spans="1:15">
      <c r="A180" s="2048"/>
      <c r="B180" s="2039"/>
      <c r="C180" s="103">
        <v>2016</v>
      </c>
      <c r="D180" s="40">
        <v>5</v>
      </c>
      <c r="E180" s="41">
        <v>1</v>
      </c>
      <c r="F180" s="41"/>
      <c r="G180" s="278">
        <f t="shared" si="19"/>
        <v>6</v>
      </c>
      <c r="H180" s="591">
        <v>32</v>
      </c>
      <c r="I180" s="105"/>
      <c r="J180" s="41">
        <v>4</v>
      </c>
      <c r="K180" s="41"/>
      <c r="L180" s="41">
        <v>1</v>
      </c>
      <c r="M180" s="41">
        <v>1</v>
      </c>
      <c r="N180" s="41"/>
      <c r="O180" s="86"/>
    </row>
    <row r="181" spans="1:15">
      <c r="A181" s="2048"/>
      <c r="B181" s="2039"/>
      <c r="C181" s="103">
        <v>2017</v>
      </c>
      <c r="D181" s="40"/>
      <c r="E181" s="41"/>
      <c r="F181" s="41"/>
      <c r="G181" s="278">
        <f t="shared" si="19"/>
        <v>0</v>
      </c>
      <c r="H181" s="279"/>
      <c r="I181" s="105"/>
      <c r="J181" s="41"/>
      <c r="K181" s="41"/>
      <c r="L181" s="41"/>
      <c r="M181" s="41"/>
      <c r="N181" s="41"/>
      <c r="O181" s="86"/>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5</v>
      </c>
      <c r="E185" s="109">
        <f>SUM(E178:E184)</f>
        <v>1</v>
      </c>
      <c r="F185" s="109">
        <f>SUM(F178:F184)</f>
        <v>0</v>
      </c>
      <c r="G185" s="217">
        <f t="shared" ref="G185:O185" si="20">SUM(G178:G184)</f>
        <v>6</v>
      </c>
      <c r="H185" s="280">
        <f t="shared" si="20"/>
        <v>32</v>
      </c>
      <c r="I185" s="108">
        <f t="shared" si="20"/>
        <v>0</v>
      </c>
      <c r="J185" s="109">
        <f t="shared" si="20"/>
        <v>4</v>
      </c>
      <c r="K185" s="109">
        <f t="shared" si="20"/>
        <v>0</v>
      </c>
      <c r="L185" s="109">
        <f t="shared" si="20"/>
        <v>1</v>
      </c>
      <c r="M185" s="109">
        <f t="shared" si="20"/>
        <v>1</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023" t="s">
        <v>331</v>
      </c>
      <c r="B189" s="2127"/>
      <c r="C189" s="285">
        <v>2014</v>
      </c>
      <c r="D189" s="126"/>
      <c r="E189" s="102"/>
      <c r="F189" s="102"/>
      <c r="G189" s="286">
        <f>SUM(D189:F189)</f>
        <v>0</v>
      </c>
      <c r="H189" s="101"/>
      <c r="I189" s="102"/>
      <c r="J189" s="102"/>
      <c r="K189" s="102"/>
      <c r="L189" s="127"/>
    </row>
    <row r="190" spans="1:15">
      <c r="A190" s="2176"/>
      <c r="B190" s="2068"/>
      <c r="C190" s="74">
        <v>2015</v>
      </c>
      <c r="D190" s="40"/>
      <c r="E190" s="41"/>
      <c r="F190" s="41"/>
      <c r="G190" s="286">
        <f t="shared" ref="G190:G195" si="21">SUM(D190:F190)</f>
        <v>0</v>
      </c>
      <c r="H190" s="105"/>
      <c r="I190" s="41"/>
      <c r="J190" s="41"/>
      <c r="K190" s="41"/>
      <c r="L190" s="86"/>
    </row>
    <row r="191" spans="1:15">
      <c r="A191" s="2176"/>
      <c r="B191" s="2068"/>
      <c r="C191" s="74">
        <v>2016</v>
      </c>
      <c r="D191" s="40">
        <v>560</v>
      </c>
      <c r="E191" s="41">
        <v>35</v>
      </c>
      <c r="F191" s="41"/>
      <c r="G191" s="286">
        <f t="shared" si="21"/>
        <v>595</v>
      </c>
      <c r="H191" s="105"/>
      <c r="I191" s="41">
        <v>40</v>
      </c>
      <c r="J191" s="41"/>
      <c r="K191" s="41">
        <v>104</v>
      </c>
      <c r="L191" s="86">
        <v>451</v>
      </c>
    </row>
    <row r="192" spans="1:15">
      <c r="A192" s="2176"/>
      <c r="B192" s="2068"/>
      <c r="C192" s="74">
        <v>2017</v>
      </c>
      <c r="D192" s="40"/>
      <c r="E192" s="41"/>
      <c r="F192" s="41"/>
      <c r="G192" s="286">
        <f t="shared" si="21"/>
        <v>0</v>
      </c>
      <c r="H192" s="105"/>
      <c r="I192" s="41"/>
      <c r="J192" s="41"/>
      <c r="K192" s="41"/>
      <c r="L192" s="86"/>
    </row>
    <row r="193" spans="1:14">
      <c r="A193" s="2176"/>
      <c r="B193" s="2068"/>
      <c r="C193" s="74">
        <v>2018</v>
      </c>
      <c r="D193" s="40"/>
      <c r="E193" s="41"/>
      <c r="F193" s="41"/>
      <c r="G193" s="286">
        <f t="shared" si="21"/>
        <v>0</v>
      </c>
      <c r="H193" s="105"/>
      <c r="I193" s="41"/>
      <c r="J193" s="41"/>
      <c r="K193" s="41"/>
      <c r="L193" s="86"/>
    </row>
    <row r="194" spans="1:14">
      <c r="A194" s="2176"/>
      <c r="B194" s="2068"/>
      <c r="C194" s="74">
        <v>2019</v>
      </c>
      <c r="D194" s="40"/>
      <c r="E194" s="41"/>
      <c r="F194" s="41"/>
      <c r="G194" s="286">
        <f t="shared" si="21"/>
        <v>0</v>
      </c>
      <c r="H194" s="105"/>
      <c r="I194" s="41"/>
      <c r="J194" s="41"/>
      <c r="K194" s="41"/>
      <c r="L194" s="86"/>
    </row>
    <row r="195" spans="1:14">
      <c r="A195" s="2176"/>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560</v>
      </c>
      <c r="E196" s="109">
        <f t="shared" si="22"/>
        <v>35</v>
      </c>
      <c r="F196" s="109">
        <f t="shared" si="22"/>
        <v>0</v>
      </c>
      <c r="G196" s="290">
        <f t="shared" si="22"/>
        <v>595</v>
      </c>
      <c r="H196" s="108">
        <f t="shared" si="22"/>
        <v>0</v>
      </c>
      <c r="I196" s="109">
        <f t="shared" si="22"/>
        <v>40</v>
      </c>
      <c r="J196" s="109">
        <f t="shared" si="22"/>
        <v>0</v>
      </c>
      <c r="K196" s="109">
        <f t="shared" si="22"/>
        <v>104</v>
      </c>
      <c r="L196" s="110">
        <f t="shared" si="22"/>
        <v>451</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580"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t="s">
        <v>332</v>
      </c>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v>1</v>
      </c>
      <c r="E204" s="592">
        <v>17</v>
      </c>
      <c r="F204" s="41"/>
      <c r="G204" s="39"/>
      <c r="H204" s="306">
        <v>0</v>
      </c>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1</v>
      </c>
      <c r="E209" s="132">
        <f t="shared" ref="E209:L209" si="23">SUM(E202:E208)</f>
        <v>17</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333</v>
      </c>
      <c r="C213" s="73"/>
      <c r="D213" s="326"/>
      <c r="E213" s="326">
        <v>670926.79</v>
      </c>
      <c r="F213" s="128">
        <f>SUM(F214:F217)</f>
        <v>0</v>
      </c>
      <c r="G213" s="128"/>
      <c r="H213" s="128"/>
      <c r="I213" s="327"/>
    </row>
    <row r="214" spans="1:12">
      <c r="A214" t="s">
        <v>153</v>
      </c>
      <c r="B214" s="2171"/>
      <c r="C214" s="73"/>
      <c r="D214" s="326"/>
      <c r="E214" s="326">
        <v>670926.79</v>
      </c>
      <c r="F214" s="128">
        <v>0</v>
      </c>
      <c r="G214" s="128"/>
      <c r="H214" s="128"/>
      <c r="I214" s="327"/>
    </row>
    <row r="215" spans="1:12">
      <c r="A215" t="s">
        <v>155</v>
      </c>
      <c r="B215" s="2171"/>
      <c r="C215" s="73"/>
      <c r="D215" s="128"/>
      <c r="E215" s="128"/>
      <c r="F215" s="128">
        <v>0</v>
      </c>
      <c r="G215" s="128"/>
      <c r="H215" s="128"/>
      <c r="I215" s="327"/>
    </row>
    <row r="216" spans="1:12">
      <c r="A216" t="s">
        <v>157</v>
      </c>
      <c r="B216" s="2171"/>
      <c r="C216" s="73"/>
      <c r="D216" s="128"/>
      <c r="E216" s="128"/>
      <c r="F216" s="128">
        <v>0</v>
      </c>
      <c r="G216" s="128"/>
      <c r="H216" s="128"/>
      <c r="I216" s="327"/>
    </row>
    <row r="217" spans="1:12">
      <c r="A217" t="s">
        <v>158</v>
      </c>
      <c r="B217" s="2171"/>
      <c r="C217" s="73"/>
      <c r="D217" s="128"/>
      <c r="E217" s="128"/>
      <c r="F217" s="128">
        <v>0</v>
      </c>
      <c r="G217" s="128"/>
      <c r="H217" s="128"/>
      <c r="I217" s="327"/>
    </row>
    <row r="218" spans="1:12" ht="30">
      <c r="A218" s="580" t="s">
        <v>159</v>
      </c>
      <c r="B218" s="2171"/>
      <c r="C218" s="73"/>
      <c r="D218" s="326"/>
      <c r="E218" s="326">
        <v>339676.46</v>
      </c>
      <c r="F218" s="326">
        <v>177906.92</v>
      </c>
      <c r="G218" s="128"/>
      <c r="H218" s="128"/>
      <c r="I218" s="327"/>
    </row>
    <row r="219" spans="1:12" ht="15.75" thickBot="1">
      <c r="A219" s="349"/>
      <c r="B219" s="2172"/>
      <c r="C219" s="45" t="s">
        <v>13</v>
      </c>
      <c r="D219" s="333">
        <f>SUM(D214:D218)</f>
        <v>0</v>
      </c>
      <c r="E219" s="333">
        <f t="shared" ref="E219:I219" si="24">SUM(E214:E218)</f>
        <v>1010603.25</v>
      </c>
      <c r="F219" s="333">
        <f t="shared" si="24"/>
        <v>177906.92</v>
      </c>
      <c r="G219" s="333">
        <f t="shared" si="24"/>
        <v>0</v>
      </c>
      <c r="H219" s="333">
        <f t="shared" si="24"/>
        <v>0</v>
      </c>
      <c r="I219" s="333">
        <f t="shared" si="24"/>
        <v>0</v>
      </c>
    </row>
    <row r="227" spans="1:1">
      <c r="A227" s="580"/>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Y227"/>
  <sheetViews>
    <sheetView topLeftCell="E172" workbookViewId="0">
      <selection activeCell="I185" sqref="I185:O18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317</v>
      </c>
      <c r="C1" s="1996"/>
      <c r="D1" s="1996"/>
      <c r="E1" s="1996"/>
      <c r="F1" s="1996"/>
      <c r="G1" s="1"/>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580"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609</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069"/>
      <c r="B19" s="2068"/>
      <c r="C19" s="39">
        <v>2016</v>
      </c>
      <c r="D19" s="40">
        <v>26</v>
      </c>
      <c r="E19" s="41">
        <v>4</v>
      </c>
      <c r="F19" s="41"/>
      <c r="G19" s="35">
        <f t="shared" si="0"/>
        <v>30</v>
      </c>
      <c r="H19" s="42"/>
      <c r="I19" s="41">
        <v>6</v>
      </c>
      <c r="J19" s="41">
        <v>4</v>
      </c>
      <c r="K19" s="41">
        <v>2</v>
      </c>
      <c r="L19" s="41">
        <v>2</v>
      </c>
      <c r="M19" s="41"/>
      <c r="N19" s="41"/>
      <c r="O19" s="43">
        <v>16</v>
      </c>
      <c r="P19" s="38"/>
      <c r="Q19" s="38"/>
      <c r="R19" s="38"/>
      <c r="S19" s="38"/>
      <c r="T19" s="38"/>
      <c r="U19" s="38"/>
      <c r="V19" s="38"/>
      <c r="W19" s="38"/>
      <c r="X19" s="38"/>
      <c r="Y19" s="38"/>
    </row>
    <row r="20" spans="1:25">
      <c r="A20" s="2069"/>
      <c r="B20" s="2068"/>
      <c r="C20" s="39">
        <v>2017</v>
      </c>
      <c r="D20" s="40">
        <v>1</v>
      </c>
      <c r="E20" s="41"/>
      <c r="F20" s="41"/>
      <c r="G20" s="35">
        <f t="shared" si="0"/>
        <v>1</v>
      </c>
      <c r="H20" s="42"/>
      <c r="I20" s="41"/>
      <c r="J20" s="41"/>
      <c r="K20" s="41"/>
      <c r="L20" s="41"/>
      <c r="M20" s="41"/>
      <c r="N20" s="41"/>
      <c r="O20" s="43">
        <v>1</v>
      </c>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45" customHeight="1" thickBot="1">
      <c r="A24" s="2070"/>
      <c r="B24" s="2071"/>
      <c r="C24" s="45" t="s">
        <v>13</v>
      </c>
      <c r="D24" s="46">
        <f>SUM(D17:D23)</f>
        <v>27</v>
      </c>
      <c r="E24" s="47">
        <f>SUM(E17:E23)</f>
        <v>4</v>
      </c>
      <c r="F24" s="47">
        <f>SUM(F17:F23)</f>
        <v>0</v>
      </c>
      <c r="G24" s="48">
        <f>SUM(D24:F24)</f>
        <v>31</v>
      </c>
      <c r="H24" s="49">
        <f>SUM(H17:H23)</f>
        <v>0</v>
      </c>
      <c r="I24" s="50">
        <f>SUM(I17:I23)</f>
        <v>6</v>
      </c>
      <c r="J24" s="50">
        <f t="shared" ref="J24:N24" si="1">SUM(J17:J23)</f>
        <v>4</v>
      </c>
      <c r="K24" s="50">
        <f t="shared" si="1"/>
        <v>2</v>
      </c>
      <c r="L24" s="50">
        <f t="shared" si="1"/>
        <v>2</v>
      </c>
      <c r="M24" s="50">
        <f t="shared" si="1"/>
        <v>0</v>
      </c>
      <c r="N24" s="50">
        <f t="shared" si="1"/>
        <v>0</v>
      </c>
      <c r="O24" s="51">
        <f>SUM(O17:O23)</f>
        <v>17</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580"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610</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42"/>
      <c r="E29" s="41"/>
      <c r="F29" s="41"/>
      <c r="G29" s="59">
        <v>0</v>
      </c>
      <c r="H29" s="38"/>
      <c r="I29" s="38"/>
      <c r="J29" s="38"/>
      <c r="K29" s="38"/>
      <c r="L29" s="38"/>
      <c r="M29" s="38"/>
      <c r="N29" s="38"/>
      <c r="O29" s="38"/>
      <c r="P29" s="38"/>
      <c r="Q29" s="8"/>
    </row>
    <row r="30" spans="1:25">
      <c r="A30" s="2069"/>
      <c r="B30" s="2068"/>
      <c r="C30" s="60">
        <v>2016</v>
      </c>
      <c r="D30" s="583">
        <v>13899</v>
      </c>
      <c r="E30" s="190">
        <v>49100</v>
      </c>
      <c r="F30" s="41"/>
      <c r="G30" s="59">
        <f t="shared" ref="G30:G35" si="2">SUM(D30:F30)</f>
        <v>62999</v>
      </c>
      <c r="H30" s="38"/>
      <c r="I30" s="38"/>
      <c r="J30" s="38"/>
      <c r="K30" s="38"/>
      <c r="L30" s="38"/>
      <c r="M30" s="38"/>
      <c r="N30" s="38"/>
      <c r="O30" s="38"/>
      <c r="P30" s="38"/>
      <c r="Q30" s="8"/>
    </row>
    <row r="31" spans="1:25">
      <c r="A31" s="2069"/>
      <c r="B31" s="2068"/>
      <c r="C31" s="60">
        <v>2017</v>
      </c>
      <c r="D31" s="42">
        <v>56</v>
      </c>
      <c r="E31" s="41"/>
      <c r="F31" s="41"/>
      <c r="G31" s="59">
        <f t="shared" si="2"/>
        <v>56</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65.25" customHeight="1" thickBot="1">
      <c r="A35" s="2070"/>
      <c r="B35" s="2071"/>
      <c r="C35" s="62" t="s">
        <v>13</v>
      </c>
      <c r="D35" s="49">
        <f>SUM(D28:D34)</f>
        <v>13955</v>
      </c>
      <c r="E35" s="47">
        <f>SUM(E28:E34)</f>
        <v>49100</v>
      </c>
      <c r="F35" s="47">
        <f>SUM(F28:F34)</f>
        <v>0</v>
      </c>
      <c r="G35" s="51">
        <f t="shared" si="2"/>
        <v>63055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40">
        <v>5877</v>
      </c>
      <c r="E42" s="39">
        <v>4084</v>
      </c>
      <c r="F42" s="8"/>
      <c r="G42" s="38"/>
      <c r="H42" s="38"/>
    </row>
    <row r="43" spans="1:17">
      <c r="A43" s="2069"/>
      <c r="B43" s="2068"/>
      <c r="C43" s="74">
        <v>2017</v>
      </c>
      <c r="D43" s="40">
        <v>7953</v>
      </c>
      <c r="E43" s="39">
        <v>5473</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13830</v>
      </c>
      <c r="E47" s="76">
        <f>SUM(E40:E46)</f>
        <v>9557</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t="s">
        <v>318</v>
      </c>
      <c r="B62" s="2039"/>
      <c r="C62" s="99">
        <v>2014</v>
      </c>
      <c r="D62" s="100"/>
      <c r="E62" s="101"/>
      <c r="F62" s="102"/>
      <c r="G62" s="102"/>
      <c r="H62" s="102"/>
      <c r="I62" s="102"/>
      <c r="J62" s="102"/>
      <c r="K62" s="102"/>
      <c r="L62" s="37"/>
      <c r="M62" s="8"/>
      <c r="N62" s="8"/>
      <c r="O62" s="8"/>
    </row>
    <row r="63" spans="1:15">
      <c r="A63" s="2048"/>
      <c r="B63" s="2039"/>
      <c r="C63" s="103">
        <v>2015</v>
      </c>
      <c r="D63" s="104"/>
      <c r="E63" s="105"/>
      <c r="F63" s="41"/>
      <c r="G63" s="41"/>
      <c r="H63" s="41"/>
      <c r="I63" s="41"/>
      <c r="J63" s="41"/>
      <c r="K63" s="41"/>
      <c r="L63" s="86"/>
      <c r="M63" s="8"/>
      <c r="N63" s="8"/>
      <c r="O63" s="8"/>
    </row>
    <row r="64" spans="1:15">
      <c r="A64" s="2048"/>
      <c r="B64" s="2039"/>
      <c r="C64" s="103">
        <v>2016</v>
      </c>
      <c r="D64" s="104">
        <v>4</v>
      </c>
      <c r="E64" s="105"/>
      <c r="F64" s="41">
        <v>1</v>
      </c>
      <c r="G64" s="41"/>
      <c r="H64" s="41">
        <v>1</v>
      </c>
      <c r="I64" s="41"/>
      <c r="J64" s="41"/>
      <c r="K64" s="41"/>
      <c r="L64" s="86">
        <v>2</v>
      </c>
      <c r="M64" s="8"/>
      <c r="N64" s="8"/>
      <c r="O64" s="8"/>
    </row>
    <row r="65" spans="1:20">
      <c r="A65" s="2048"/>
      <c r="B65" s="2039"/>
      <c r="C65" s="103">
        <v>2017</v>
      </c>
      <c r="D65" s="104"/>
      <c r="E65" s="105"/>
      <c r="F65" s="41"/>
      <c r="G65" s="41"/>
      <c r="H65" s="41"/>
      <c r="I65" s="41"/>
      <c r="J65" s="41"/>
      <c r="K65" s="41"/>
      <c r="L65" s="86"/>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4</v>
      </c>
      <c r="E69" s="108">
        <f>SUM(E62:E68)</f>
        <v>0</v>
      </c>
      <c r="F69" s="109">
        <f t="shared" ref="F69:I69" si="4">SUM(F62:F68)</f>
        <v>1</v>
      </c>
      <c r="G69" s="109">
        <f t="shared" si="4"/>
        <v>0</v>
      </c>
      <c r="H69" s="109">
        <f t="shared" si="4"/>
        <v>1</v>
      </c>
      <c r="I69" s="109">
        <f t="shared" si="4"/>
        <v>0</v>
      </c>
      <c r="J69" s="109"/>
      <c r="K69" s="109">
        <f>SUM(K62:K68)</f>
        <v>0</v>
      </c>
      <c r="L69" s="110">
        <f>SUM(L62:L68)</f>
        <v>2</v>
      </c>
      <c r="M69" s="77"/>
      <c r="N69" s="77"/>
      <c r="O69" s="77"/>
    </row>
    <row r="70" spans="1:20" ht="20.25" customHeight="1" thickBot="1">
      <c r="A70" s="111"/>
      <c r="B70" s="112"/>
      <c r="C70" s="113"/>
      <c r="D70" s="114"/>
      <c r="E70" s="114"/>
      <c r="F70" s="114"/>
      <c r="G70" s="114"/>
      <c r="H70" s="113"/>
      <c r="I70" s="115"/>
      <c r="J70" s="115"/>
      <c r="K70" s="115"/>
      <c r="L70" s="115"/>
      <c r="M70" s="115"/>
      <c r="N70" s="115"/>
      <c r="O70" s="115"/>
      <c r="P70" s="580"/>
      <c r="Q70" s="580"/>
      <c r="R70" s="580"/>
      <c r="S70" s="580"/>
      <c r="T70" s="580"/>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t="s">
        <v>319</v>
      </c>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f t="shared" ref="G73:G78" si="5">SUM(D73:F73)</f>
        <v>0</v>
      </c>
      <c r="H73" s="40"/>
      <c r="I73" s="40"/>
      <c r="J73" s="41"/>
      <c r="K73" s="41"/>
      <c r="L73" s="41"/>
      <c r="M73" s="41"/>
      <c r="N73" s="41"/>
      <c r="O73" s="86"/>
    </row>
    <row r="74" spans="1:20">
      <c r="A74" s="2069"/>
      <c r="B74" s="2039"/>
      <c r="C74" s="74">
        <v>2016</v>
      </c>
      <c r="D74" s="128">
        <v>5</v>
      </c>
      <c r="E74" s="128">
        <v>6</v>
      </c>
      <c r="F74" s="128">
        <v>12</v>
      </c>
      <c r="G74" s="125">
        <f t="shared" si="5"/>
        <v>23</v>
      </c>
      <c r="H74" s="40"/>
      <c r="I74" s="40">
        <v>2</v>
      </c>
      <c r="J74" s="41">
        <v>2</v>
      </c>
      <c r="K74" s="41">
        <v>4</v>
      </c>
      <c r="L74" s="41"/>
      <c r="M74" s="41"/>
      <c r="N74" s="41"/>
      <c r="O74" s="86">
        <v>15</v>
      </c>
    </row>
    <row r="75" spans="1:20">
      <c r="A75" s="2069"/>
      <c r="B75" s="2039"/>
      <c r="C75" s="74">
        <v>2017</v>
      </c>
      <c r="D75" s="128"/>
      <c r="E75" s="128"/>
      <c r="F75" s="128"/>
      <c r="G75" s="125">
        <f t="shared" si="5"/>
        <v>0</v>
      </c>
      <c r="H75" s="40"/>
      <c r="I75" s="40"/>
      <c r="J75" s="41"/>
      <c r="K75" s="41"/>
      <c r="L75" s="41"/>
      <c r="M75" s="41"/>
      <c r="N75" s="41"/>
      <c r="O75" s="86"/>
    </row>
    <row r="76" spans="1:20">
      <c r="A76" s="2069"/>
      <c r="B76" s="2039"/>
      <c r="C76" s="74">
        <v>2018</v>
      </c>
      <c r="D76" s="128"/>
      <c r="E76" s="128"/>
      <c r="F76" s="128"/>
      <c r="G76" s="125">
        <f t="shared" si="5"/>
        <v>0</v>
      </c>
      <c r="H76" s="40"/>
      <c r="I76" s="40"/>
      <c r="J76" s="41"/>
      <c r="K76" s="41"/>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5</v>
      </c>
      <c r="E79" s="107">
        <f>SUM(E72:E78)</f>
        <v>6</v>
      </c>
      <c r="F79" s="107">
        <f>SUM(F72:F78)</f>
        <v>12</v>
      </c>
      <c r="G79" s="130">
        <f>SUM(G72:G78)</f>
        <v>23</v>
      </c>
      <c r="H79" s="131">
        <v>0</v>
      </c>
      <c r="I79" s="132">
        <f t="shared" ref="I79:O79" si="6">SUM(I72:I78)</f>
        <v>2</v>
      </c>
      <c r="J79" s="109">
        <f t="shared" si="6"/>
        <v>2</v>
      </c>
      <c r="K79" s="109">
        <f t="shared" si="6"/>
        <v>4</v>
      </c>
      <c r="L79" s="109">
        <f t="shared" si="6"/>
        <v>0</v>
      </c>
      <c r="M79" s="109">
        <f t="shared" si="6"/>
        <v>0</v>
      </c>
      <c r="N79" s="109">
        <f t="shared" si="6"/>
        <v>0</v>
      </c>
      <c r="O79" s="110">
        <f t="shared" si="6"/>
        <v>15</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580"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320</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40">
        <v>1</v>
      </c>
      <c r="E100" s="41">
        <v>7</v>
      </c>
      <c r="F100" s="170"/>
      <c r="G100" s="171"/>
      <c r="H100" s="171"/>
      <c r="I100" s="171"/>
      <c r="J100" s="171"/>
      <c r="K100" s="171"/>
      <c r="L100" s="171"/>
      <c r="M100" s="172">
        <v>1</v>
      </c>
      <c r="N100" s="158"/>
      <c r="O100" s="158"/>
      <c r="P100" s="158"/>
    </row>
    <row r="101" spans="1:16" ht="16.5" customHeight="1">
      <c r="A101" s="2048"/>
      <c r="B101" s="2039"/>
      <c r="C101" s="103">
        <v>2017</v>
      </c>
      <c r="D101" s="40">
        <v>1</v>
      </c>
      <c r="E101" s="41">
        <v>5</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12</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581" t="s">
        <v>9</v>
      </c>
      <c r="D129" s="182" t="s">
        <v>76</v>
      </c>
      <c r="E129" s="183"/>
      <c r="F129" s="183"/>
      <c r="G129" s="184"/>
      <c r="H129" s="178"/>
      <c r="I129" s="178"/>
      <c r="J129" s="178"/>
      <c r="K129" s="178"/>
      <c r="L129" s="178"/>
      <c r="M129" s="178"/>
      <c r="N129" s="178"/>
    </row>
    <row r="130" spans="1:16" ht="77.25" customHeight="1">
      <c r="A130" s="2044"/>
      <c r="B130" s="2046"/>
      <c r="C130" s="582"/>
      <c r="D130" s="159" t="s">
        <v>77</v>
      </c>
      <c r="E130" s="186" t="s">
        <v>78</v>
      </c>
      <c r="F130" s="160" t="s">
        <v>79</v>
      </c>
      <c r="G130" s="187" t="s">
        <v>13</v>
      </c>
      <c r="H130" s="178"/>
      <c r="I130" s="178"/>
      <c r="J130" s="178"/>
      <c r="K130" s="178"/>
      <c r="L130" s="178"/>
      <c r="M130" s="178"/>
      <c r="N130" s="178"/>
    </row>
    <row r="131" spans="1:16" ht="15" customHeight="1">
      <c r="A131" s="2025" t="s">
        <v>321</v>
      </c>
      <c r="B131" s="2068"/>
      <c r="C131" s="99">
        <v>2015</v>
      </c>
      <c r="D131" s="33"/>
      <c r="E131" s="34"/>
      <c r="F131" s="34"/>
      <c r="G131" s="191">
        <f t="shared" ref="G131:G136" si="11">SUM(D131:F131)</f>
        <v>0</v>
      </c>
      <c r="H131" s="178"/>
      <c r="I131" s="178"/>
      <c r="J131" s="178"/>
      <c r="K131" s="178"/>
      <c r="L131" s="178"/>
      <c r="M131" s="178"/>
      <c r="N131" s="178"/>
    </row>
    <row r="132" spans="1:16">
      <c r="A132" s="2069"/>
      <c r="B132" s="2068"/>
      <c r="C132" s="103">
        <v>2016</v>
      </c>
      <c r="D132" s="40">
        <v>52</v>
      </c>
      <c r="E132" s="41"/>
      <c r="F132" s="41"/>
      <c r="G132" s="191">
        <f t="shared" si="11"/>
        <v>52</v>
      </c>
      <c r="H132" s="178"/>
      <c r="I132" s="178"/>
      <c r="J132" s="178"/>
      <c r="K132" s="178"/>
      <c r="L132" s="178"/>
      <c r="M132" s="178"/>
      <c r="N132" s="178"/>
    </row>
    <row r="133" spans="1:16">
      <c r="A133" s="2069"/>
      <c r="B133" s="2068"/>
      <c r="C133" s="103">
        <v>2017</v>
      </c>
      <c r="D133" s="40">
        <v>40</v>
      </c>
      <c r="E133" s="41"/>
      <c r="F133" s="41"/>
      <c r="G133" s="191">
        <f t="shared" si="11"/>
        <v>40</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92</v>
      </c>
      <c r="E137" s="132">
        <f t="shared" ref="E137:F137" si="12">SUM(E131:E136)</f>
        <v>0</v>
      </c>
      <c r="F137" s="132">
        <f t="shared" si="12"/>
        <v>0</v>
      </c>
      <c r="G137" s="192">
        <f>SUM(G131:G136)</f>
        <v>92</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D146+F146+G146+H146</f>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580"/>
      <c r="L153" s="580"/>
      <c r="M153" s="580"/>
      <c r="N153" s="580"/>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580"/>
      <c r="L154" s="580"/>
      <c r="M154" s="580"/>
      <c r="N154" s="580"/>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580"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580"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7" t="s">
        <v>322</v>
      </c>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0"/>
      <c r="E179" s="41"/>
      <c r="F179" s="41"/>
      <c r="G179" s="278">
        <f t="shared" ref="G179:G184" si="19">SUM(D179:F179)</f>
        <v>0</v>
      </c>
      <c r="H179" s="279"/>
      <c r="I179" s="105"/>
      <c r="J179" s="41"/>
      <c r="K179" s="41"/>
      <c r="L179" s="41"/>
      <c r="M179" s="41"/>
      <c r="N179" s="41"/>
      <c r="O179" s="86"/>
    </row>
    <row r="180" spans="1:15">
      <c r="A180" s="2048"/>
      <c r="B180" s="2039"/>
      <c r="C180" s="103">
        <v>2016</v>
      </c>
      <c r="D180" s="40">
        <v>14</v>
      </c>
      <c r="E180" s="41">
        <v>1</v>
      </c>
      <c r="F180" s="41"/>
      <c r="G180" s="278">
        <f t="shared" si="19"/>
        <v>15</v>
      </c>
      <c r="H180" s="279">
        <v>79</v>
      </c>
      <c r="I180" s="105"/>
      <c r="J180" s="41">
        <v>1</v>
      </c>
      <c r="K180" s="41">
        <v>2</v>
      </c>
      <c r="L180" s="41">
        <v>2</v>
      </c>
      <c r="M180" s="41">
        <v>1</v>
      </c>
      <c r="N180" s="41"/>
      <c r="O180" s="86">
        <v>9</v>
      </c>
    </row>
    <row r="181" spans="1:15">
      <c r="A181" s="2048"/>
      <c r="B181" s="2039"/>
      <c r="C181" s="103">
        <v>2017</v>
      </c>
      <c r="D181" s="40">
        <v>1</v>
      </c>
      <c r="E181" s="41"/>
      <c r="F181" s="41"/>
      <c r="G181" s="278">
        <f t="shared" si="19"/>
        <v>1</v>
      </c>
      <c r="H181" s="279">
        <v>1</v>
      </c>
      <c r="I181" s="105"/>
      <c r="J181" s="41"/>
      <c r="K181" s="41"/>
      <c r="L181" s="41"/>
      <c r="M181" s="41"/>
      <c r="N181" s="41"/>
      <c r="O181" s="86">
        <v>1</v>
      </c>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78.75" customHeight="1" thickBot="1">
      <c r="A185" s="2067"/>
      <c r="B185" s="2042"/>
      <c r="C185" s="106" t="s">
        <v>13</v>
      </c>
      <c r="D185" s="132">
        <f>SUM(D178:D184)</f>
        <v>15</v>
      </c>
      <c r="E185" s="109">
        <f>SUM(E178:E184)</f>
        <v>1</v>
      </c>
      <c r="F185" s="109">
        <f>SUM(F178:F184)</f>
        <v>0</v>
      </c>
      <c r="G185" s="217">
        <f t="shared" ref="G185:O185" si="20">SUM(G178:G184)</f>
        <v>16</v>
      </c>
      <c r="H185" s="280">
        <f t="shared" si="20"/>
        <v>80</v>
      </c>
      <c r="I185" s="108">
        <f t="shared" si="20"/>
        <v>0</v>
      </c>
      <c r="J185" s="109">
        <f t="shared" si="20"/>
        <v>1</v>
      </c>
      <c r="K185" s="109">
        <f t="shared" si="20"/>
        <v>2</v>
      </c>
      <c r="L185" s="109">
        <f t="shared" si="20"/>
        <v>2</v>
      </c>
      <c r="M185" s="109">
        <f t="shared" si="20"/>
        <v>1</v>
      </c>
      <c r="N185" s="109">
        <f t="shared" si="20"/>
        <v>0</v>
      </c>
      <c r="O185" s="110">
        <f t="shared" si="20"/>
        <v>10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323</v>
      </c>
      <c r="B189" s="2127"/>
      <c r="C189" s="285">
        <v>2014</v>
      </c>
      <c r="D189" s="126"/>
      <c r="E189" s="102"/>
      <c r="F189" s="102"/>
      <c r="G189" s="286">
        <f>SUM(D189:F189)</f>
        <v>0</v>
      </c>
      <c r="H189" s="101"/>
      <c r="I189" s="102"/>
      <c r="J189" s="102"/>
      <c r="K189" s="102"/>
      <c r="L189" s="127"/>
    </row>
    <row r="190" spans="1:15">
      <c r="A190" s="2176"/>
      <c r="B190" s="2068"/>
      <c r="C190" s="74">
        <v>2015</v>
      </c>
      <c r="D190" s="40"/>
      <c r="E190" s="41"/>
      <c r="F190" s="41"/>
      <c r="G190" s="286">
        <f t="shared" ref="G190:G195" si="21">SUM(D190:F190)</f>
        <v>0</v>
      </c>
      <c r="H190" s="105"/>
      <c r="I190" s="41"/>
      <c r="J190" s="41"/>
      <c r="K190" s="41"/>
      <c r="L190" s="86"/>
    </row>
    <row r="191" spans="1:15">
      <c r="A191" s="2176"/>
      <c r="B191" s="2068"/>
      <c r="C191" s="74">
        <v>2016</v>
      </c>
      <c r="D191" s="40">
        <v>943</v>
      </c>
      <c r="E191" s="41">
        <v>50</v>
      </c>
      <c r="F191" s="41"/>
      <c r="G191" s="286">
        <f t="shared" si="21"/>
        <v>993</v>
      </c>
      <c r="H191" s="105"/>
      <c r="I191" s="41">
        <v>117</v>
      </c>
      <c r="J191" s="41"/>
      <c r="K191" s="41">
        <v>327</v>
      </c>
      <c r="L191" s="86">
        <v>549</v>
      </c>
    </row>
    <row r="192" spans="1:15">
      <c r="A192" s="2176"/>
      <c r="B192" s="2068"/>
      <c r="C192" s="74">
        <v>2017</v>
      </c>
      <c r="D192" s="40">
        <v>56</v>
      </c>
      <c r="E192" s="41"/>
      <c r="F192" s="41"/>
      <c r="G192" s="286">
        <f t="shared" si="21"/>
        <v>56</v>
      </c>
      <c r="H192" s="105"/>
      <c r="I192" s="41"/>
      <c r="J192" s="41"/>
      <c r="K192" s="41">
        <v>37</v>
      </c>
      <c r="L192" s="86">
        <v>19</v>
      </c>
    </row>
    <row r="193" spans="1:14">
      <c r="A193" s="2176"/>
      <c r="B193" s="2068"/>
      <c r="C193" s="74">
        <v>2018</v>
      </c>
      <c r="D193" s="40"/>
      <c r="E193" s="41"/>
      <c r="F193" s="41"/>
      <c r="G193" s="286">
        <f t="shared" si="21"/>
        <v>0</v>
      </c>
      <c r="H193" s="105"/>
      <c r="I193" s="41"/>
      <c r="J193" s="41"/>
      <c r="K193" s="41"/>
      <c r="L193" s="86"/>
    </row>
    <row r="194" spans="1:14">
      <c r="A194" s="2176"/>
      <c r="B194" s="2068"/>
      <c r="C194" s="74">
        <v>2019</v>
      </c>
      <c r="D194" s="40"/>
      <c r="E194" s="41"/>
      <c r="F194" s="41"/>
      <c r="G194" s="286">
        <f t="shared" si="21"/>
        <v>0</v>
      </c>
      <c r="H194" s="105"/>
      <c r="I194" s="41"/>
      <c r="J194" s="41"/>
      <c r="K194" s="41"/>
      <c r="L194" s="86"/>
    </row>
    <row r="195" spans="1:14">
      <c r="A195" s="2176"/>
      <c r="B195" s="2068"/>
      <c r="C195" s="74">
        <v>2020</v>
      </c>
      <c r="D195" s="40"/>
      <c r="E195" s="41"/>
      <c r="F195" s="41"/>
      <c r="G195" s="286">
        <f t="shared" si="21"/>
        <v>0</v>
      </c>
      <c r="H195" s="105"/>
      <c r="I195" s="41"/>
      <c r="J195" s="41"/>
      <c r="K195" s="41"/>
      <c r="L195" s="86"/>
    </row>
    <row r="196" spans="1:14" ht="90" customHeight="1" thickBot="1">
      <c r="A196" s="2129"/>
      <c r="B196" s="2071"/>
      <c r="C196" s="129" t="s">
        <v>13</v>
      </c>
      <c r="D196" s="132">
        <f t="shared" ref="D196:L196" si="22">SUM(D189:D195)</f>
        <v>999</v>
      </c>
      <c r="E196" s="109">
        <f t="shared" si="22"/>
        <v>50</v>
      </c>
      <c r="F196" s="109">
        <f t="shared" si="22"/>
        <v>0</v>
      </c>
      <c r="G196" s="290">
        <f t="shared" si="22"/>
        <v>1049</v>
      </c>
      <c r="H196" s="108">
        <f t="shared" si="22"/>
        <v>0</v>
      </c>
      <c r="I196" s="109">
        <f t="shared" si="22"/>
        <v>117</v>
      </c>
      <c r="J196" s="109">
        <f t="shared" si="22"/>
        <v>0</v>
      </c>
      <c r="K196" s="109">
        <f t="shared" si="22"/>
        <v>364</v>
      </c>
      <c r="L196" s="110">
        <f t="shared" si="22"/>
        <v>568</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580"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324</v>
      </c>
      <c r="C213" s="73"/>
      <c r="D213" s="326"/>
      <c r="E213" s="326">
        <f>E214+E215+E216+E217</f>
        <v>969960.74</v>
      </c>
      <c r="F213" s="326">
        <f>F214</f>
        <v>2600</v>
      </c>
      <c r="G213" s="128"/>
      <c r="H213" s="128"/>
      <c r="I213" s="327"/>
    </row>
    <row r="214" spans="1:12">
      <c r="A214" t="s">
        <v>153</v>
      </c>
      <c r="B214" s="2171"/>
      <c r="C214" s="73"/>
      <c r="D214" s="326"/>
      <c r="E214" s="326">
        <v>964690.94</v>
      </c>
      <c r="F214" s="326">
        <v>2600</v>
      </c>
      <c r="G214" s="128"/>
      <c r="H214" s="128"/>
      <c r="I214" s="327"/>
    </row>
    <row r="215" spans="1:12">
      <c r="A215" t="s">
        <v>155</v>
      </c>
      <c r="B215" s="2171"/>
      <c r="C215" s="73"/>
      <c r="D215" s="326"/>
      <c r="E215" s="326"/>
      <c r="F215" s="326"/>
      <c r="G215" s="128"/>
      <c r="H215" s="128"/>
      <c r="I215" s="327"/>
    </row>
    <row r="216" spans="1:12">
      <c r="A216" t="s">
        <v>157</v>
      </c>
      <c r="B216" s="2171"/>
      <c r="C216" s="73"/>
      <c r="D216" s="326"/>
      <c r="E216" s="326">
        <v>5239.8</v>
      </c>
      <c r="F216" s="326"/>
      <c r="G216" s="128"/>
      <c r="H216" s="128"/>
      <c r="I216" s="327"/>
    </row>
    <row r="217" spans="1:12">
      <c r="A217" t="s">
        <v>158</v>
      </c>
      <c r="B217" s="2171"/>
      <c r="C217" s="73"/>
      <c r="D217" s="326"/>
      <c r="E217" s="326">
        <v>30</v>
      </c>
      <c r="F217" s="326"/>
      <c r="G217" s="128"/>
      <c r="H217" s="128"/>
      <c r="I217" s="327"/>
    </row>
    <row r="218" spans="1:12" ht="30">
      <c r="A218" s="580" t="s">
        <v>159</v>
      </c>
      <c r="B218" s="2171"/>
      <c r="C218" s="73"/>
      <c r="D218" s="326"/>
      <c r="E218" s="326">
        <v>251930.35</v>
      </c>
      <c r="F218" s="326">
        <v>115706.89</v>
      </c>
      <c r="G218" s="128"/>
      <c r="H218" s="128"/>
      <c r="I218" s="327"/>
    </row>
    <row r="219" spans="1:12" ht="15.75" thickBot="1">
      <c r="A219" s="349"/>
      <c r="B219" s="2172"/>
      <c r="C219" s="45" t="s">
        <v>13</v>
      </c>
      <c r="D219" s="331"/>
      <c r="E219" s="331">
        <f t="shared" ref="E219:I219" si="24">SUM(E214:E218)</f>
        <v>1221891.0900000001</v>
      </c>
      <c r="F219" s="331">
        <f t="shared" si="24"/>
        <v>118306.89</v>
      </c>
      <c r="G219" s="333">
        <f t="shared" si="24"/>
        <v>0</v>
      </c>
      <c r="H219" s="333">
        <f t="shared" si="24"/>
        <v>0</v>
      </c>
      <c r="I219" s="333">
        <f t="shared" si="24"/>
        <v>0</v>
      </c>
    </row>
    <row r="221" spans="1:12">
      <c r="A221" s="474" t="s">
        <v>325</v>
      </c>
    </row>
    <row r="227" spans="1:1">
      <c r="A227" s="580"/>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Y231"/>
  <sheetViews>
    <sheetView topLeftCell="C169" workbookViewId="0">
      <selection activeCell="J180" sqref="J180"/>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306</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565" t="s">
        <v>10</v>
      </c>
      <c r="E16" s="566" t="s">
        <v>11</v>
      </c>
      <c r="F16" s="566" t="s">
        <v>12</v>
      </c>
      <c r="G16" s="567" t="s">
        <v>13</v>
      </c>
      <c r="H16" s="568" t="s">
        <v>14</v>
      </c>
      <c r="I16" s="569" t="s">
        <v>15</v>
      </c>
      <c r="J16" s="569" t="s">
        <v>16</v>
      </c>
      <c r="K16" s="569" t="s">
        <v>17</v>
      </c>
      <c r="L16" s="569" t="s">
        <v>18</v>
      </c>
      <c r="M16" s="570" t="s">
        <v>19</v>
      </c>
      <c r="N16" s="27" t="s">
        <v>20</v>
      </c>
      <c r="O16" s="29" t="s">
        <v>21</v>
      </c>
      <c r="P16" s="30"/>
      <c r="Q16" s="30"/>
      <c r="R16" s="30"/>
      <c r="S16" s="30"/>
      <c r="T16" s="30"/>
      <c r="U16" s="30"/>
      <c r="V16" s="30"/>
      <c r="W16" s="30"/>
      <c r="X16" s="30"/>
      <c r="Y16" s="30"/>
    </row>
    <row r="17" spans="1:25" ht="15" customHeight="1">
      <c r="A17" s="2025" t="s">
        <v>307</v>
      </c>
      <c r="B17" s="2068"/>
      <c r="C17" s="32">
        <v>2014</v>
      </c>
      <c r="D17" s="374"/>
      <c r="E17" s="375"/>
      <c r="F17" s="375"/>
      <c r="G17" s="376">
        <f t="shared" ref="G17:G23" si="0">SUM(D17:F17)</f>
        <v>0</v>
      </c>
      <c r="H17" s="377"/>
      <c r="I17" s="375"/>
      <c r="J17" s="375"/>
      <c r="K17" s="375"/>
      <c r="L17" s="375"/>
      <c r="M17" s="375"/>
      <c r="N17" s="34"/>
      <c r="O17" s="37"/>
      <c r="P17" s="38"/>
      <c r="Q17" s="38"/>
      <c r="R17" s="38"/>
      <c r="S17" s="38"/>
      <c r="T17" s="38"/>
      <c r="U17" s="38"/>
      <c r="V17" s="38"/>
      <c r="W17" s="38"/>
      <c r="X17" s="38"/>
      <c r="Y17" s="38"/>
    </row>
    <row r="18" spans="1:25">
      <c r="A18" s="2069"/>
      <c r="B18" s="2068"/>
      <c r="C18" s="39">
        <v>2015</v>
      </c>
      <c r="D18" s="381"/>
      <c r="E18" s="382"/>
      <c r="F18" s="382"/>
      <c r="G18" s="376"/>
      <c r="H18" s="383"/>
      <c r="I18" s="382"/>
      <c r="J18" s="382"/>
      <c r="K18" s="382"/>
      <c r="L18" s="382"/>
      <c r="M18" s="382"/>
      <c r="N18" s="382"/>
      <c r="O18" s="571"/>
      <c r="P18" s="38"/>
      <c r="Q18" s="38"/>
      <c r="R18" s="38"/>
      <c r="S18" s="38"/>
      <c r="T18" s="38"/>
      <c r="U18" s="38"/>
      <c r="V18" s="38"/>
      <c r="W18" s="38"/>
      <c r="X18" s="38"/>
      <c r="Y18" s="38"/>
    </row>
    <row r="19" spans="1:25">
      <c r="A19" s="2069"/>
      <c r="B19" s="2068"/>
      <c r="C19" s="39">
        <v>2016</v>
      </c>
      <c r="D19" s="381">
        <v>50</v>
      </c>
      <c r="E19" s="382">
        <v>4</v>
      </c>
      <c r="F19" s="382">
        <v>4</v>
      </c>
      <c r="G19" s="376">
        <f t="shared" si="0"/>
        <v>58</v>
      </c>
      <c r="H19" s="383">
        <v>34</v>
      </c>
      <c r="I19" s="382">
        <v>2</v>
      </c>
      <c r="J19" s="382"/>
      <c r="K19" s="382">
        <v>14</v>
      </c>
      <c r="L19" s="382"/>
      <c r="M19" s="382">
        <v>3</v>
      </c>
      <c r="N19" s="382"/>
      <c r="O19" s="571">
        <v>5</v>
      </c>
      <c r="P19" s="38"/>
      <c r="Q19" s="38"/>
      <c r="R19" s="38"/>
      <c r="S19" s="38"/>
      <c r="T19" s="38"/>
      <c r="U19" s="38"/>
      <c r="V19" s="38"/>
      <c r="W19" s="38"/>
      <c r="X19" s="38"/>
      <c r="Y19" s="38"/>
    </row>
    <row r="20" spans="1:25">
      <c r="A20" s="2069"/>
      <c r="B20" s="2068"/>
      <c r="C20" s="39">
        <v>2017</v>
      </c>
      <c r="D20" s="40"/>
      <c r="E20" s="41"/>
      <c r="F20" s="41">
        <v>3</v>
      </c>
      <c r="G20" s="35">
        <f t="shared" si="0"/>
        <v>3</v>
      </c>
      <c r="H20" s="42"/>
      <c r="I20" s="41"/>
      <c r="J20" s="41"/>
      <c r="K20" s="41">
        <v>3</v>
      </c>
      <c r="L20" s="41"/>
      <c r="M20" s="41"/>
      <c r="N20" s="41"/>
      <c r="O20" s="43"/>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 t="shared" si="0"/>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50</v>
      </c>
      <c r="E24" s="47">
        <f>SUM(E17:E23)</f>
        <v>4</v>
      </c>
      <c r="F24" s="47">
        <f>SUM(F17:F23)</f>
        <v>7</v>
      </c>
      <c r="G24" s="48">
        <f>SUM(D24:F24)</f>
        <v>61</v>
      </c>
      <c r="H24" s="49">
        <f>SUM(H17:H23)</f>
        <v>34</v>
      </c>
      <c r="I24" s="50">
        <f>SUM(I17:I23)</f>
        <v>2</v>
      </c>
      <c r="J24" s="50">
        <f t="shared" ref="J24:N24" si="1">SUM(J17:J23)</f>
        <v>0</v>
      </c>
      <c r="K24" s="50">
        <f t="shared" si="1"/>
        <v>17</v>
      </c>
      <c r="L24" s="50">
        <f t="shared" si="1"/>
        <v>0</v>
      </c>
      <c r="M24" s="50">
        <f t="shared" si="1"/>
        <v>3</v>
      </c>
      <c r="N24" s="50">
        <f t="shared" si="1"/>
        <v>0</v>
      </c>
      <c r="O24" s="51">
        <f>SUM(O17:O23)</f>
        <v>5</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308</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42"/>
      <c r="E29" s="41"/>
      <c r="F29" s="41"/>
      <c r="G29" s="59"/>
      <c r="H29" s="38"/>
      <c r="I29" s="38"/>
      <c r="J29" s="38"/>
      <c r="K29" s="38"/>
      <c r="L29" s="38"/>
      <c r="M29" s="38"/>
      <c r="N29" s="38"/>
      <c r="O29" s="38"/>
      <c r="P29" s="38"/>
      <c r="Q29" s="8"/>
    </row>
    <row r="30" spans="1:25">
      <c r="A30" s="2069"/>
      <c r="B30" s="2068"/>
      <c r="C30" s="60">
        <v>2016</v>
      </c>
      <c r="D30" s="42">
        <v>40563</v>
      </c>
      <c r="E30" s="41">
        <v>103000</v>
      </c>
      <c r="F30" s="572">
        <v>412148</v>
      </c>
      <c r="G30" s="59">
        <f t="shared" ref="G30:G35" si="2">SUM(D30:F30)</f>
        <v>555711</v>
      </c>
      <c r="H30" s="38"/>
      <c r="I30" s="38"/>
      <c r="J30" s="38"/>
      <c r="K30" s="38"/>
      <c r="L30" s="38"/>
      <c r="M30" s="38"/>
      <c r="N30" s="38"/>
      <c r="O30" s="38"/>
      <c r="P30" s="38"/>
      <c r="Q30" s="8"/>
    </row>
    <row r="31" spans="1:25">
      <c r="A31" s="2069"/>
      <c r="B31" s="2068"/>
      <c r="C31" s="60">
        <v>2017</v>
      </c>
      <c r="D31" s="42"/>
      <c r="E31" s="41"/>
      <c r="F31" s="41">
        <v>1812249</v>
      </c>
      <c r="G31" s="59">
        <f t="shared" si="2"/>
        <v>1812249</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40563</v>
      </c>
      <c r="E35" s="47">
        <f>SUM(E28:E34)</f>
        <v>103000</v>
      </c>
      <c r="F35" s="47">
        <f>SUM(F28:F34)</f>
        <v>2224397</v>
      </c>
      <c r="G35" s="51">
        <f t="shared" si="2"/>
        <v>2367960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40">
        <v>6729</v>
      </c>
      <c r="E42" s="39">
        <v>4115</v>
      </c>
      <c r="F42" s="8"/>
      <c r="G42" s="38"/>
      <c r="H42" s="38"/>
    </row>
    <row r="43" spans="1:17">
      <c r="A43" s="2069"/>
      <c r="B43" s="2068"/>
      <c r="C43" s="74">
        <v>2017</v>
      </c>
      <c r="D43" s="40">
        <v>4071</v>
      </c>
      <c r="E43" s="39">
        <v>2050</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10800</v>
      </c>
      <c r="E47" s="76">
        <f>SUM(E40:E46)</f>
        <v>6165</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t="s">
        <v>309</v>
      </c>
      <c r="B62" s="2039"/>
      <c r="C62" s="99">
        <v>2014</v>
      </c>
      <c r="D62" s="100"/>
      <c r="E62" s="101"/>
      <c r="F62" s="102"/>
      <c r="G62" s="102"/>
      <c r="H62" s="102"/>
      <c r="I62" s="102"/>
      <c r="J62" s="102"/>
      <c r="K62" s="102"/>
      <c r="L62" s="37"/>
      <c r="M62" s="8"/>
      <c r="N62" s="8"/>
      <c r="O62" s="8"/>
    </row>
    <row r="63" spans="1:15">
      <c r="A63" s="2048"/>
      <c r="B63" s="2039"/>
      <c r="C63" s="103">
        <v>2015</v>
      </c>
      <c r="D63" s="171"/>
      <c r="E63" s="170"/>
      <c r="F63" s="171"/>
      <c r="G63" s="171"/>
      <c r="H63" s="171"/>
      <c r="I63" s="384"/>
      <c r="J63" s="384"/>
      <c r="K63" s="384"/>
      <c r="L63" s="408"/>
      <c r="M63" s="8"/>
      <c r="N63" s="8"/>
      <c r="O63" s="8"/>
    </row>
    <row r="64" spans="1:15">
      <c r="A64" s="2048"/>
      <c r="B64" s="2039"/>
      <c r="C64" s="103">
        <v>2016</v>
      </c>
      <c r="D64" s="171">
        <v>19</v>
      </c>
      <c r="E64" s="170"/>
      <c r="F64" s="171"/>
      <c r="G64" s="171"/>
      <c r="H64" s="171">
        <v>19</v>
      </c>
      <c r="I64" s="384"/>
      <c r="J64" s="384"/>
      <c r="K64" s="384"/>
      <c r="L64" s="406"/>
      <c r="M64" s="8"/>
      <c r="N64" s="8"/>
      <c r="O64" s="8"/>
    </row>
    <row r="65" spans="1:20">
      <c r="A65" s="2048"/>
      <c r="B65" s="2039"/>
      <c r="C65" s="103">
        <v>2017</v>
      </c>
      <c r="D65" s="104">
        <v>2</v>
      </c>
      <c r="E65" s="105"/>
      <c r="F65" s="41"/>
      <c r="G65" s="41"/>
      <c r="H65" s="41"/>
      <c r="I65" s="41"/>
      <c r="J65" s="41"/>
      <c r="K65" s="41">
        <v>2</v>
      </c>
      <c r="L65" s="86"/>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21</v>
      </c>
      <c r="E69" s="108">
        <f>SUM(E62:E68)</f>
        <v>0</v>
      </c>
      <c r="F69" s="109">
        <f t="shared" ref="F69:I69" si="4">SUM(F62:F68)</f>
        <v>0</v>
      </c>
      <c r="G69" s="109">
        <f t="shared" si="4"/>
        <v>0</v>
      </c>
      <c r="H69" s="109">
        <f t="shared" si="4"/>
        <v>19</v>
      </c>
      <c r="I69" s="109">
        <f t="shared" si="4"/>
        <v>0</v>
      </c>
      <c r="J69" s="109"/>
      <c r="K69" s="109">
        <f>SUM(K62:K68)</f>
        <v>2</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t="s">
        <v>310</v>
      </c>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f t="shared" ref="G73:G78" si="5">SUM(D73:F73)</f>
        <v>0</v>
      </c>
      <c r="H73" s="40"/>
      <c r="I73" s="40"/>
      <c r="J73" s="41"/>
      <c r="K73" s="41"/>
      <c r="L73" s="41"/>
      <c r="M73" s="41"/>
      <c r="N73" s="41"/>
      <c r="O73" s="86"/>
    </row>
    <row r="74" spans="1:20">
      <c r="A74" s="2069"/>
      <c r="B74" s="2039"/>
      <c r="C74" s="74">
        <v>2016</v>
      </c>
      <c r="D74" s="573">
        <v>5</v>
      </c>
      <c r="E74" s="573">
        <v>4</v>
      </c>
      <c r="F74" s="573"/>
      <c r="G74" s="574">
        <f t="shared" si="5"/>
        <v>9</v>
      </c>
      <c r="H74" s="214"/>
      <c r="I74" s="214">
        <v>1</v>
      </c>
      <c r="J74" s="171"/>
      <c r="K74" s="171">
        <v>8</v>
      </c>
      <c r="L74" s="171"/>
      <c r="M74" s="171"/>
      <c r="N74" s="171"/>
      <c r="O74" s="86"/>
    </row>
    <row r="75" spans="1:20">
      <c r="A75" s="2069"/>
      <c r="B75" s="2039"/>
      <c r="C75" s="74">
        <v>2017</v>
      </c>
      <c r="D75" s="573"/>
      <c r="E75" s="573">
        <v>1</v>
      </c>
      <c r="F75" s="573"/>
      <c r="G75" s="574">
        <f t="shared" si="5"/>
        <v>1</v>
      </c>
      <c r="H75" s="214"/>
      <c r="I75" s="214"/>
      <c r="J75" s="171"/>
      <c r="K75" s="171">
        <v>1</v>
      </c>
      <c r="L75" s="171"/>
      <c r="M75" s="171"/>
      <c r="N75" s="171"/>
      <c r="O75" s="86"/>
    </row>
    <row r="76" spans="1:20">
      <c r="A76" s="2069"/>
      <c r="B76" s="2039"/>
      <c r="C76" s="74">
        <v>2018</v>
      </c>
      <c r="D76" s="421"/>
      <c r="E76" s="421"/>
      <c r="F76" s="421"/>
      <c r="G76" s="574">
        <f t="shared" si="5"/>
        <v>0</v>
      </c>
      <c r="H76" s="398"/>
      <c r="I76" s="398"/>
      <c r="J76" s="384"/>
      <c r="K76" s="384"/>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5</v>
      </c>
      <c r="E79" s="107">
        <f>SUM(E72:E78)</f>
        <v>5</v>
      </c>
      <c r="F79" s="107">
        <f>SUM(F72:F78)</f>
        <v>0</v>
      </c>
      <c r="G79" s="130">
        <f>SUM(G72:G78)</f>
        <v>10</v>
      </c>
      <c r="H79" s="131">
        <v>0</v>
      </c>
      <c r="I79" s="132">
        <f t="shared" ref="I79:O79" si="6">SUM(I72:I78)</f>
        <v>1</v>
      </c>
      <c r="J79" s="109">
        <f t="shared" si="6"/>
        <v>0</v>
      </c>
      <c r="K79" s="109">
        <f t="shared" si="6"/>
        <v>9</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175"/>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575">
        <v>2016</v>
      </c>
      <c r="D87" s="216"/>
      <c r="E87" s="170"/>
      <c r="F87" s="171"/>
      <c r="G87" s="171"/>
      <c r="H87" s="171"/>
      <c r="I87" s="171"/>
      <c r="J87" s="171"/>
      <c r="K87" s="172"/>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311</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214">
        <v>1</v>
      </c>
      <c r="E100" s="171">
        <v>6</v>
      </c>
      <c r="F100" s="170"/>
      <c r="G100" s="171"/>
      <c r="H100" s="171"/>
      <c r="I100" s="171"/>
      <c r="J100" s="171"/>
      <c r="K100" s="171"/>
      <c r="L100" s="171"/>
      <c r="M100" s="172">
        <v>1</v>
      </c>
      <c r="N100" s="158"/>
      <c r="O100" s="158"/>
      <c r="P100" s="158"/>
    </row>
    <row r="101" spans="1:16" ht="16.5" customHeight="1">
      <c r="A101" s="2048"/>
      <c r="B101" s="2039"/>
      <c r="C101" s="103">
        <v>2017</v>
      </c>
      <c r="D101" s="40">
        <v>1</v>
      </c>
      <c r="E101" s="41">
        <v>5</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11</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563" t="s">
        <v>9</v>
      </c>
      <c r="D129" s="182" t="s">
        <v>76</v>
      </c>
      <c r="E129" s="183"/>
      <c r="F129" s="183"/>
      <c r="G129" s="184"/>
      <c r="H129" s="178"/>
      <c r="I129" s="178"/>
      <c r="J129" s="178"/>
      <c r="K129" s="178"/>
      <c r="L129" s="178"/>
      <c r="M129" s="178"/>
      <c r="N129" s="178"/>
    </row>
    <row r="130" spans="1:16" ht="77.25" customHeight="1">
      <c r="A130" s="2044"/>
      <c r="B130" s="2046"/>
      <c r="C130" s="564"/>
      <c r="D130" s="159" t="s">
        <v>77</v>
      </c>
      <c r="E130" s="186" t="s">
        <v>78</v>
      </c>
      <c r="F130" s="160" t="s">
        <v>79</v>
      </c>
      <c r="G130" s="187" t="s">
        <v>13</v>
      </c>
      <c r="H130" s="178"/>
      <c r="I130" s="178"/>
      <c r="J130" s="178"/>
      <c r="K130" s="178"/>
      <c r="L130" s="178"/>
      <c r="M130" s="178"/>
      <c r="N130" s="178"/>
    </row>
    <row r="131" spans="1:16" ht="15" customHeight="1">
      <c r="A131" s="2025" t="s">
        <v>312</v>
      </c>
      <c r="B131" s="2068"/>
      <c r="C131" s="99">
        <v>2015</v>
      </c>
      <c r="D131" s="33"/>
      <c r="E131" s="34"/>
      <c r="F131" s="34"/>
      <c r="G131" s="191">
        <f t="shared" ref="G131:G136" si="11">SUM(D131:F131)</f>
        <v>0</v>
      </c>
      <c r="H131" s="178"/>
      <c r="I131" s="178"/>
      <c r="J131" s="178"/>
      <c r="K131" s="178"/>
      <c r="L131" s="178"/>
      <c r="M131" s="178"/>
      <c r="N131" s="178"/>
    </row>
    <row r="132" spans="1:16">
      <c r="A132" s="2069"/>
      <c r="B132" s="2068"/>
      <c r="C132" s="103">
        <v>2016</v>
      </c>
      <c r="D132" s="40">
        <v>91</v>
      </c>
      <c r="E132" s="41"/>
      <c r="F132" s="41"/>
      <c r="G132" s="191">
        <f t="shared" si="11"/>
        <v>91</v>
      </c>
      <c r="H132" s="178"/>
      <c r="I132" s="178"/>
      <c r="J132" s="178"/>
      <c r="K132" s="178"/>
      <c r="L132" s="178"/>
      <c r="M132" s="178"/>
      <c r="N132" s="178"/>
    </row>
    <row r="133" spans="1:16">
      <c r="A133" s="2069"/>
      <c r="B133" s="2068"/>
      <c r="C133" s="103">
        <v>2017</v>
      </c>
      <c r="D133" s="40">
        <v>85</v>
      </c>
      <c r="E133" s="41"/>
      <c r="F133" s="41"/>
      <c r="G133" s="191">
        <f t="shared" si="11"/>
        <v>85</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176</v>
      </c>
      <c r="E137" s="132">
        <f t="shared" ref="E137:F137" si="12">SUM(E131:E136)</f>
        <v>0</v>
      </c>
      <c r="F137" s="132">
        <f t="shared" si="12"/>
        <v>0</v>
      </c>
      <c r="G137" s="192">
        <f>SUM(G131:G136)</f>
        <v>176</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8" t="s">
        <v>313</v>
      </c>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0"/>
      <c r="E179" s="41"/>
      <c r="F179" s="41"/>
      <c r="G179" s="278">
        <f t="shared" ref="G179:G184" si="19">SUM(D179:F179)</f>
        <v>0</v>
      </c>
      <c r="H179" s="279"/>
      <c r="I179" s="105"/>
      <c r="J179" s="41"/>
      <c r="K179" s="41"/>
      <c r="L179" s="41"/>
      <c r="M179" s="41"/>
      <c r="N179" s="41"/>
      <c r="O179" s="86"/>
    </row>
    <row r="180" spans="1:15">
      <c r="A180" s="2048"/>
      <c r="B180" s="2039"/>
      <c r="C180" s="103">
        <v>2016</v>
      </c>
      <c r="D180" s="214">
        <v>52</v>
      </c>
      <c r="E180" s="171">
        <v>2</v>
      </c>
      <c r="F180" s="171"/>
      <c r="G180" s="210">
        <f t="shared" si="19"/>
        <v>54</v>
      </c>
      <c r="H180" s="576">
        <v>66</v>
      </c>
      <c r="I180" s="170"/>
      <c r="J180" s="171"/>
      <c r="K180" s="171"/>
      <c r="L180" s="171">
        <v>30</v>
      </c>
      <c r="M180" s="171">
        <v>18</v>
      </c>
      <c r="N180" s="171"/>
      <c r="O180" s="172">
        <v>6</v>
      </c>
    </row>
    <row r="181" spans="1:15">
      <c r="A181" s="2048"/>
      <c r="B181" s="2039"/>
      <c r="C181" s="103">
        <v>2017</v>
      </c>
      <c r="D181" s="40">
        <v>5</v>
      </c>
      <c r="E181" s="41"/>
      <c r="F181" s="41"/>
      <c r="G181" s="278">
        <f t="shared" si="19"/>
        <v>5</v>
      </c>
      <c r="H181" s="279">
        <v>5</v>
      </c>
      <c r="I181" s="105"/>
      <c r="J181" s="41"/>
      <c r="K181" s="41"/>
      <c r="L181" s="41">
        <v>4</v>
      </c>
      <c r="M181" s="41">
        <v>1</v>
      </c>
      <c r="N181" s="41"/>
      <c r="O181" s="86"/>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57</v>
      </c>
      <c r="E185" s="109">
        <f>SUM(E178:E184)</f>
        <v>2</v>
      </c>
      <c r="F185" s="109">
        <f>SUM(F178:F184)</f>
        <v>0</v>
      </c>
      <c r="G185" s="217">
        <f t="shared" ref="G185:O185" si="20">SUM(G178:G184)</f>
        <v>59</v>
      </c>
      <c r="H185" s="280">
        <f t="shared" si="20"/>
        <v>71</v>
      </c>
      <c r="I185" s="108">
        <f t="shared" si="20"/>
        <v>0</v>
      </c>
      <c r="J185" s="109">
        <f t="shared" si="20"/>
        <v>0</v>
      </c>
      <c r="K185" s="109">
        <f t="shared" si="20"/>
        <v>0</v>
      </c>
      <c r="L185" s="109">
        <f t="shared" si="20"/>
        <v>34</v>
      </c>
      <c r="M185" s="109">
        <f t="shared" si="20"/>
        <v>19</v>
      </c>
      <c r="N185" s="109">
        <f t="shared" si="20"/>
        <v>0</v>
      </c>
      <c r="O185" s="110">
        <f t="shared" si="20"/>
        <v>6</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023" t="s">
        <v>314</v>
      </c>
      <c r="B189" s="2127"/>
      <c r="C189" s="285">
        <v>2014</v>
      </c>
      <c r="D189" s="126"/>
      <c r="E189" s="102"/>
      <c r="F189" s="102"/>
      <c r="G189" s="286">
        <f>SUM(D189:F189)</f>
        <v>0</v>
      </c>
      <c r="H189" s="101"/>
      <c r="I189" s="102"/>
      <c r="J189" s="102"/>
      <c r="K189" s="102"/>
      <c r="L189" s="127"/>
    </row>
    <row r="190" spans="1:15">
      <c r="A190" s="2176"/>
      <c r="B190" s="2068"/>
      <c r="C190" s="74">
        <v>2015</v>
      </c>
      <c r="D190" s="40"/>
      <c r="E190" s="41"/>
      <c r="F190" s="41"/>
      <c r="G190" s="286">
        <f t="shared" ref="G190:G195" si="21">SUM(D190:F190)</f>
        <v>0</v>
      </c>
      <c r="H190" s="105"/>
      <c r="I190" s="41"/>
      <c r="J190" s="41"/>
      <c r="K190" s="41"/>
      <c r="L190" s="86"/>
    </row>
    <row r="191" spans="1:15">
      <c r="A191" s="2176"/>
      <c r="B191" s="2068"/>
      <c r="C191" s="74">
        <v>2016</v>
      </c>
      <c r="D191" s="40">
        <v>5299</v>
      </c>
      <c r="E191" s="41">
        <v>56</v>
      </c>
      <c r="F191" s="41"/>
      <c r="G191" s="286">
        <f t="shared" si="21"/>
        <v>5355</v>
      </c>
      <c r="H191" s="105"/>
      <c r="I191" s="41"/>
      <c r="J191" s="41"/>
      <c r="K191" s="41"/>
      <c r="L191" s="86">
        <f>G191</f>
        <v>5355</v>
      </c>
    </row>
    <row r="192" spans="1:15">
      <c r="A192" s="2176"/>
      <c r="B192" s="2068"/>
      <c r="C192" s="74">
        <v>2017</v>
      </c>
      <c r="D192">
        <v>353</v>
      </c>
      <c r="E192" s="41"/>
      <c r="F192" s="41"/>
      <c r="G192" s="286">
        <f t="shared" si="21"/>
        <v>353</v>
      </c>
      <c r="H192" s="105"/>
      <c r="I192" s="41">
        <v>64</v>
      </c>
      <c r="J192" s="41"/>
      <c r="K192" s="41">
        <v>170</v>
      </c>
      <c r="L192" s="39">
        <v>119</v>
      </c>
    </row>
    <row r="193" spans="1:14">
      <c r="A193" s="2176"/>
      <c r="B193" s="2068"/>
      <c r="C193" s="74">
        <v>2018</v>
      </c>
      <c r="D193" s="40"/>
      <c r="E193" s="41"/>
      <c r="F193" s="41"/>
      <c r="G193" s="286">
        <f t="shared" si="21"/>
        <v>0</v>
      </c>
      <c r="H193" s="105"/>
      <c r="I193" s="41"/>
      <c r="J193" s="41"/>
      <c r="K193" s="41"/>
      <c r="L193" s="86"/>
    </row>
    <row r="194" spans="1:14">
      <c r="A194" s="2176"/>
      <c r="B194" s="2068"/>
      <c r="C194" s="74">
        <v>2019</v>
      </c>
      <c r="D194" s="40"/>
      <c r="E194" s="41"/>
      <c r="F194" s="41"/>
      <c r="G194" s="286">
        <f t="shared" si="21"/>
        <v>0</v>
      </c>
      <c r="H194" s="105"/>
      <c r="I194" s="41"/>
      <c r="J194" s="41"/>
      <c r="K194" s="41"/>
      <c r="L194" s="86"/>
    </row>
    <row r="195" spans="1:14">
      <c r="A195" s="2176"/>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5652</v>
      </c>
      <c r="E196" s="109">
        <f t="shared" si="22"/>
        <v>56</v>
      </c>
      <c r="F196" s="109">
        <f t="shared" si="22"/>
        <v>0</v>
      </c>
      <c r="G196" s="290">
        <f t="shared" si="22"/>
        <v>5708</v>
      </c>
      <c r="H196" s="108">
        <f t="shared" si="22"/>
        <v>0</v>
      </c>
      <c r="I196" s="109">
        <f t="shared" si="22"/>
        <v>64</v>
      </c>
      <c r="J196" s="109">
        <f t="shared" si="22"/>
        <v>0</v>
      </c>
      <c r="K196" s="109">
        <f t="shared" si="22"/>
        <v>170</v>
      </c>
      <c r="L196" s="110">
        <f t="shared" si="22"/>
        <v>5474</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315</v>
      </c>
      <c r="C213" s="73"/>
      <c r="D213" s="322"/>
      <c r="E213" s="321">
        <f>SUM(E214:E217)</f>
        <v>1191641.1400000001</v>
      </c>
      <c r="F213" s="321">
        <f>SUM(F214:F217)</f>
        <v>177023.62</v>
      </c>
      <c r="G213" s="128"/>
      <c r="H213" s="128"/>
      <c r="I213" s="327"/>
    </row>
    <row r="214" spans="1:12">
      <c r="A214" t="s">
        <v>153</v>
      </c>
      <c r="B214" s="2171"/>
      <c r="C214" s="73"/>
      <c r="D214" s="577"/>
      <c r="E214" s="326">
        <v>739871.27</v>
      </c>
      <c r="F214" s="326">
        <v>130567.17</v>
      </c>
      <c r="G214" s="128"/>
      <c r="H214" s="128"/>
      <c r="I214" s="327"/>
    </row>
    <row r="215" spans="1:12">
      <c r="A215" t="s">
        <v>155</v>
      </c>
      <c r="B215" s="2171"/>
      <c r="C215" s="73"/>
      <c r="D215" s="326"/>
      <c r="E215" s="326">
        <v>615</v>
      </c>
      <c r="F215" s="128">
        <v>0</v>
      </c>
      <c r="G215" s="128"/>
      <c r="H215" s="128"/>
      <c r="I215" s="327"/>
    </row>
    <row r="216" spans="1:12">
      <c r="A216" t="s">
        <v>157</v>
      </c>
      <c r="B216" s="2171"/>
      <c r="C216" s="73"/>
      <c r="D216" s="326"/>
      <c r="E216" s="128">
        <v>175111.8</v>
      </c>
      <c r="F216" s="326">
        <v>31314.45</v>
      </c>
      <c r="G216" s="128"/>
      <c r="H216" s="128"/>
      <c r="I216" s="327"/>
    </row>
    <row r="217" spans="1:12">
      <c r="A217" t="s">
        <v>158</v>
      </c>
      <c r="B217" s="2171"/>
      <c r="C217" s="73"/>
      <c r="D217" s="326"/>
      <c r="E217" s="326">
        <v>276043.07</v>
      </c>
      <c r="F217" s="326">
        <v>15142</v>
      </c>
      <c r="G217" s="128"/>
      <c r="H217" s="128"/>
      <c r="I217" s="327"/>
    </row>
    <row r="218" spans="1:12" ht="30">
      <c r="A218" s="31" t="s">
        <v>159</v>
      </c>
      <c r="B218" s="2171"/>
      <c r="C218" s="73"/>
      <c r="D218" s="326"/>
      <c r="E218" s="326">
        <v>184212.33</v>
      </c>
      <c r="F218" s="326">
        <v>87322.71</v>
      </c>
      <c r="G218" s="128"/>
      <c r="H218" s="128"/>
      <c r="I218" s="327"/>
    </row>
    <row r="219" spans="1:12" ht="15.75" thickBot="1">
      <c r="A219" s="349"/>
      <c r="B219" s="2172"/>
      <c r="C219" s="45" t="s">
        <v>13</v>
      </c>
      <c r="D219" s="578"/>
      <c r="E219" s="579">
        <f t="shared" ref="E219:I219" si="24">SUM(E214:E218)</f>
        <v>1375853.4700000002</v>
      </c>
      <c r="F219" s="331">
        <f>SUM(F214:F218)</f>
        <v>264346.33</v>
      </c>
      <c r="G219" s="333">
        <f t="shared" si="24"/>
        <v>0</v>
      </c>
      <c r="H219" s="333">
        <f t="shared" si="24"/>
        <v>0</v>
      </c>
      <c r="I219" s="333">
        <f t="shared" si="24"/>
        <v>0</v>
      </c>
    </row>
    <row r="222" spans="1:12">
      <c r="A222" s="2540" t="s">
        <v>316</v>
      </c>
      <c r="B222" s="2541"/>
      <c r="C222" s="2541"/>
      <c r="D222" s="2541"/>
      <c r="E222" s="2541"/>
      <c r="F222" s="2541"/>
      <c r="G222" s="2541"/>
      <c r="H222" s="2541"/>
      <c r="I222" s="2541"/>
    </row>
    <row r="223" spans="1:12">
      <c r="A223" s="2541"/>
      <c r="B223" s="2541"/>
      <c r="C223" s="2541"/>
      <c r="D223" s="2541"/>
      <c r="E223" s="2541"/>
      <c r="F223" s="2541"/>
      <c r="G223" s="2541"/>
      <c r="H223" s="2541"/>
      <c r="I223" s="2541"/>
    </row>
    <row r="224" spans="1:12">
      <c r="A224" s="2541"/>
      <c r="B224" s="2541"/>
      <c r="C224" s="2541"/>
      <c r="D224" s="2541"/>
      <c r="E224" s="2541"/>
      <c r="F224" s="2541"/>
      <c r="G224" s="2541"/>
      <c r="H224" s="2541"/>
      <c r="I224" s="2541"/>
    </row>
    <row r="225" spans="1:9">
      <c r="A225" s="2541"/>
      <c r="B225" s="2541"/>
      <c r="C225" s="2541"/>
      <c r="D225" s="2541"/>
      <c r="E225" s="2541"/>
      <c r="F225" s="2541"/>
      <c r="G225" s="2541"/>
      <c r="H225" s="2541"/>
      <c r="I225" s="2541"/>
    </row>
    <row r="226" spans="1:9" ht="115.5" customHeight="1">
      <c r="A226" s="2541"/>
      <c r="B226" s="2541"/>
      <c r="C226" s="2541"/>
      <c r="D226" s="2541"/>
      <c r="E226" s="2541"/>
      <c r="F226" s="2541"/>
      <c r="G226" s="2541"/>
      <c r="H226" s="2541"/>
      <c r="I226" s="2541"/>
    </row>
    <row r="227" spans="1:9" ht="1.5" customHeight="1">
      <c r="A227" s="2541"/>
      <c r="B227" s="2541"/>
      <c r="C227" s="2541"/>
      <c r="D227" s="2541"/>
      <c r="E227" s="2541"/>
      <c r="F227" s="2541"/>
      <c r="G227" s="2541"/>
      <c r="H227" s="2541"/>
      <c r="I227" s="2541"/>
    </row>
    <row r="228" spans="1:9" hidden="1">
      <c r="A228" s="2541"/>
      <c r="B228" s="2541"/>
      <c r="C228" s="2541"/>
      <c r="D228" s="2541"/>
      <c r="E228" s="2541"/>
      <c r="F228" s="2541"/>
      <c r="G228" s="2541"/>
      <c r="H228" s="2541"/>
      <c r="I228" s="2541"/>
    </row>
    <row r="229" spans="1:9" hidden="1">
      <c r="A229" s="2541"/>
      <c r="B229" s="2541"/>
      <c r="C229" s="2541"/>
      <c r="D229" s="2541"/>
      <c r="E229" s="2541"/>
      <c r="F229" s="2541"/>
      <c r="G229" s="2541"/>
      <c r="H229" s="2541"/>
      <c r="I229" s="2541"/>
    </row>
    <row r="230" spans="1:9" hidden="1">
      <c r="A230" s="2541"/>
      <c r="B230" s="2541"/>
      <c r="C230" s="2541"/>
      <c r="D230" s="2541"/>
      <c r="E230" s="2541"/>
      <c r="F230" s="2541"/>
      <c r="G230" s="2541"/>
      <c r="H230" s="2541"/>
      <c r="I230" s="2541"/>
    </row>
    <row r="231" spans="1:9" hidden="1">
      <c r="A231" s="2541"/>
      <c r="B231" s="2541"/>
      <c r="C231" s="2541"/>
      <c r="D231" s="2541"/>
      <c r="E231" s="2541"/>
      <c r="F231" s="2541"/>
      <c r="G231" s="2541"/>
      <c r="H231" s="2541"/>
      <c r="I231" s="2541"/>
    </row>
  </sheetData>
  <mergeCells count="57">
    <mergeCell ref="A202:B209"/>
    <mergeCell ref="B213:B219"/>
    <mergeCell ref="A222:I231"/>
    <mergeCell ref="A187:A188"/>
    <mergeCell ref="B187:B188"/>
    <mergeCell ref="C187:C188"/>
    <mergeCell ref="D187:G187"/>
    <mergeCell ref="H187:L187"/>
    <mergeCell ref="A189:B196"/>
    <mergeCell ref="A178:B185"/>
    <mergeCell ref="J142:N142"/>
    <mergeCell ref="A144:B151"/>
    <mergeCell ref="A153:A154"/>
    <mergeCell ref="B153:B154"/>
    <mergeCell ref="C153:C154"/>
    <mergeCell ref="A155:B162"/>
    <mergeCell ref="C142:C143"/>
    <mergeCell ref="A165:B172"/>
    <mergeCell ref="A176:A177"/>
    <mergeCell ref="B176:B177"/>
    <mergeCell ref="C176:C177"/>
    <mergeCell ref="I176:O176"/>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6"/>
  <dimension ref="A1:Y227"/>
  <sheetViews>
    <sheetView topLeftCell="C175" workbookViewId="0">
      <selection activeCell="I185" sqref="I185:O18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299</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300</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069"/>
      <c r="B19" s="2068"/>
      <c r="C19" s="39">
        <v>2016</v>
      </c>
      <c r="D19" s="40">
        <v>76</v>
      </c>
      <c r="E19" s="41">
        <v>3</v>
      </c>
      <c r="F19" s="41">
        <v>1</v>
      </c>
      <c r="G19" s="35">
        <f t="shared" si="0"/>
        <v>80</v>
      </c>
      <c r="H19" s="42"/>
      <c r="I19" s="41">
        <v>18</v>
      </c>
      <c r="J19" s="41">
        <v>2</v>
      </c>
      <c r="K19" s="41">
        <v>53</v>
      </c>
      <c r="L19" s="41">
        <v>6</v>
      </c>
      <c r="M19" s="41"/>
      <c r="N19" s="41"/>
      <c r="O19" s="43">
        <v>1</v>
      </c>
      <c r="P19" s="38"/>
      <c r="Q19" s="38"/>
      <c r="R19" s="38"/>
      <c r="S19" s="38"/>
      <c r="T19" s="38"/>
      <c r="U19" s="38"/>
      <c r="V19" s="38"/>
      <c r="W19" s="38"/>
      <c r="X19" s="38"/>
      <c r="Y19" s="38"/>
    </row>
    <row r="20" spans="1:25">
      <c r="A20" s="2069"/>
      <c r="B20" s="2068"/>
      <c r="C20" s="39">
        <v>2017</v>
      </c>
      <c r="D20" s="40">
        <v>2</v>
      </c>
      <c r="E20" s="41"/>
      <c r="F20" s="41">
        <v>1</v>
      </c>
      <c r="G20" s="35">
        <f t="shared" si="0"/>
        <v>3</v>
      </c>
      <c r="H20" s="42"/>
      <c r="I20" s="41">
        <v>1</v>
      </c>
      <c r="J20" s="41"/>
      <c r="K20" s="41">
        <v>2</v>
      </c>
      <c r="L20" s="41"/>
      <c r="M20" s="41"/>
      <c r="N20" s="41"/>
      <c r="O20" s="43"/>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78</v>
      </c>
      <c r="E24" s="47">
        <f>SUM(E17:E23)</f>
        <v>3</v>
      </c>
      <c r="F24" s="47">
        <f>SUM(F17:F23)</f>
        <v>2</v>
      </c>
      <c r="G24" s="48">
        <f>SUM(D24:F24)</f>
        <v>83</v>
      </c>
      <c r="H24" s="49">
        <f>SUM(H17:H23)</f>
        <v>0</v>
      </c>
      <c r="I24" s="50">
        <f>SUM(I17:I23)</f>
        <v>19</v>
      </c>
      <c r="J24" s="50">
        <f t="shared" ref="J24:N24" si="1">SUM(J17:J23)</f>
        <v>2</v>
      </c>
      <c r="K24" s="50">
        <f t="shared" si="1"/>
        <v>55</v>
      </c>
      <c r="L24" s="50">
        <f t="shared" si="1"/>
        <v>6</v>
      </c>
      <c r="M24" s="50">
        <f t="shared" si="1"/>
        <v>0</v>
      </c>
      <c r="N24" s="50">
        <f t="shared" si="1"/>
        <v>0</v>
      </c>
      <c r="O24" s="51">
        <f>SUM(O17:O23)</f>
        <v>1</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301</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42"/>
      <c r="E29" s="41"/>
      <c r="F29" s="41"/>
      <c r="G29" s="59">
        <f t="shared" ref="G29:G35" si="2">SUM(D29:F29)</f>
        <v>0</v>
      </c>
      <c r="H29" s="38"/>
      <c r="I29" s="38"/>
      <c r="J29" s="38"/>
      <c r="K29" s="38"/>
      <c r="L29" s="38"/>
      <c r="M29" s="38"/>
      <c r="N29" s="38"/>
      <c r="O29" s="38"/>
      <c r="P29" s="38"/>
      <c r="Q29" s="8"/>
    </row>
    <row r="30" spans="1:25">
      <c r="A30" s="2069"/>
      <c r="B30" s="2068"/>
      <c r="C30" s="60">
        <v>2016</v>
      </c>
      <c r="D30" s="42">
        <v>104378</v>
      </c>
      <c r="E30" s="41">
        <v>32000</v>
      </c>
      <c r="F30" s="41">
        <v>411731</v>
      </c>
      <c r="G30" s="59">
        <f t="shared" si="2"/>
        <v>548109</v>
      </c>
      <c r="H30" s="38"/>
      <c r="I30" s="38"/>
      <c r="J30" s="38"/>
      <c r="K30" s="38"/>
      <c r="L30" s="38"/>
      <c r="M30" s="38"/>
      <c r="N30" s="38"/>
      <c r="O30" s="38"/>
      <c r="P30" s="38"/>
      <c r="Q30" s="8"/>
    </row>
    <row r="31" spans="1:25">
      <c r="A31" s="2069"/>
      <c r="B31" s="2068"/>
      <c r="C31" s="60">
        <v>2017</v>
      </c>
      <c r="D31" s="42">
        <v>50000</v>
      </c>
      <c r="E31" s="41"/>
      <c r="F31" s="41">
        <v>400000</v>
      </c>
      <c r="G31" s="59">
        <f t="shared" si="2"/>
        <v>450000</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154378</v>
      </c>
      <c r="E35" s="47">
        <f>SUM(E28:E34)</f>
        <v>32000</v>
      </c>
      <c r="F35" s="47">
        <f>SUM(F28:F34)</f>
        <v>811731</v>
      </c>
      <c r="G35" s="51">
        <f t="shared" si="2"/>
        <v>998109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40">
        <v>70083</v>
      </c>
      <c r="E42" s="39">
        <v>29606</v>
      </c>
      <c r="F42" s="8"/>
      <c r="G42" s="38"/>
      <c r="H42" s="38"/>
    </row>
    <row r="43" spans="1:17">
      <c r="A43" s="2069"/>
      <c r="B43" s="2068"/>
      <c r="C43" s="74">
        <v>2017</v>
      </c>
      <c r="D43" s="40">
        <v>2927</v>
      </c>
      <c r="E43" s="39">
        <v>1809</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73010</v>
      </c>
      <c r="E47" s="76">
        <f>SUM(E40:E46)</f>
        <v>31415</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t="s">
        <v>302</v>
      </c>
      <c r="B62" s="2039"/>
      <c r="C62" s="99">
        <v>2014</v>
      </c>
      <c r="D62" s="100"/>
      <c r="E62" s="101"/>
      <c r="F62" s="102"/>
      <c r="G62" s="102"/>
      <c r="H62" s="102"/>
      <c r="I62" s="102"/>
      <c r="J62" s="102"/>
      <c r="K62" s="102"/>
      <c r="L62" s="37"/>
      <c r="M62" s="8"/>
      <c r="N62" s="8"/>
      <c r="O62" s="8"/>
    </row>
    <row r="63" spans="1:15">
      <c r="A63" s="2048"/>
      <c r="B63" s="2039"/>
      <c r="C63" s="103">
        <v>2015</v>
      </c>
      <c r="D63" s="104"/>
      <c r="E63" s="105"/>
      <c r="F63" s="41"/>
      <c r="G63" s="41"/>
      <c r="H63" s="41"/>
      <c r="I63" s="41"/>
      <c r="J63" s="41"/>
      <c r="K63" s="41"/>
      <c r="L63" s="86"/>
      <c r="M63" s="8"/>
      <c r="N63" s="8"/>
      <c r="O63" s="8"/>
    </row>
    <row r="64" spans="1:15">
      <c r="A64" s="2048"/>
      <c r="B64" s="2039"/>
      <c r="C64" s="103">
        <v>2016</v>
      </c>
      <c r="D64" s="104">
        <v>8</v>
      </c>
      <c r="E64" s="105"/>
      <c r="F64" s="41">
        <v>2</v>
      </c>
      <c r="G64" s="41"/>
      <c r="H64" s="41">
        <v>3</v>
      </c>
      <c r="I64" s="41"/>
      <c r="J64" s="41"/>
      <c r="K64" s="41"/>
      <c r="L64" s="86">
        <v>3</v>
      </c>
      <c r="M64" s="8"/>
      <c r="N64" s="8"/>
      <c r="O64" s="8"/>
    </row>
    <row r="65" spans="1:20">
      <c r="A65" s="2048"/>
      <c r="B65" s="2039"/>
      <c r="C65" s="103">
        <v>2017</v>
      </c>
      <c r="D65" s="104"/>
      <c r="E65" s="105"/>
      <c r="F65" s="41"/>
      <c r="G65" s="41"/>
      <c r="H65" s="41"/>
      <c r="I65" s="41"/>
      <c r="J65" s="41"/>
      <c r="K65" s="41"/>
      <c r="L65" s="86"/>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8</v>
      </c>
      <c r="E69" s="108">
        <f>SUM(E62:E68)</f>
        <v>0</v>
      </c>
      <c r="F69" s="109">
        <f t="shared" ref="F69:I69" si="4">SUM(F62:F68)</f>
        <v>2</v>
      </c>
      <c r="G69" s="109">
        <f t="shared" si="4"/>
        <v>0</v>
      </c>
      <c r="H69" s="109">
        <f t="shared" si="4"/>
        <v>3</v>
      </c>
      <c r="I69" s="109">
        <f t="shared" si="4"/>
        <v>0</v>
      </c>
      <c r="J69" s="109"/>
      <c r="K69" s="109">
        <f>SUM(K62:K68)</f>
        <v>0</v>
      </c>
      <c r="L69" s="110">
        <f>SUM(L62:L68)</f>
        <v>3</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f t="shared" ref="G73:G78" si="5">SUM(D73:F73)</f>
        <v>0</v>
      </c>
      <c r="H73" s="40"/>
      <c r="I73" s="40"/>
      <c r="J73" s="41"/>
      <c r="K73" s="41"/>
      <c r="L73" s="41"/>
      <c r="M73" s="41"/>
      <c r="N73" s="41"/>
      <c r="O73" s="86"/>
    </row>
    <row r="74" spans="1:20">
      <c r="A74" s="2069"/>
      <c r="B74" s="2039"/>
      <c r="C74" s="74">
        <v>2016</v>
      </c>
      <c r="D74" s="128"/>
      <c r="E74" s="128"/>
      <c r="F74" s="128"/>
      <c r="G74" s="125">
        <f t="shared" si="5"/>
        <v>0</v>
      </c>
      <c r="H74" s="40"/>
      <c r="I74" s="40"/>
      <c r="J74" s="41"/>
      <c r="K74" s="41"/>
      <c r="L74" s="41"/>
      <c r="M74" s="41"/>
      <c r="N74" s="41"/>
      <c r="O74" s="86"/>
    </row>
    <row r="75" spans="1:20">
      <c r="A75" s="2069"/>
      <c r="B75" s="2039"/>
      <c r="C75" s="74">
        <v>2017</v>
      </c>
      <c r="D75" s="128"/>
      <c r="E75" s="128"/>
      <c r="F75" s="128"/>
      <c r="G75" s="125">
        <f t="shared" si="5"/>
        <v>0</v>
      </c>
      <c r="H75" s="40"/>
      <c r="I75" s="40"/>
      <c r="J75" s="41"/>
      <c r="K75" s="41"/>
      <c r="L75" s="41"/>
      <c r="M75" s="41"/>
      <c r="N75" s="41"/>
      <c r="O75" s="86"/>
    </row>
    <row r="76" spans="1:20">
      <c r="A76" s="2069"/>
      <c r="B76" s="2039"/>
      <c r="C76" s="74">
        <v>2018</v>
      </c>
      <c r="D76" s="128"/>
      <c r="E76" s="128"/>
      <c r="F76" s="128"/>
      <c r="G76" s="125">
        <f t="shared" si="5"/>
        <v>0</v>
      </c>
      <c r="H76" s="40"/>
      <c r="I76" s="40"/>
      <c r="J76" s="41"/>
      <c r="K76" s="41"/>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303</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40">
        <v>1</v>
      </c>
      <c r="E100" s="41">
        <v>7</v>
      </c>
      <c r="F100" s="170"/>
      <c r="G100" s="171"/>
      <c r="H100" s="171"/>
      <c r="I100" s="171"/>
      <c r="J100" s="171"/>
      <c r="K100" s="171"/>
      <c r="L100" s="171"/>
      <c r="M100" s="172">
        <v>1</v>
      </c>
      <c r="N100" s="158"/>
      <c r="O100" s="158"/>
      <c r="P100" s="158"/>
    </row>
    <row r="101" spans="1:16" ht="16.5" customHeight="1">
      <c r="A101" s="2048"/>
      <c r="B101" s="2039"/>
      <c r="C101" s="103">
        <v>2017</v>
      </c>
      <c r="D101" s="40">
        <v>1</v>
      </c>
      <c r="E101" s="41">
        <v>4</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11</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84" t="s">
        <v>9</v>
      </c>
      <c r="D129" s="182" t="s">
        <v>76</v>
      </c>
      <c r="E129" s="183"/>
      <c r="F129" s="183"/>
      <c r="G129" s="184"/>
      <c r="H129" s="178"/>
      <c r="I129" s="178"/>
      <c r="J129" s="178"/>
      <c r="K129" s="178"/>
      <c r="L129" s="178"/>
      <c r="M129" s="178"/>
      <c r="N129" s="178"/>
    </row>
    <row r="130" spans="1:16" ht="77.25" customHeight="1">
      <c r="A130" s="2044"/>
      <c r="B130" s="2046"/>
      <c r="C130" s="483"/>
      <c r="D130" s="159" t="s">
        <v>77</v>
      </c>
      <c r="E130" s="186" t="s">
        <v>78</v>
      </c>
      <c r="F130" s="160" t="s">
        <v>79</v>
      </c>
      <c r="G130" s="187" t="s">
        <v>13</v>
      </c>
      <c r="H130" s="178"/>
      <c r="I130" s="178"/>
      <c r="J130" s="178"/>
      <c r="K130" s="178"/>
      <c r="L130" s="178"/>
      <c r="M130" s="178"/>
      <c r="N130" s="178"/>
    </row>
    <row r="131" spans="1:16" ht="15" customHeight="1">
      <c r="A131" s="2025"/>
      <c r="B131" s="2068"/>
      <c r="C131" s="99">
        <v>2015</v>
      </c>
      <c r="D131" s="33"/>
      <c r="E131" s="34"/>
      <c r="F131" s="34"/>
      <c r="G131" s="191">
        <f t="shared" ref="G131:G136" si="11">SUM(D131:F131)</f>
        <v>0</v>
      </c>
      <c r="H131" s="178"/>
      <c r="I131" s="178"/>
      <c r="J131" s="178"/>
      <c r="K131" s="178"/>
      <c r="L131" s="178"/>
      <c r="M131" s="178"/>
      <c r="N131" s="178"/>
    </row>
    <row r="132" spans="1:16">
      <c r="A132" s="2069"/>
      <c r="B132" s="2068"/>
      <c r="C132" s="103">
        <v>2016</v>
      </c>
      <c r="D132" s="40">
        <v>74</v>
      </c>
      <c r="E132" s="41"/>
      <c r="F132" s="41"/>
      <c r="G132" s="191">
        <f t="shared" si="11"/>
        <v>74</v>
      </c>
      <c r="H132" s="178"/>
      <c r="I132" s="178"/>
      <c r="J132" s="178"/>
      <c r="K132" s="178"/>
      <c r="L132" s="178"/>
      <c r="M132" s="178"/>
      <c r="N132" s="178"/>
    </row>
    <row r="133" spans="1:16">
      <c r="A133" s="2069"/>
      <c r="B133" s="2068"/>
      <c r="C133" s="103">
        <v>2017</v>
      </c>
      <c r="D133" s="40">
        <v>36</v>
      </c>
      <c r="E133" s="41"/>
      <c r="F133" s="41"/>
      <c r="G133" s="191">
        <f t="shared" si="11"/>
        <v>36</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110</v>
      </c>
      <c r="E137" s="132">
        <f t="shared" ref="E137:F137" si="12">SUM(E131:E136)</f>
        <v>0</v>
      </c>
      <c r="F137" s="132">
        <f t="shared" si="12"/>
        <v>0</v>
      </c>
      <c r="G137" s="192">
        <f>SUM(G131:G136)</f>
        <v>110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D146+F146+G146+H146</f>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8"/>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0"/>
      <c r="E179" s="41"/>
      <c r="F179" s="41"/>
      <c r="G179" s="278">
        <f t="shared" ref="G179:G184" si="19">SUM(D179:F179)</f>
        <v>0</v>
      </c>
      <c r="H179" s="279"/>
      <c r="I179" s="105"/>
      <c r="J179" s="41"/>
      <c r="K179" s="41"/>
      <c r="L179" s="41"/>
      <c r="M179" s="41"/>
      <c r="N179" s="41"/>
      <c r="O179" s="86"/>
    </row>
    <row r="180" spans="1:15">
      <c r="A180" s="2048"/>
      <c r="B180" s="2039"/>
      <c r="C180" s="103">
        <v>2016</v>
      </c>
      <c r="D180" s="40">
        <v>35</v>
      </c>
      <c r="E180" s="41">
        <v>1</v>
      </c>
      <c r="F180" s="41"/>
      <c r="G180" s="278">
        <f t="shared" si="19"/>
        <v>36</v>
      </c>
      <c r="H180" s="279">
        <v>38</v>
      </c>
      <c r="I180" s="105"/>
      <c r="J180" s="41">
        <v>6</v>
      </c>
      <c r="K180" s="41"/>
      <c r="L180" s="41">
        <v>25</v>
      </c>
      <c r="M180" s="41">
        <v>5</v>
      </c>
      <c r="N180" s="41"/>
      <c r="O180" s="86"/>
    </row>
    <row r="181" spans="1:15">
      <c r="A181" s="2048"/>
      <c r="B181" s="2039"/>
      <c r="C181" s="103">
        <v>2017</v>
      </c>
      <c r="D181" s="40">
        <v>2</v>
      </c>
      <c r="E181" s="41"/>
      <c r="F181" s="41"/>
      <c r="G181" s="278">
        <f t="shared" si="19"/>
        <v>2</v>
      </c>
      <c r="H181" s="279"/>
      <c r="I181" s="105"/>
      <c r="J181" s="41"/>
      <c r="K181" s="41"/>
      <c r="L181" s="40">
        <v>2</v>
      </c>
      <c r="M181" s="41"/>
      <c r="N181" s="41"/>
      <c r="O181" s="86"/>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37</v>
      </c>
      <c r="E185" s="109">
        <f>SUM(E178:E184)</f>
        <v>1</v>
      </c>
      <c r="F185" s="109">
        <f>SUM(F178:F184)</f>
        <v>0</v>
      </c>
      <c r="G185" s="217">
        <f t="shared" ref="G185:O185" si="20">SUM(G178:G184)</f>
        <v>38</v>
      </c>
      <c r="H185" s="280">
        <f t="shared" si="20"/>
        <v>38</v>
      </c>
      <c r="I185" s="108">
        <f t="shared" si="20"/>
        <v>0</v>
      </c>
      <c r="J185" s="109">
        <f t="shared" si="20"/>
        <v>6</v>
      </c>
      <c r="K185" s="109">
        <f t="shared" si="20"/>
        <v>0</v>
      </c>
      <c r="L185" s="109">
        <f t="shared" si="20"/>
        <v>27</v>
      </c>
      <c r="M185" s="109">
        <f t="shared" si="20"/>
        <v>5</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c r="B189" s="2127"/>
      <c r="C189" s="285">
        <v>2014</v>
      </c>
      <c r="D189" s="126"/>
      <c r="E189" s="102"/>
      <c r="F189" s="102"/>
      <c r="G189" s="286">
        <f>SUM(D189:F189)</f>
        <v>0</v>
      </c>
      <c r="H189" s="101"/>
      <c r="I189" s="102"/>
      <c r="J189" s="102"/>
      <c r="K189" s="102"/>
      <c r="L189" s="127"/>
    </row>
    <row r="190" spans="1:15">
      <c r="A190" s="2176"/>
      <c r="B190" s="2068"/>
      <c r="C190" s="74">
        <v>2015</v>
      </c>
      <c r="D190" s="40"/>
      <c r="E190" s="41"/>
      <c r="F190" s="41"/>
      <c r="G190" s="286">
        <f t="shared" ref="G190:G195" si="21">SUM(D190:F190)</f>
        <v>0</v>
      </c>
      <c r="H190" s="105"/>
      <c r="I190" s="41"/>
      <c r="J190" s="41"/>
      <c r="K190" s="41"/>
      <c r="L190" s="86"/>
    </row>
    <row r="191" spans="1:15">
      <c r="A191" s="2176"/>
      <c r="B191" s="2068"/>
      <c r="C191" s="74">
        <v>2016</v>
      </c>
      <c r="D191" s="40">
        <v>1440</v>
      </c>
      <c r="E191" s="41">
        <v>20</v>
      </c>
      <c r="F191" s="41"/>
      <c r="G191" s="286">
        <f t="shared" si="21"/>
        <v>1460</v>
      </c>
      <c r="H191" s="105"/>
      <c r="I191" s="41">
        <v>155</v>
      </c>
      <c r="J191" s="41"/>
      <c r="K191" s="41">
        <v>829</v>
      </c>
      <c r="L191" s="86">
        <v>476</v>
      </c>
    </row>
    <row r="192" spans="1:15">
      <c r="A192" s="2176"/>
      <c r="B192" s="2068"/>
      <c r="C192" s="74">
        <v>2017</v>
      </c>
      <c r="D192" s="40">
        <v>73</v>
      </c>
      <c r="E192" s="41"/>
      <c r="F192" s="41"/>
      <c r="G192" s="286">
        <f t="shared" si="21"/>
        <v>73</v>
      </c>
      <c r="H192" s="105"/>
      <c r="I192" s="41"/>
      <c r="J192" s="41"/>
      <c r="K192" s="41">
        <v>45</v>
      </c>
      <c r="L192" s="86">
        <v>28</v>
      </c>
    </row>
    <row r="193" spans="1:14">
      <c r="A193" s="2176"/>
      <c r="B193" s="2068"/>
      <c r="C193" s="74">
        <v>2018</v>
      </c>
      <c r="D193" s="40"/>
      <c r="E193" s="41"/>
      <c r="F193" s="41"/>
      <c r="G193" s="286">
        <f t="shared" si="21"/>
        <v>0</v>
      </c>
      <c r="H193" s="105"/>
      <c r="I193" s="41"/>
      <c r="J193" s="41"/>
      <c r="K193" s="41"/>
      <c r="L193" s="86"/>
    </row>
    <row r="194" spans="1:14">
      <c r="A194" s="2176"/>
      <c r="B194" s="2068"/>
      <c r="C194" s="74">
        <v>2019</v>
      </c>
      <c r="D194" s="40"/>
      <c r="E194" s="41"/>
      <c r="F194" s="41"/>
      <c r="G194" s="286">
        <f t="shared" si="21"/>
        <v>0</v>
      </c>
      <c r="H194" s="105"/>
      <c r="I194" s="41"/>
      <c r="J194" s="41"/>
      <c r="K194" s="41"/>
      <c r="L194" s="86"/>
    </row>
    <row r="195" spans="1:14">
      <c r="A195" s="2176"/>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1513</v>
      </c>
      <c r="E196" s="109">
        <f t="shared" si="22"/>
        <v>20</v>
      </c>
      <c r="F196" s="109">
        <f t="shared" si="22"/>
        <v>0</v>
      </c>
      <c r="G196" s="290">
        <f t="shared" si="22"/>
        <v>1533</v>
      </c>
      <c r="H196" s="108">
        <f t="shared" si="22"/>
        <v>0</v>
      </c>
      <c r="I196" s="109">
        <f t="shared" si="22"/>
        <v>155</v>
      </c>
      <c r="J196" s="109">
        <f t="shared" si="22"/>
        <v>0</v>
      </c>
      <c r="K196" s="109">
        <f t="shared" si="22"/>
        <v>874</v>
      </c>
      <c r="L196" s="110">
        <f t="shared" si="22"/>
        <v>504</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v>1</v>
      </c>
      <c r="E204" s="41">
        <v>45</v>
      </c>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1</v>
      </c>
      <c r="E209" s="132">
        <f t="shared" ref="E209:L209" si="23">SUM(E202:E208)</f>
        <v>45</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304</v>
      </c>
      <c r="C213" s="73"/>
      <c r="D213" s="128"/>
      <c r="E213" s="128">
        <v>801112.14</v>
      </c>
      <c r="F213" s="128">
        <v>113858.65</v>
      </c>
      <c r="G213" s="128"/>
      <c r="H213" s="128"/>
      <c r="I213" s="327"/>
    </row>
    <row r="214" spans="1:12">
      <c r="A214" t="s">
        <v>153</v>
      </c>
      <c r="B214" s="2171"/>
      <c r="C214" s="73"/>
      <c r="D214" s="128"/>
      <c r="E214" s="128">
        <v>686497.78</v>
      </c>
      <c r="F214" s="128">
        <v>110286.27</v>
      </c>
      <c r="G214" s="128"/>
      <c r="H214" s="128"/>
      <c r="I214" s="327"/>
    </row>
    <row r="215" spans="1:12">
      <c r="A215" t="s">
        <v>155</v>
      </c>
      <c r="B215" s="2171"/>
      <c r="C215" s="73"/>
      <c r="D215" s="128"/>
      <c r="E215" s="128"/>
      <c r="F215" s="128"/>
      <c r="G215" s="128"/>
      <c r="H215" s="128"/>
      <c r="I215" s="327"/>
    </row>
    <row r="216" spans="1:12">
      <c r="A216" t="s">
        <v>157</v>
      </c>
      <c r="B216" s="2171"/>
      <c r="C216" s="73"/>
      <c r="D216" s="128"/>
      <c r="E216" s="128">
        <v>114614.36</v>
      </c>
      <c r="G216" s="128"/>
      <c r="H216" s="128"/>
      <c r="I216" s="327"/>
    </row>
    <row r="217" spans="1:12">
      <c r="A217" t="s">
        <v>158</v>
      </c>
      <c r="B217" s="2171"/>
      <c r="C217" s="73"/>
      <c r="D217" s="128"/>
      <c r="E217" s="561">
        <v>0</v>
      </c>
      <c r="F217" s="128">
        <v>3572.38</v>
      </c>
      <c r="G217" s="128"/>
      <c r="H217" s="128"/>
      <c r="I217" s="327"/>
    </row>
    <row r="218" spans="1:12" ht="27" customHeight="1">
      <c r="A218" s="31" t="s">
        <v>159</v>
      </c>
      <c r="B218" s="2171"/>
      <c r="C218" s="73"/>
      <c r="D218" s="562"/>
      <c r="E218" s="128">
        <v>209766.89</v>
      </c>
      <c r="F218" s="128">
        <v>93946.13</v>
      </c>
      <c r="G218" s="128"/>
      <c r="H218" s="128"/>
      <c r="I218" s="327"/>
    </row>
    <row r="219" spans="1:12" ht="36.75" customHeight="1" thickBot="1">
      <c r="A219" s="349"/>
      <c r="B219" s="2172"/>
      <c r="C219" s="45" t="s">
        <v>13</v>
      </c>
      <c r="D219" s="333">
        <f>SUM(D214:D218)</f>
        <v>0</v>
      </c>
      <c r="E219" s="333">
        <f>SUM(E214:E218)</f>
        <v>1010879.03</v>
      </c>
      <c r="F219" s="333">
        <f t="shared" ref="F219:I219" si="24">SUM(F214:F218)</f>
        <v>207804.78000000003</v>
      </c>
      <c r="G219" s="333">
        <f t="shared" si="24"/>
        <v>0</v>
      </c>
      <c r="H219" s="333">
        <f t="shared" si="24"/>
        <v>0</v>
      </c>
      <c r="I219" s="333">
        <f t="shared" si="24"/>
        <v>0</v>
      </c>
    </row>
    <row r="221" spans="1:12">
      <c r="B221" s="474" t="s">
        <v>305</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Y227"/>
  <sheetViews>
    <sheetView topLeftCell="A169" workbookViewId="0">
      <selection activeCell="O75" sqref="O7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531</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591" customFormat="1" ht="156.6"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532</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069"/>
      <c r="B19" s="2068"/>
      <c r="C19" s="39">
        <v>2016</v>
      </c>
      <c r="D19" s="40">
        <v>110</v>
      </c>
      <c r="E19" s="41"/>
      <c r="F19" s="41"/>
      <c r="G19" s="35">
        <f t="shared" si="0"/>
        <v>110</v>
      </c>
      <c r="H19" s="42"/>
      <c r="I19" s="41"/>
      <c r="J19" s="41"/>
      <c r="K19" s="41"/>
      <c r="L19" s="41"/>
      <c r="M19" s="41"/>
      <c r="N19" s="41"/>
      <c r="O19" s="43">
        <v>110</v>
      </c>
      <c r="P19" s="38"/>
      <c r="Q19" s="38"/>
      <c r="R19" s="38"/>
      <c r="S19" s="38"/>
      <c r="T19" s="38"/>
      <c r="U19" s="38"/>
      <c r="V19" s="38"/>
      <c r="W19" s="38"/>
      <c r="X19" s="38"/>
      <c r="Y19" s="38"/>
    </row>
    <row r="20" spans="1:25">
      <c r="A20" s="2069"/>
      <c r="B20" s="2068"/>
      <c r="C20" s="39">
        <v>2017</v>
      </c>
      <c r="D20" s="40">
        <v>111</v>
      </c>
      <c r="E20" s="41"/>
      <c r="F20" s="41"/>
      <c r="G20" s="35">
        <f t="shared" si="0"/>
        <v>111</v>
      </c>
      <c r="H20" s="42"/>
      <c r="I20" s="41"/>
      <c r="J20" s="41"/>
      <c r="K20" s="41"/>
      <c r="L20" s="41"/>
      <c r="M20" s="41"/>
      <c r="N20" s="41"/>
      <c r="O20" s="43">
        <v>111</v>
      </c>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221</v>
      </c>
      <c r="E24" s="47"/>
      <c r="F24" s="47">
        <f>SUM(F17:F23)</f>
        <v>0</v>
      </c>
      <c r="G24" s="48">
        <f>SUM(D24:F24)</f>
        <v>221</v>
      </c>
      <c r="H24" s="49">
        <f>SUM(H17:H23)</f>
        <v>0</v>
      </c>
      <c r="I24" s="50"/>
      <c r="J24" s="50">
        <f t="shared" ref="J24:N24" si="1">SUM(J17:J23)</f>
        <v>0</v>
      </c>
      <c r="K24" s="50">
        <f t="shared" si="1"/>
        <v>0</v>
      </c>
      <c r="L24" s="50">
        <f t="shared" si="1"/>
        <v>0</v>
      </c>
      <c r="M24" s="50">
        <f t="shared" si="1"/>
        <v>0</v>
      </c>
      <c r="N24" s="50">
        <f t="shared" si="1"/>
        <v>0</v>
      </c>
      <c r="O24" s="51">
        <f>SUM(O17:O23)</f>
        <v>221</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591" customFormat="1" ht="93" customHeight="1">
      <c r="A27" s="470"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118"/>
      <c r="B28" s="2068"/>
      <c r="C28" s="58">
        <v>2014</v>
      </c>
      <c r="D28" s="36"/>
      <c r="E28" s="34"/>
      <c r="F28" s="34"/>
      <c r="G28" s="59">
        <f>SUM(D28:F28)</f>
        <v>0</v>
      </c>
      <c r="H28" s="38"/>
      <c r="I28" s="38"/>
      <c r="J28" s="38"/>
      <c r="K28" s="38"/>
      <c r="L28" s="38"/>
      <c r="M28" s="38"/>
      <c r="N28" s="38"/>
      <c r="O28" s="38"/>
      <c r="P28" s="38"/>
      <c r="Q28" s="8"/>
    </row>
    <row r="29" spans="1:25">
      <c r="A29" s="2119"/>
      <c r="B29" s="2068"/>
      <c r="C29" s="60">
        <v>2015</v>
      </c>
      <c r="D29" s="42"/>
      <c r="E29" s="41"/>
      <c r="F29" s="41"/>
      <c r="G29" s="59">
        <f t="shared" ref="G29:G35" si="2">SUM(D29:F29)</f>
        <v>0</v>
      </c>
      <c r="H29" s="38"/>
      <c r="I29" s="38"/>
      <c r="J29" s="38"/>
      <c r="K29" s="38"/>
      <c r="L29" s="38"/>
      <c r="M29" s="38"/>
      <c r="N29" s="38"/>
      <c r="O29" s="38"/>
      <c r="P29" s="38"/>
      <c r="Q29" s="8"/>
    </row>
    <row r="30" spans="1:25">
      <c r="A30" s="2119"/>
      <c r="B30" s="2068"/>
      <c r="C30" s="60">
        <v>2016</v>
      </c>
      <c r="D30" s="42">
        <v>500000</v>
      </c>
      <c r="E30" s="41"/>
      <c r="F30" s="41"/>
      <c r="G30" s="59">
        <f t="shared" si="2"/>
        <v>500000</v>
      </c>
      <c r="H30" s="38"/>
      <c r="I30" s="38"/>
      <c r="J30" s="38"/>
      <c r="K30" s="38"/>
      <c r="L30" s="38"/>
      <c r="M30" s="38"/>
      <c r="N30" s="38"/>
      <c r="O30" s="38"/>
      <c r="P30" s="38"/>
      <c r="Q30" s="8"/>
    </row>
    <row r="31" spans="1:25">
      <c r="A31" s="2119"/>
      <c r="B31" s="2068"/>
      <c r="C31" s="60">
        <v>2017</v>
      </c>
      <c r="D31" s="42">
        <v>467417</v>
      </c>
      <c r="E31" s="41"/>
      <c r="F31" s="41"/>
      <c r="G31" s="59">
        <f t="shared" si="2"/>
        <v>467417</v>
      </c>
      <c r="H31" s="38"/>
      <c r="I31" s="38"/>
      <c r="J31" s="38"/>
      <c r="K31" s="38"/>
      <c r="L31" s="38"/>
      <c r="M31" s="38"/>
      <c r="N31" s="38"/>
      <c r="O31" s="38"/>
      <c r="P31" s="38"/>
      <c r="Q31" s="8"/>
    </row>
    <row r="32" spans="1:25">
      <c r="A32" s="2119"/>
      <c r="B32" s="2068"/>
      <c r="C32" s="60">
        <v>2018</v>
      </c>
      <c r="D32" s="42"/>
      <c r="E32" s="41"/>
      <c r="F32" s="41"/>
      <c r="G32" s="59">
        <f>SUM(D32:F32)</f>
        <v>0</v>
      </c>
      <c r="H32" s="38"/>
      <c r="I32" s="38"/>
      <c r="J32" s="38"/>
      <c r="K32" s="38"/>
      <c r="L32" s="38"/>
      <c r="M32" s="38"/>
      <c r="N32" s="38"/>
      <c r="O32" s="38"/>
      <c r="P32" s="38"/>
      <c r="Q32" s="8"/>
    </row>
    <row r="33" spans="1:17">
      <c r="A33" s="2119"/>
      <c r="B33" s="2068"/>
      <c r="C33" s="61">
        <v>2019</v>
      </c>
      <c r="D33" s="42"/>
      <c r="E33" s="41"/>
      <c r="F33" s="41"/>
      <c r="G33" s="59">
        <f t="shared" si="2"/>
        <v>0</v>
      </c>
      <c r="H33" s="38"/>
      <c r="I33" s="38"/>
      <c r="J33" s="38"/>
      <c r="K33" s="38"/>
      <c r="L33" s="38"/>
      <c r="M33" s="38"/>
      <c r="N33" s="38"/>
      <c r="O33" s="38"/>
      <c r="P33" s="38"/>
      <c r="Q33" s="8"/>
    </row>
    <row r="34" spans="1:17">
      <c r="A34" s="211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967417</v>
      </c>
      <c r="E35" s="47">
        <f>SUM(E28:E34)</f>
        <v>0</v>
      </c>
      <c r="F35" s="47">
        <f>SUM(F28:F34)</f>
        <v>0</v>
      </c>
      <c r="G35" s="51">
        <f t="shared" si="2"/>
        <v>967417</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118"/>
      <c r="B40" s="2068"/>
      <c r="C40" s="73">
        <v>2014</v>
      </c>
      <c r="D40" s="1592"/>
      <c r="E40" s="1593"/>
      <c r="F40" s="8"/>
      <c r="G40" s="38"/>
      <c r="H40" s="38"/>
    </row>
    <row r="41" spans="1:17">
      <c r="A41" s="2119"/>
      <c r="B41" s="2068"/>
      <c r="C41" s="74">
        <v>2015</v>
      </c>
      <c r="D41" s="1594"/>
      <c r="E41" s="1595"/>
      <c r="F41" s="8"/>
      <c r="G41" s="38"/>
      <c r="H41" s="38"/>
    </row>
    <row r="42" spans="1:17">
      <c r="A42" s="2119"/>
      <c r="B42" s="2068"/>
      <c r="C42" s="1596">
        <v>2016</v>
      </c>
      <c r="D42" s="1597">
        <v>65103</v>
      </c>
      <c r="E42" s="1598">
        <v>6900</v>
      </c>
      <c r="F42" s="1573"/>
      <c r="G42" s="38"/>
      <c r="H42" s="38"/>
    </row>
    <row r="43" spans="1:17">
      <c r="A43" s="2119"/>
      <c r="B43" s="2068"/>
      <c r="C43" s="74">
        <v>2017</v>
      </c>
      <c r="D43" s="1599">
        <v>21924</v>
      </c>
      <c r="E43" s="1600">
        <v>2747</v>
      </c>
      <c r="F43" s="8"/>
      <c r="G43" s="38"/>
      <c r="H43" s="38"/>
    </row>
    <row r="44" spans="1:17">
      <c r="A44" s="2119"/>
      <c r="B44" s="2068"/>
      <c r="C44" s="74">
        <v>2018</v>
      </c>
      <c r="D44" s="40"/>
      <c r="E44" s="39"/>
      <c r="F44" s="8"/>
      <c r="G44" s="38"/>
      <c r="H44" s="38"/>
    </row>
    <row r="45" spans="1:17">
      <c r="A45" s="2119"/>
      <c r="B45" s="2068"/>
      <c r="C45" s="74">
        <v>2019</v>
      </c>
      <c r="D45" s="40"/>
      <c r="E45" s="39"/>
      <c r="F45" s="8"/>
      <c r="G45" s="38"/>
      <c r="H45" s="38"/>
    </row>
    <row r="46" spans="1:17">
      <c r="A46" s="2119"/>
      <c r="B46" s="2068"/>
      <c r="C46" s="74">
        <v>2020</v>
      </c>
      <c r="D46" s="40"/>
      <c r="E46" s="39"/>
      <c r="F46" s="8"/>
      <c r="G46" s="38"/>
      <c r="H46" s="38"/>
    </row>
    <row r="47" spans="1:17" ht="15.75" thickBot="1">
      <c r="A47" s="2070"/>
      <c r="B47" s="2071"/>
      <c r="C47" s="45" t="s">
        <v>13</v>
      </c>
      <c r="D47" s="1601">
        <f>SUM(D40:D46)</f>
        <v>87027</v>
      </c>
      <c r="E47" s="1602">
        <f>SUM(E40:E46)</f>
        <v>9647</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118"/>
      <c r="B51" s="2026"/>
      <c r="C51" s="74">
        <v>2014</v>
      </c>
      <c r="D51" s="40"/>
      <c r="E51" s="41"/>
      <c r="F51" s="41"/>
      <c r="G51" s="41"/>
      <c r="H51" s="41"/>
      <c r="I51" s="41"/>
      <c r="J51" s="41"/>
      <c r="K51" s="86"/>
    </row>
    <row r="52" spans="1:15">
      <c r="A52" s="2118"/>
      <c r="B52" s="2026"/>
      <c r="C52" s="74">
        <v>2015</v>
      </c>
      <c r="D52" s="40"/>
      <c r="E52" s="41"/>
      <c r="F52" s="41"/>
      <c r="G52" s="41"/>
      <c r="H52" s="41"/>
      <c r="I52" s="41"/>
      <c r="J52" s="41"/>
      <c r="K52" s="86"/>
    </row>
    <row r="53" spans="1:15">
      <c r="A53" s="2118"/>
      <c r="B53" s="2026"/>
      <c r="C53" s="74">
        <v>2016</v>
      </c>
      <c r="D53" s="40"/>
      <c r="E53" s="41"/>
      <c r="F53" s="41"/>
      <c r="G53" s="41"/>
      <c r="H53" s="41"/>
      <c r="I53" s="41"/>
      <c r="J53" s="41"/>
      <c r="K53" s="86"/>
    </row>
    <row r="54" spans="1:15">
      <c r="A54" s="2118"/>
      <c r="B54" s="2026"/>
      <c r="C54" s="74">
        <v>2017</v>
      </c>
      <c r="D54" s="40"/>
      <c r="E54" s="41"/>
      <c r="F54" s="41"/>
      <c r="G54" s="41"/>
      <c r="H54" s="41"/>
      <c r="I54" s="41"/>
      <c r="J54" s="41"/>
      <c r="K54" s="86"/>
    </row>
    <row r="55" spans="1:15">
      <c r="A55" s="2118"/>
      <c r="B55" s="2026"/>
      <c r="C55" s="74">
        <v>2018</v>
      </c>
      <c r="D55" s="40"/>
      <c r="E55" s="41"/>
      <c r="F55" s="41"/>
      <c r="G55" s="41"/>
      <c r="H55" s="41"/>
      <c r="I55" s="41"/>
      <c r="J55" s="41"/>
      <c r="K55" s="86"/>
    </row>
    <row r="56" spans="1:15">
      <c r="A56" s="2118"/>
      <c r="B56" s="2026"/>
      <c r="C56" s="74">
        <v>2019</v>
      </c>
      <c r="D56" s="40"/>
      <c r="E56" s="41"/>
      <c r="F56" s="41"/>
      <c r="G56" s="41"/>
      <c r="H56" s="41"/>
      <c r="I56" s="41"/>
      <c r="J56" s="41"/>
      <c r="K56" s="86"/>
    </row>
    <row r="57" spans="1:15">
      <c r="A57" s="2118"/>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42.1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120" t="s">
        <v>533</v>
      </c>
      <c r="B62" s="2039"/>
      <c r="C62" s="99">
        <v>2014</v>
      </c>
      <c r="D62" s="100"/>
      <c r="E62" s="101"/>
      <c r="F62" s="102"/>
      <c r="G62" s="102"/>
      <c r="H62" s="102"/>
      <c r="I62" s="102"/>
      <c r="J62" s="102"/>
      <c r="K62" s="102"/>
      <c r="L62" s="37"/>
      <c r="M62" s="8"/>
      <c r="N62" s="8"/>
      <c r="O62" s="8"/>
    </row>
    <row r="63" spans="1:15">
      <c r="A63" s="2121"/>
      <c r="B63" s="2039"/>
      <c r="C63" s="103">
        <v>2015</v>
      </c>
      <c r="D63" s="104"/>
      <c r="E63" s="105"/>
      <c r="F63" s="41"/>
      <c r="G63" s="41"/>
      <c r="H63" s="41"/>
      <c r="I63" s="41"/>
      <c r="J63" s="41"/>
      <c r="K63" s="41"/>
      <c r="L63" s="86"/>
      <c r="M63" s="8"/>
      <c r="N63" s="8"/>
      <c r="O63" s="8"/>
    </row>
    <row r="64" spans="1:15">
      <c r="A64" s="2121"/>
      <c r="B64" s="2039"/>
      <c r="C64" s="103">
        <v>2016</v>
      </c>
      <c r="D64" s="104">
        <v>10</v>
      </c>
      <c r="E64" s="105"/>
      <c r="F64" s="41">
        <v>10</v>
      </c>
      <c r="G64" s="41"/>
      <c r="H64" s="41"/>
      <c r="I64" s="41"/>
      <c r="J64" s="41"/>
      <c r="K64" s="41"/>
      <c r="L64" s="86"/>
      <c r="M64" s="8"/>
      <c r="N64" s="8"/>
      <c r="O64" s="8"/>
    </row>
    <row r="65" spans="1:20">
      <c r="A65" s="2121"/>
      <c r="B65" s="2039"/>
      <c r="C65" s="103">
        <v>2017</v>
      </c>
      <c r="D65" s="104"/>
      <c r="E65" s="105"/>
      <c r="F65" s="41"/>
      <c r="G65" s="41"/>
      <c r="H65" s="41"/>
      <c r="I65" s="41"/>
      <c r="J65" s="41"/>
      <c r="K65" s="41"/>
      <c r="L65" s="86"/>
      <c r="M65" s="8"/>
      <c r="N65" s="8"/>
      <c r="O65" s="8"/>
    </row>
    <row r="66" spans="1:20">
      <c r="A66" s="2121"/>
      <c r="B66" s="2039"/>
      <c r="C66" s="103">
        <v>2018</v>
      </c>
      <c r="D66" s="104"/>
      <c r="E66" s="105"/>
      <c r="F66" s="41"/>
      <c r="G66" s="41"/>
      <c r="H66" s="41"/>
      <c r="I66" s="41"/>
      <c r="J66" s="41"/>
      <c r="K66" s="41"/>
      <c r="L66" s="86"/>
      <c r="M66" s="8"/>
      <c r="N66" s="8"/>
      <c r="O66" s="8"/>
    </row>
    <row r="67" spans="1:20" ht="17.25" customHeight="1">
      <c r="A67" s="2121"/>
      <c r="B67" s="2039"/>
      <c r="C67" s="103">
        <v>2019</v>
      </c>
      <c r="D67" s="104"/>
      <c r="E67" s="105"/>
      <c r="F67" s="41"/>
      <c r="G67" s="41"/>
      <c r="H67" s="41"/>
      <c r="I67" s="41"/>
      <c r="J67" s="41"/>
      <c r="K67" s="41"/>
      <c r="L67" s="86"/>
      <c r="M67" s="8"/>
      <c r="N67" s="8"/>
      <c r="O67" s="8"/>
    </row>
    <row r="68" spans="1:20" ht="16.5" customHeight="1">
      <c r="A68" s="2121"/>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10</v>
      </c>
      <c r="E69" s="108">
        <f>SUM(E62:E68)</f>
        <v>0</v>
      </c>
      <c r="F69" s="109">
        <f t="shared" ref="F69:I69" si="4">SUM(F62:F68)</f>
        <v>10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1591"/>
      <c r="Q70" s="1591"/>
      <c r="R70" s="1591"/>
      <c r="S70" s="1591"/>
      <c r="T70" s="159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118" t="s">
        <v>534</v>
      </c>
      <c r="B72" s="2039"/>
      <c r="C72" s="73">
        <v>2014</v>
      </c>
      <c r="D72" s="124"/>
      <c r="E72" s="124"/>
      <c r="F72" s="124"/>
      <c r="G72" s="125">
        <f>SUM(D72:F72)</f>
        <v>0</v>
      </c>
      <c r="H72" s="33"/>
      <c r="I72" s="126"/>
      <c r="J72" s="102"/>
      <c r="K72" s="102"/>
      <c r="L72" s="102"/>
      <c r="M72" s="102"/>
      <c r="N72" s="102"/>
      <c r="O72" s="127"/>
    </row>
    <row r="73" spans="1:20">
      <c r="A73" s="2119"/>
      <c r="B73" s="2039"/>
      <c r="C73" s="74">
        <v>2015</v>
      </c>
      <c r="D73" s="128"/>
      <c r="E73" s="128"/>
      <c r="F73" s="128"/>
      <c r="G73" s="125">
        <f t="shared" ref="G73:G78" si="5">SUM(D73:F73)</f>
        <v>0</v>
      </c>
      <c r="H73" s="40"/>
      <c r="I73" s="40"/>
      <c r="J73" s="41"/>
      <c r="K73" s="41"/>
      <c r="L73" s="41"/>
      <c r="M73" s="41"/>
      <c r="N73" s="41"/>
      <c r="O73" s="86"/>
    </row>
    <row r="74" spans="1:20">
      <c r="A74" s="2119"/>
      <c r="B74" s="2039"/>
      <c r="C74" s="74">
        <v>2016</v>
      </c>
      <c r="D74" s="128">
        <v>15</v>
      </c>
      <c r="E74" s="128"/>
      <c r="F74" s="128"/>
      <c r="G74" s="125">
        <f t="shared" si="5"/>
        <v>15</v>
      </c>
      <c r="H74" s="40"/>
      <c r="I74" s="40"/>
      <c r="J74" s="41"/>
      <c r="K74" s="41"/>
      <c r="L74" s="41"/>
      <c r="M74" s="41"/>
      <c r="N74" s="41"/>
      <c r="O74" s="86">
        <v>15</v>
      </c>
    </row>
    <row r="75" spans="1:20">
      <c r="A75" s="2119"/>
      <c r="B75" s="2039"/>
      <c r="C75" s="74">
        <v>2017</v>
      </c>
      <c r="D75" s="128"/>
      <c r="E75" s="128"/>
      <c r="F75" s="128"/>
      <c r="G75" s="125">
        <f t="shared" si="5"/>
        <v>0</v>
      </c>
      <c r="H75" s="40"/>
      <c r="I75" s="40"/>
      <c r="J75" s="41"/>
      <c r="K75" s="41"/>
      <c r="L75" s="41"/>
      <c r="M75" s="41"/>
      <c r="N75" s="41"/>
      <c r="O75" s="86"/>
    </row>
    <row r="76" spans="1:20">
      <c r="A76" s="2119"/>
      <c r="B76" s="2039"/>
      <c r="C76" s="74">
        <v>2018</v>
      </c>
      <c r="D76" s="128"/>
      <c r="E76" s="128"/>
      <c r="F76" s="128"/>
      <c r="G76" s="125">
        <f t="shared" si="5"/>
        <v>0</v>
      </c>
      <c r="H76" s="40"/>
      <c r="I76" s="40"/>
      <c r="J76" s="41"/>
      <c r="K76" s="41"/>
      <c r="L76" s="41"/>
      <c r="M76" s="41"/>
      <c r="N76" s="41"/>
      <c r="O76" s="86"/>
    </row>
    <row r="77" spans="1:20" ht="15.75" customHeight="1">
      <c r="A77" s="2119"/>
      <c r="B77" s="2039"/>
      <c r="C77" s="74">
        <v>2019</v>
      </c>
      <c r="D77" s="128"/>
      <c r="E77" s="128"/>
      <c r="F77" s="128"/>
      <c r="G77" s="125">
        <f t="shared" si="5"/>
        <v>0</v>
      </c>
      <c r="H77" s="40"/>
      <c r="I77" s="40"/>
      <c r="J77" s="41"/>
      <c r="K77" s="41"/>
      <c r="L77" s="41"/>
      <c r="M77" s="41"/>
      <c r="N77" s="41"/>
      <c r="O77" s="86"/>
    </row>
    <row r="78" spans="1:20" ht="17.25" customHeight="1">
      <c r="A78" s="211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15</v>
      </c>
      <c r="E79" s="107">
        <f>SUM(E72:E78)</f>
        <v>0</v>
      </c>
      <c r="F79" s="107">
        <f>SUM(F72:F78)</f>
        <v>0</v>
      </c>
      <c r="G79" s="130">
        <f>SUM(G72:G78)</f>
        <v>15</v>
      </c>
      <c r="H79" s="131">
        <v>0</v>
      </c>
      <c r="I79" s="132">
        <f t="shared" ref="I79:O79" si="6">SUM(I72:I78)</f>
        <v>0</v>
      </c>
      <c r="J79" s="109">
        <f t="shared" si="6"/>
        <v>0</v>
      </c>
      <c r="K79" s="109">
        <f t="shared" si="6"/>
        <v>0</v>
      </c>
      <c r="L79" s="109">
        <f t="shared" si="6"/>
        <v>0</v>
      </c>
      <c r="M79" s="109">
        <f t="shared" si="6"/>
        <v>0</v>
      </c>
      <c r="N79" s="109">
        <f t="shared" si="6"/>
        <v>0</v>
      </c>
      <c r="O79" s="110">
        <f t="shared" si="6"/>
        <v>15</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59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123"/>
      <c r="B85" s="2039"/>
      <c r="C85" s="73">
        <v>2014</v>
      </c>
      <c r="D85" s="147"/>
      <c r="E85" s="148"/>
      <c r="F85" s="34"/>
      <c r="G85" s="34"/>
      <c r="H85" s="34"/>
      <c r="I85" s="34"/>
      <c r="J85" s="34"/>
      <c r="K85" s="37"/>
    </row>
    <row r="86" spans="1:16">
      <c r="A86" s="2124"/>
      <c r="B86" s="2039"/>
      <c r="C86" s="74">
        <v>2015</v>
      </c>
      <c r="D86" s="149"/>
      <c r="E86" s="105"/>
      <c r="F86" s="41"/>
      <c r="G86" s="41"/>
      <c r="H86" s="41"/>
      <c r="I86" s="41"/>
      <c r="J86" s="41"/>
      <c r="K86" s="86"/>
    </row>
    <row r="87" spans="1:16">
      <c r="A87" s="2124"/>
      <c r="B87" s="2039"/>
      <c r="C87" s="74">
        <v>2016</v>
      </c>
      <c r="D87" s="149"/>
      <c r="E87" s="105"/>
      <c r="F87" s="41"/>
      <c r="G87" s="41"/>
      <c r="H87" s="41"/>
      <c r="I87" s="41"/>
      <c r="J87" s="41"/>
      <c r="K87" s="86"/>
    </row>
    <row r="88" spans="1:16">
      <c r="A88" s="2124"/>
      <c r="B88" s="2039"/>
      <c r="C88" s="74">
        <v>2017</v>
      </c>
      <c r="D88" s="149"/>
      <c r="E88" s="105"/>
      <c r="F88" s="41"/>
      <c r="G88" s="41"/>
      <c r="H88" s="41"/>
      <c r="I88" s="41"/>
      <c r="J88" s="41"/>
      <c r="K88" s="86"/>
    </row>
    <row r="89" spans="1:16">
      <c r="A89" s="2124"/>
      <c r="B89" s="2039"/>
      <c r="C89" s="74">
        <v>2018</v>
      </c>
      <c r="D89" s="149"/>
      <c r="E89" s="105"/>
      <c r="F89" s="41"/>
      <c r="G89" s="41"/>
      <c r="H89" s="41"/>
      <c r="I89" s="41"/>
      <c r="J89" s="41"/>
      <c r="K89" s="86"/>
    </row>
    <row r="90" spans="1:16">
      <c r="A90" s="2124"/>
      <c r="B90" s="2039"/>
      <c r="C90" s="74">
        <v>2019</v>
      </c>
      <c r="D90" s="149"/>
      <c r="E90" s="105"/>
      <c r="F90" s="41"/>
      <c r="G90" s="41"/>
      <c r="H90" s="41"/>
      <c r="I90" s="41"/>
      <c r="J90" s="41"/>
      <c r="K90" s="86"/>
    </row>
    <row r="91" spans="1:16">
      <c r="A91" s="2124"/>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120"/>
      <c r="B98" s="2039"/>
      <c r="C98" s="99">
        <v>2014</v>
      </c>
      <c r="D98" s="33"/>
      <c r="E98" s="34"/>
      <c r="F98" s="167"/>
      <c r="G98" s="168"/>
      <c r="H98" s="168"/>
      <c r="I98" s="168"/>
      <c r="J98" s="168"/>
      <c r="K98" s="168"/>
      <c r="L98" s="168"/>
      <c r="M98" s="169"/>
      <c r="N98" s="158"/>
      <c r="O98" s="158"/>
      <c r="P98" s="158"/>
    </row>
    <row r="99" spans="1:16" ht="16.5" customHeight="1">
      <c r="A99" s="2121"/>
      <c r="B99" s="2039"/>
      <c r="C99" s="103">
        <v>2015</v>
      </c>
      <c r="D99" s="40"/>
      <c r="E99" s="41"/>
      <c r="F99" s="170"/>
      <c r="G99" s="171"/>
      <c r="H99" s="171"/>
      <c r="I99" s="171"/>
      <c r="J99" s="171"/>
      <c r="K99" s="171"/>
      <c r="L99" s="171"/>
      <c r="M99" s="172"/>
      <c r="N99" s="158"/>
      <c r="O99" s="158"/>
      <c r="P99" s="158"/>
    </row>
    <row r="100" spans="1:16" ht="16.5" customHeight="1">
      <c r="A100" s="2121"/>
      <c r="B100" s="2039"/>
      <c r="C100" s="103">
        <v>2016</v>
      </c>
      <c r="D100" s="40"/>
      <c r="E100" s="41"/>
      <c r="F100" s="170"/>
      <c r="G100" s="171"/>
      <c r="H100" s="171"/>
      <c r="I100" s="171"/>
      <c r="J100" s="171"/>
      <c r="K100" s="171"/>
      <c r="L100" s="171"/>
      <c r="M100" s="172"/>
      <c r="N100" s="158"/>
      <c r="O100" s="158"/>
      <c r="P100" s="158"/>
    </row>
    <row r="101" spans="1:16" ht="16.5" customHeight="1">
      <c r="A101" s="2121"/>
      <c r="B101" s="2039"/>
      <c r="C101" s="103">
        <v>2017</v>
      </c>
      <c r="D101" s="40"/>
      <c r="E101" s="41"/>
      <c r="F101" s="170"/>
      <c r="G101" s="171"/>
      <c r="H101" s="171"/>
      <c r="I101" s="171"/>
      <c r="J101" s="171"/>
      <c r="K101" s="171"/>
      <c r="L101" s="171"/>
      <c r="M101" s="172"/>
      <c r="N101" s="158"/>
      <c r="O101" s="158"/>
      <c r="P101" s="158"/>
    </row>
    <row r="102" spans="1:16" ht="15.75" customHeight="1">
      <c r="A102" s="2121"/>
      <c r="B102" s="2039"/>
      <c r="C102" s="103">
        <v>2018</v>
      </c>
      <c r="D102" s="40"/>
      <c r="E102" s="41"/>
      <c r="F102" s="170"/>
      <c r="G102" s="171"/>
      <c r="H102" s="171"/>
      <c r="I102" s="171"/>
      <c r="J102" s="171"/>
      <c r="K102" s="171"/>
      <c r="L102" s="171"/>
      <c r="M102" s="172"/>
      <c r="N102" s="158"/>
      <c r="O102" s="158"/>
      <c r="P102" s="158"/>
    </row>
    <row r="103" spans="1:16" ht="14.25" customHeight="1">
      <c r="A103" s="2121"/>
      <c r="B103" s="2039"/>
      <c r="C103" s="103">
        <v>2019</v>
      </c>
      <c r="D103" s="40"/>
      <c r="E103" s="41"/>
      <c r="F103" s="170"/>
      <c r="G103" s="171"/>
      <c r="H103" s="171"/>
      <c r="I103" s="171"/>
      <c r="J103" s="171"/>
      <c r="K103" s="171"/>
      <c r="L103" s="171"/>
      <c r="M103" s="172"/>
      <c r="N103" s="158"/>
      <c r="O103" s="158"/>
      <c r="P103" s="158"/>
    </row>
    <row r="104" spans="1:16" ht="14.25" customHeight="1">
      <c r="A104" s="2121"/>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120"/>
      <c r="B109" s="2039"/>
      <c r="C109" s="99">
        <v>2014</v>
      </c>
      <c r="D109" s="34"/>
      <c r="E109" s="167"/>
      <c r="F109" s="168"/>
      <c r="G109" s="168"/>
      <c r="H109" s="168"/>
      <c r="I109" s="168"/>
      <c r="J109" s="168"/>
      <c r="K109" s="168"/>
      <c r="L109" s="169"/>
      <c r="M109" s="178"/>
      <c r="N109" s="178"/>
    </row>
    <row r="110" spans="1:16">
      <c r="A110" s="2121"/>
      <c r="B110" s="2039"/>
      <c r="C110" s="103">
        <v>2015</v>
      </c>
      <c r="D110" s="41"/>
      <c r="E110" s="170"/>
      <c r="F110" s="171"/>
      <c r="G110" s="171"/>
      <c r="H110" s="171"/>
      <c r="I110" s="171"/>
      <c r="J110" s="171"/>
      <c r="K110" s="171"/>
      <c r="L110" s="172"/>
      <c r="M110" s="178"/>
      <c r="N110" s="178"/>
    </row>
    <row r="111" spans="1:16">
      <c r="A111" s="2121"/>
      <c r="B111" s="2039"/>
      <c r="C111" s="103">
        <v>2016</v>
      </c>
      <c r="D111" s="41"/>
      <c r="E111" s="170"/>
      <c r="F111" s="171"/>
      <c r="G111" s="171"/>
      <c r="H111" s="171"/>
      <c r="I111" s="171"/>
      <c r="J111" s="171"/>
      <c r="K111" s="171"/>
      <c r="L111" s="172"/>
      <c r="M111" s="178"/>
      <c r="N111" s="178"/>
    </row>
    <row r="112" spans="1:16">
      <c r="A112" s="2121"/>
      <c r="B112" s="2039"/>
      <c r="C112" s="103">
        <v>2017</v>
      </c>
      <c r="D112" s="41"/>
      <c r="E112" s="170"/>
      <c r="F112" s="171"/>
      <c r="G112" s="171"/>
      <c r="H112" s="171"/>
      <c r="I112" s="171"/>
      <c r="J112" s="171"/>
      <c r="K112" s="171"/>
      <c r="L112" s="172"/>
      <c r="M112" s="178"/>
      <c r="N112" s="178"/>
    </row>
    <row r="113" spans="1:14">
      <c r="A113" s="2121"/>
      <c r="B113" s="2039"/>
      <c r="C113" s="103">
        <v>2018</v>
      </c>
      <c r="D113" s="41"/>
      <c r="E113" s="170"/>
      <c r="F113" s="171"/>
      <c r="G113" s="171"/>
      <c r="H113" s="171"/>
      <c r="I113" s="171"/>
      <c r="J113" s="171"/>
      <c r="K113" s="171"/>
      <c r="L113" s="172"/>
      <c r="M113" s="178"/>
      <c r="N113" s="178"/>
    </row>
    <row r="114" spans="1:14">
      <c r="A114" s="2121"/>
      <c r="B114" s="2039"/>
      <c r="C114" s="103">
        <v>2019</v>
      </c>
      <c r="D114" s="41"/>
      <c r="E114" s="170"/>
      <c r="F114" s="171"/>
      <c r="G114" s="171"/>
      <c r="H114" s="171"/>
      <c r="I114" s="171"/>
      <c r="J114" s="171"/>
      <c r="K114" s="171"/>
      <c r="L114" s="172"/>
      <c r="M114" s="178"/>
      <c r="N114" s="178"/>
    </row>
    <row r="115" spans="1:14">
      <c r="A115" s="2121"/>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120"/>
      <c r="B120" s="2039"/>
      <c r="C120" s="99">
        <v>2014</v>
      </c>
      <c r="D120" s="34"/>
      <c r="E120" s="167"/>
      <c r="F120" s="168"/>
      <c r="G120" s="168"/>
      <c r="H120" s="168"/>
      <c r="I120" s="168"/>
      <c r="J120" s="168"/>
      <c r="K120" s="168"/>
      <c r="L120" s="169"/>
      <c r="M120" s="178"/>
      <c r="N120" s="178"/>
    </row>
    <row r="121" spans="1:14">
      <c r="A121" s="2121"/>
      <c r="B121" s="2039"/>
      <c r="C121" s="103">
        <v>2015</v>
      </c>
      <c r="D121" s="41"/>
      <c r="E121" s="170"/>
      <c r="F121" s="171"/>
      <c r="G121" s="171"/>
      <c r="H121" s="171"/>
      <c r="I121" s="171"/>
      <c r="J121" s="171"/>
      <c r="K121" s="171"/>
      <c r="L121" s="172"/>
      <c r="M121" s="178"/>
      <c r="N121" s="178"/>
    </row>
    <row r="122" spans="1:14">
      <c r="A122" s="2121"/>
      <c r="B122" s="2039"/>
      <c r="C122" s="103">
        <v>2016</v>
      </c>
      <c r="D122" s="41"/>
      <c r="E122" s="170"/>
      <c r="F122" s="171"/>
      <c r="G122" s="171"/>
      <c r="H122" s="171"/>
      <c r="I122" s="171"/>
      <c r="J122" s="171"/>
      <c r="K122" s="171"/>
      <c r="L122" s="172"/>
      <c r="M122" s="178"/>
      <c r="N122" s="178"/>
    </row>
    <row r="123" spans="1:14">
      <c r="A123" s="2121"/>
      <c r="B123" s="2039"/>
      <c r="C123" s="103">
        <v>2017</v>
      </c>
      <c r="D123" s="41"/>
      <c r="E123" s="170"/>
      <c r="F123" s="171"/>
      <c r="G123" s="171"/>
      <c r="H123" s="171"/>
      <c r="I123" s="171"/>
      <c r="J123" s="171"/>
      <c r="K123" s="171"/>
      <c r="L123" s="172"/>
      <c r="M123" s="178"/>
      <c r="N123" s="178"/>
    </row>
    <row r="124" spans="1:14">
      <c r="A124" s="2121"/>
      <c r="B124" s="2039"/>
      <c r="C124" s="103">
        <v>2018</v>
      </c>
      <c r="D124" s="41"/>
      <c r="E124" s="170"/>
      <c r="F124" s="171"/>
      <c r="G124" s="171"/>
      <c r="H124" s="171"/>
      <c r="I124" s="171"/>
      <c r="J124" s="171"/>
      <c r="K124" s="171"/>
      <c r="L124" s="172"/>
      <c r="M124" s="178"/>
      <c r="N124" s="178"/>
    </row>
    <row r="125" spans="1:14">
      <c r="A125" s="2121"/>
      <c r="B125" s="2039"/>
      <c r="C125" s="103">
        <v>2019</v>
      </c>
      <c r="D125" s="41"/>
      <c r="E125" s="170"/>
      <c r="F125" s="171"/>
      <c r="G125" s="171"/>
      <c r="H125" s="171"/>
      <c r="I125" s="171"/>
      <c r="J125" s="171"/>
      <c r="K125" s="171"/>
      <c r="L125" s="172"/>
      <c r="M125" s="178"/>
      <c r="N125" s="178"/>
    </row>
    <row r="126" spans="1:14">
      <c r="A126" s="2121"/>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589" t="s">
        <v>9</v>
      </c>
      <c r="D129" s="182" t="s">
        <v>76</v>
      </c>
      <c r="E129" s="183"/>
      <c r="F129" s="183"/>
      <c r="G129" s="184"/>
      <c r="H129" s="178"/>
      <c r="I129" s="178"/>
      <c r="J129" s="178"/>
      <c r="K129" s="178"/>
      <c r="L129" s="178"/>
      <c r="M129" s="178"/>
      <c r="N129" s="178"/>
    </row>
    <row r="130" spans="1:16" ht="77.25" customHeight="1">
      <c r="A130" s="2044"/>
      <c r="B130" s="2046"/>
      <c r="C130" s="1590"/>
      <c r="D130" s="159" t="s">
        <v>77</v>
      </c>
      <c r="E130" s="186" t="s">
        <v>78</v>
      </c>
      <c r="F130" s="160" t="s">
        <v>79</v>
      </c>
      <c r="G130" s="187" t="s">
        <v>13</v>
      </c>
      <c r="H130" s="178"/>
      <c r="I130" s="178"/>
      <c r="J130" s="178"/>
      <c r="K130" s="178"/>
      <c r="L130" s="178"/>
      <c r="M130" s="178"/>
      <c r="N130" s="178"/>
    </row>
    <row r="131" spans="1:16" ht="15" customHeight="1">
      <c r="A131" s="2118"/>
      <c r="B131" s="2068"/>
      <c r="C131" s="99">
        <v>2015</v>
      </c>
      <c r="D131" s="33"/>
      <c r="E131" s="34"/>
      <c r="F131" s="34"/>
      <c r="G131" s="191">
        <f t="shared" ref="G131:G136" si="11">SUM(D131:F131)</f>
        <v>0</v>
      </c>
      <c r="H131" s="178"/>
      <c r="I131" s="178"/>
      <c r="J131" s="178"/>
      <c r="K131" s="178"/>
      <c r="L131" s="178"/>
      <c r="M131" s="178"/>
      <c r="N131" s="178"/>
    </row>
    <row r="132" spans="1:16">
      <c r="A132" s="2119"/>
      <c r="B132" s="2068"/>
      <c r="C132" s="103">
        <v>2016</v>
      </c>
      <c r="D132" s="40"/>
      <c r="E132" s="41"/>
      <c r="F132" s="41"/>
      <c r="G132" s="191">
        <f t="shared" si="11"/>
        <v>0</v>
      </c>
      <c r="H132" s="178"/>
      <c r="I132" s="178"/>
      <c r="J132" s="178"/>
      <c r="K132" s="178"/>
      <c r="L132" s="178"/>
      <c r="M132" s="178"/>
      <c r="N132" s="178"/>
    </row>
    <row r="133" spans="1:16">
      <c r="A133" s="2119"/>
      <c r="B133" s="2068"/>
      <c r="C133" s="103">
        <v>2017</v>
      </c>
      <c r="D133" s="40"/>
      <c r="E133" s="41"/>
      <c r="F133" s="41"/>
      <c r="G133" s="191">
        <f t="shared" si="11"/>
        <v>0</v>
      </c>
      <c r="H133" s="178"/>
      <c r="I133" s="178"/>
      <c r="J133" s="178"/>
      <c r="K133" s="178"/>
      <c r="L133" s="178"/>
      <c r="M133" s="178"/>
      <c r="N133" s="178"/>
    </row>
    <row r="134" spans="1:16">
      <c r="A134" s="2119"/>
      <c r="B134" s="2068"/>
      <c r="C134" s="103">
        <v>2018</v>
      </c>
      <c r="D134" s="40"/>
      <c r="E134" s="41"/>
      <c r="F134" s="41"/>
      <c r="G134" s="191">
        <f t="shared" si="11"/>
        <v>0</v>
      </c>
      <c r="H134" s="178"/>
      <c r="I134" s="178"/>
      <c r="J134" s="178"/>
      <c r="K134" s="178"/>
      <c r="L134" s="178"/>
      <c r="M134" s="178"/>
      <c r="N134" s="178"/>
    </row>
    <row r="135" spans="1:16">
      <c r="A135" s="2119"/>
      <c r="B135" s="2068"/>
      <c r="C135" s="103">
        <v>2019</v>
      </c>
      <c r="D135" s="40"/>
      <c r="E135" s="41"/>
      <c r="F135" s="41"/>
      <c r="G135" s="191">
        <f t="shared" si="11"/>
        <v>0</v>
      </c>
      <c r="H135" s="178"/>
      <c r="I135" s="178"/>
      <c r="J135" s="178"/>
      <c r="K135" s="178"/>
      <c r="L135" s="178"/>
      <c r="M135" s="178"/>
      <c r="N135" s="178"/>
    </row>
    <row r="136" spans="1:16">
      <c r="A136" s="211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120"/>
      <c r="B144" s="2039"/>
      <c r="C144" s="99">
        <v>2014</v>
      </c>
      <c r="D144" s="33"/>
      <c r="E144" s="33"/>
      <c r="F144" s="34"/>
      <c r="G144" s="168"/>
      <c r="H144" s="168"/>
      <c r="I144" s="210">
        <f>D144+F144+G144+H144</f>
        <v>0</v>
      </c>
      <c r="J144" s="211"/>
      <c r="K144" s="212"/>
      <c r="L144" s="211"/>
      <c r="M144" s="212"/>
      <c r="N144" s="213"/>
      <c r="O144" s="158"/>
      <c r="P144" s="158"/>
    </row>
    <row r="145" spans="1:16" ht="19.5" customHeight="1">
      <c r="A145" s="2121"/>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121"/>
      <c r="B146" s="2039"/>
      <c r="C146" s="103">
        <v>2016</v>
      </c>
      <c r="D146" s="40"/>
      <c r="E146" s="40"/>
      <c r="F146" s="41"/>
      <c r="G146" s="171"/>
      <c r="H146" s="171"/>
      <c r="I146" s="210">
        <f t="shared" si="13"/>
        <v>0</v>
      </c>
      <c r="J146" s="214"/>
      <c r="K146" s="215"/>
      <c r="L146" s="214"/>
      <c r="M146" s="215"/>
      <c r="N146" s="216"/>
      <c r="O146" s="158"/>
      <c r="P146" s="158"/>
    </row>
    <row r="147" spans="1:16" ht="17.25" customHeight="1">
      <c r="A147" s="2121"/>
      <c r="B147" s="2039"/>
      <c r="C147" s="103">
        <v>2017</v>
      </c>
      <c r="D147" s="40"/>
      <c r="E147" s="40"/>
      <c r="F147" s="41"/>
      <c r="G147" s="171"/>
      <c r="H147" s="171"/>
      <c r="I147" s="210">
        <f t="shared" si="13"/>
        <v>0</v>
      </c>
      <c r="J147" s="214"/>
      <c r="K147" s="215"/>
      <c r="L147" s="214"/>
      <c r="M147" s="215"/>
      <c r="N147" s="216"/>
      <c r="O147" s="158"/>
      <c r="P147" s="158"/>
    </row>
    <row r="148" spans="1:16" ht="19.5" customHeight="1">
      <c r="A148" s="2121"/>
      <c r="B148" s="2039"/>
      <c r="C148" s="103">
        <v>2018</v>
      </c>
      <c r="D148" s="40"/>
      <c r="E148" s="40"/>
      <c r="F148" s="41"/>
      <c r="G148" s="171"/>
      <c r="H148" s="171"/>
      <c r="I148" s="210">
        <f t="shared" si="13"/>
        <v>0</v>
      </c>
      <c r="J148" s="214"/>
      <c r="K148" s="215"/>
      <c r="L148" s="214"/>
      <c r="M148" s="215"/>
      <c r="N148" s="216"/>
      <c r="O148" s="158"/>
      <c r="P148" s="158"/>
    </row>
    <row r="149" spans="1:16" ht="19.5" customHeight="1">
      <c r="A149" s="2121"/>
      <c r="B149" s="2039"/>
      <c r="C149" s="103">
        <v>2019</v>
      </c>
      <c r="D149" s="40"/>
      <c r="E149" s="40"/>
      <c r="F149" s="41"/>
      <c r="G149" s="171"/>
      <c r="H149" s="171"/>
      <c r="I149" s="210">
        <f t="shared" si="13"/>
        <v>0</v>
      </c>
      <c r="J149" s="214"/>
      <c r="K149" s="215"/>
      <c r="L149" s="214"/>
      <c r="M149" s="215"/>
      <c r="N149" s="216"/>
      <c r="O149" s="158"/>
      <c r="P149" s="158"/>
    </row>
    <row r="150" spans="1:16" ht="18.75" customHeight="1">
      <c r="A150" s="2121"/>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1591"/>
      <c r="L153" s="1591"/>
      <c r="M153" s="1591"/>
      <c r="N153" s="1591"/>
      <c r="O153" s="158"/>
      <c r="P153" s="158"/>
    </row>
    <row r="154" spans="1:16" ht="49.5" customHeight="1">
      <c r="A154" s="2125"/>
      <c r="B154" s="2075"/>
      <c r="C154" s="2082"/>
      <c r="D154" s="225" t="s">
        <v>97</v>
      </c>
      <c r="E154" s="226" t="s">
        <v>98</v>
      </c>
      <c r="F154" s="227" t="s">
        <v>99</v>
      </c>
      <c r="G154" s="228" t="s">
        <v>100</v>
      </c>
      <c r="H154" s="225" t="s">
        <v>101</v>
      </c>
      <c r="I154" s="226" t="s">
        <v>102</v>
      </c>
      <c r="J154" s="229" t="s">
        <v>93</v>
      </c>
      <c r="K154" s="1591"/>
      <c r="L154" s="1591"/>
      <c r="M154" s="1591"/>
      <c r="N154" s="1591"/>
      <c r="O154" s="158"/>
      <c r="P154" s="158"/>
    </row>
    <row r="155" spans="1:16" ht="18.75" customHeight="1">
      <c r="A155" s="2120"/>
      <c r="B155" s="2039"/>
      <c r="C155" s="230">
        <v>2014</v>
      </c>
      <c r="D155" s="211"/>
      <c r="E155" s="168"/>
      <c r="F155" s="212"/>
      <c r="G155" s="210">
        <f>SUM(D155:F155)</f>
        <v>0</v>
      </c>
      <c r="H155" s="211"/>
      <c r="I155" s="168"/>
      <c r="J155" s="169"/>
      <c r="O155" s="158"/>
      <c r="P155" s="158"/>
    </row>
    <row r="156" spans="1:16" ht="19.5" customHeight="1">
      <c r="A156" s="2121"/>
      <c r="B156" s="2039"/>
      <c r="C156" s="231">
        <v>2015</v>
      </c>
      <c r="D156" s="214"/>
      <c r="E156" s="171"/>
      <c r="F156" s="215"/>
      <c r="G156" s="210">
        <f t="shared" ref="G156:G161" si="15">SUM(D156:F156)</f>
        <v>0</v>
      </c>
      <c r="H156" s="214"/>
      <c r="I156" s="171"/>
      <c r="J156" s="172"/>
      <c r="O156" s="158"/>
      <c r="P156" s="158"/>
    </row>
    <row r="157" spans="1:16" ht="17.25" customHeight="1">
      <c r="A157" s="2121"/>
      <c r="B157" s="2039"/>
      <c r="C157" s="231">
        <v>2016</v>
      </c>
      <c r="D157" s="214"/>
      <c r="E157" s="171"/>
      <c r="F157" s="215"/>
      <c r="G157" s="210">
        <f t="shared" si="15"/>
        <v>0</v>
      </c>
      <c r="H157" s="214"/>
      <c r="I157" s="171"/>
      <c r="J157" s="172"/>
      <c r="O157" s="158"/>
      <c r="P157" s="158"/>
    </row>
    <row r="158" spans="1:16" ht="15" customHeight="1">
      <c r="A158" s="2121"/>
      <c r="B158" s="2039"/>
      <c r="C158" s="231">
        <v>2017</v>
      </c>
      <c r="D158" s="214"/>
      <c r="E158" s="171"/>
      <c r="F158" s="215"/>
      <c r="G158" s="210">
        <f t="shared" si="15"/>
        <v>0</v>
      </c>
      <c r="H158" s="214"/>
      <c r="I158" s="171"/>
      <c r="J158" s="172"/>
      <c r="O158" s="158"/>
      <c r="P158" s="158"/>
    </row>
    <row r="159" spans="1:16" ht="19.5" customHeight="1">
      <c r="A159" s="2121"/>
      <c r="B159" s="2039"/>
      <c r="C159" s="231">
        <v>2018</v>
      </c>
      <c r="D159" s="214"/>
      <c r="E159" s="171"/>
      <c r="F159" s="215"/>
      <c r="G159" s="210">
        <f t="shared" si="15"/>
        <v>0</v>
      </c>
      <c r="H159" s="214"/>
      <c r="I159" s="171"/>
      <c r="J159" s="172"/>
      <c r="O159" s="158"/>
      <c r="P159" s="158"/>
    </row>
    <row r="160" spans="1:16" ht="15" customHeight="1">
      <c r="A160" s="2121"/>
      <c r="B160" s="2039"/>
      <c r="C160" s="231">
        <v>2019</v>
      </c>
      <c r="D160" s="214"/>
      <c r="E160" s="171"/>
      <c r="F160" s="215"/>
      <c r="G160" s="210">
        <f t="shared" si="15"/>
        <v>0</v>
      </c>
      <c r="H160" s="214"/>
      <c r="I160" s="171"/>
      <c r="J160" s="172"/>
      <c r="O160" s="158"/>
      <c r="P160" s="158"/>
    </row>
    <row r="161" spans="1:18" ht="17.25" customHeight="1">
      <c r="A161" s="2121"/>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473"/>
    </row>
    <row r="165" spans="1:18" ht="15.75" customHeight="1">
      <c r="A165" s="2094"/>
      <c r="B165" s="2024"/>
      <c r="C165" s="248">
        <v>2014</v>
      </c>
      <c r="D165" s="168"/>
      <c r="E165" s="168"/>
      <c r="F165" s="168"/>
      <c r="G165" s="168"/>
      <c r="H165" s="168"/>
      <c r="I165" s="169"/>
      <c r="J165" s="476">
        <f>SUM(D165,F165,H165)</f>
        <v>0</v>
      </c>
      <c r="K165" s="250">
        <f>SUM(E165,G165,I165)</f>
        <v>0</v>
      </c>
      <c r="L165" s="473"/>
    </row>
    <row r="166" spans="1:18">
      <c r="A166" s="2095"/>
      <c r="B166" s="2026"/>
      <c r="C166" s="251">
        <v>2015</v>
      </c>
      <c r="D166" s="252"/>
      <c r="E166" s="252"/>
      <c r="F166" s="252"/>
      <c r="G166" s="252"/>
      <c r="H166" s="252"/>
      <c r="I166" s="253"/>
      <c r="J166" s="477">
        <f t="shared" ref="J166:K171" si="17">SUM(D166,F166,H166)</f>
        <v>0</v>
      </c>
      <c r="K166" s="255">
        <f t="shared" si="17"/>
        <v>0</v>
      </c>
      <c r="L166" s="473"/>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473"/>
    </row>
    <row r="170" spans="1:18">
      <c r="A170" s="2095"/>
      <c r="B170" s="2026"/>
      <c r="C170" s="251">
        <v>2019</v>
      </c>
      <c r="D170" s="158"/>
      <c r="E170" s="252"/>
      <c r="F170" s="252"/>
      <c r="G170" s="252"/>
      <c r="H170" s="257"/>
      <c r="I170" s="253"/>
      <c r="J170" s="477">
        <f t="shared" si="17"/>
        <v>0</v>
      </c>
      <c r="K170" s="255">
        <f t="shared" si="17"/>
        <v>0</v>
      </c>
      <c r="L170" s="473"/>
    </row>
    <row r="171" spans="1:18">
      <c r="A171" s="2095"/>
      <c r="B171" s="2026"/>
      <c r="C171" s="256">
        <v>2020</v>
      </c>
      <c r="D171" s="252"/>
      <c r="E171" s="252"/>
      <c r="F171" s="252"/>
      <c r="G171" s="252"/>
      <c r="H171" s="252"/>
      <c r="I171" s="253"/>
      <c r="J171" s="477">
        <f t="shared" si="17"/>
        <v>0</v>
      </c>
      <c r="K171" s="255">
        <f t="shared" si="17"/>
        <v>0</v>
      </c>
      <c r="L171" s="473"/>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473"/>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59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59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121" t="s">
        <v>535</v>
      </c>
      <c r="B178" s="2039"/>
      <c r="C178" s="99">
        <v>2014</v>
      </c>
      <c r="D178" s="33"/>
      <c r="E178" s="34"/>
      <c r="F178" s="34"/>
      <c r="G178" s="278">
        <f>SUM(D178:F178)</f>
        <v>0</v>
      </c>
      <c r="H178" s="148"/>
      <c r="I178" s="148"/>
      <c r="J178" s="34"/>
      <c r="K178" s="34"/>
      <c r="L178" s="34"/>
      <c r="M178" s="34"/>
      <c r="N178" s="34"/>
      <c r="O178" s="37"/>
    </row>
    <row r="179" spans="1:15">
      <c r="A179" s="2121"/>
      <c r="B179" s="2039"/>
      <c r="C179" s="103">
        <v>2015</v>
      </c>
      <c r="D179" s="40"/>
      <c r="E179" s="41"/>
      <c r="F179" s="41"/>
      <c r="G179" s="278">
        <f t="shared" ref="G179:G184" si="19">SUM(D179:F179)</f>
        <v>0</v>
      </c>
      <c r="H179" s="279"/>
      <c r="I179" s="105"/>
      <c r="J179" s="41"/>
      <c r="K179" s="41"/>
      <c r="L179" s="41"/>
      <c r="M179" s="41"/>
      <c r="N179" s="41"/>
      <c r="O179" s="86"/>
    </row>
    <row r="180" spans="1:15">
      <c r="A180" s="2121"/>
      <c r="B180" s="2039"/>
      <c r="C180" s="103">
        <v>2016</v>
      </c>
      <c r="D180" s="40">
        <v>27</v>
      </c>
      <c r="E180" s="41"/>
      <c r="F180" s="41"/>
      <c r="G180" s="278">
        <f t="shared" si="19"/>
        <v>27</v>
      </c>
      <c r="H180" s="279">
        <v>27</v>
      </c>
      <c r="I180" s="105"/>
      <c r="J180" s="41"/>
      <c r="K180" s="41"/>
      <c r="L180" s="41"/>
      <c r="M180" s="41"/>
      <c r="N180" s="41"/>
      <c r="O180" s="86">
        <v>27</v>
      </c>
    </row>
    <row r="181" spans="1:15">
      <c r="A181" s="2121"/>
      <c r="B181" s="2039"/>
      <c r="C181" s="103">
        <v>2017</v>
      </c>
      <c r="D181" s="40"/>
      <c r="E181" s="41"/>
      <c r="F181" s="41"/>
      <c r="G181" s="278">
        <f t="shared" si="19"/>
        <v>0</v>
      </c>
      <c r="H181" s="279"/>
      <c r="I181" s="105"/>
      <c r="J181" s="41"/>
      <c r="K181" s="41"/>
      <c r="L181" s="41"/>
      <c r="M181" s="41"/>
      <c r="N181" s="41"/>
      <c r="O181" s="86"/>
    </row>
    <row r="182" spans="1:15">
      <c r="A182" s="2121"/>
      <c r="B182" s="2039"/>
      <c r="C182" s="103">
        <v>2018</v>
      </c>
      <c r="D182" s="40"/>
      <c r="E182" s="41"/>
      <c r="F182" s="41"/>
      <c r="G182" s="278">
        <f t="shared" si="19"/>
        <v>0</v>
      </c>
      <c r="H182" s="279"/>
      <c r="I182" s="105"/>
      <c r="J182" s="41"/>
      <c r="K182" s="41"/>
      <c r="L182" s="41"/>
      <c r="M182" s="41"/>
      <c r="N182" s="41"/>
      <c r="O182" s="86"/>
    </row>
    <row r="183" spans="1:15">
      <c r="A183" s="2121"/>
      <c r="B183" s="2039"/>
      <c r="C183" s="103">
        <v>2019</v>
      </c>
      <c r="D183" s="40"/>
      <c r="E183" s="41"/>
      <c r="F183" s="41"/>
      <c r="G183" s="278">
        <f t="shared" si="19"/>
        <v>0</v>
      </c>
      <c r="H183" s="279"/>
      <c r="I183" s="105"/>
      <c r="J183" s="41"/>
      <c r="K183" s="41"/>
      <c r="L183" s="41"/>
      <c r="M183" s="41"/>
      <c r="N183" s="41"/>
      <c r="O183" s="86"/>
    </row>
    <row r="184" spans="1:15">
      <c r="A184" s="2121"/>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27</v>
      </c>
      <c r="E185" s="109">
        <f>SUM(E178:E184)</f>
        <v>0</v>
      </c>
      <c r="F185" s="109">
        <f>SUM(F178:F184)</f>
        <v>0</v>
      </c>
      <c r="G185" s="217">
        <f t="shared" ref="G185:O185" si="20">SUM(G178:G184)</f>
        <v>27</v>
      </c>
      <c r="H185" s="280">
        <f t="shared" si="20"/>
        <v>27</v>
      </c>
      <c r="I185" s="108">
        <f t="shared" si="20"/>
        <v>0</v>
      </c>
      <c r="J185" s="109">
        <f t="shared" si="20"/>
        <v>0</v>
      </c>
      <c r="K185" s="109">
        <f t="shared" si="20"/>
        <v>0</v>
      </c>
      <c r="L185" s="109">
        <f t="shared" si="20"/>
        <v>0</v>
      </c>
      <c r="M185" s="109">
        <f t="shared" si="20"/>
        <v>0</v>
      </c>
      <c r="N185" s="109">
        <f t="shared" si="20"/>
        <v>0</v>
      </c>
      <c r="O185" s="110">
        <f t="shared" si="20"/>
        <v>27</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535</v>
      </c>
      <c r="B189" s="2127"/>
      <c r="C189" s="285">
        <v>2014</v>
      </c>
      <c r="D189" s="126"/>
      <c r="E189" s="102"/>
      <c r="F189" s="102"/>
      <c r="G189" s="286">
        <f>SUM(D189:F189)</f>
        <v>0</v>
      </c>
      <c r="H189" s="101"/>
      <c r="I189" s="102"/>
      <c r="J189" s="102"/>
      <c r="K189" s="102"/>
      <c r="L189" s="127"/>
    </row>
    <row r="190" spans="1:15">
      <c r="A190" s="2128"/>
      <c r="B190" s="2068"/>
      <c r="C190" s="74">
        <v>2015</v>
      </c>
      <c r="D190" s="40"/>
      <c r="E190" s="41"/>
      <c r="F190" s="41"/>
      <c r="G190" s="286">
        <f t="shared" ref="G190:G195" si="21">SUM(D190:F190)</f>
        <v>0</v>
      </c>
      <c r="H190" s="105"/>
      <c r="I190" s="41"/>
      <c r="J190" s="41"/>
      <c r="K190" s="41"/>
      <c r="L190" s="86"/>
    </row>
    <row r="191" spans="1:15">
      <c r="A191" s="2128"/>
      <c r="B191" s="2068"/>
      <c r="C191" s="74">
        <v>2016</v>
      </c>
      <c r="D191" s="40">
        <v>1000</v>
      </c>
      <c r="E191" s="41"/>
      <c r="F191" s="41"/>
      <c r="G191" s="286">
        <f t="shared" si="21"/>
        <v>1000</v>
      </c>
      <c r="H191" s="105"/>
      <c r="I191" s="41"/>
      <c r="J191" s="41"/>
      <c r="K191" s="41"/>
      <c r="L191" s="86">
        <v>1000</v>
      </c>
    </row>
    <row r="192" spans="1:15">
      <c r="A192" s="2128"/>
      <c r="B192" s="2068"/>
      <c r="C192" s="74">
        <v>2017</v>
      </c>
      <c r="D192" s="40"/>
      <c r="E192" s="41"/>
      <c r="F192" s="41"/>
      <c r="G192" s="286">
        <f t="shared" si="21"/>
        <v>0</v>
      </c>
      <c r="H192" s="105"/>
      <c r="I192" s="41"/>
      <c r="J192" s="41"/>
      <c r="K192" s="41"/>
      <c r="L192" s="86"/>
    </row>
    <row r="193" spans="1:14">
      <c r="A193" s="2128"/>
      <c r="B193" s="2068"/>
      <c r="C193" s="74">
        <v>2018</v>
      </c>
      <c r="D193" s="40"/>
      <c r="E193" s="41"/>
      <c r="F193" s="41"/>
      <c r="G193" s="286">
        <f t="shared" si="21"/>
        <v>0</v>
      </c>
      <c r="H193" s="105"/>
      <c r="I193" s="41"/>
      <c r="J193" s="41"/>
      <c r="K193" s="41"/>
      <c r="L193" s="86"/>
    </row>
    <row r="194" spans="1:14">
      <c r="A194" s="2128"/>
      <c r="B194" s="2068"/>
      <c r="C194" s="74">
        <v>2019</v>
      </c>
      <c r="D194" s="40"/>
      <c r="E194" s="41"/>
      <c r="F194" s="41"/>
      <c r="G194" s="286">
        <f t="shared" si="21"/>
        <v>0</v>
      </c>
      <c r="H194" s="105"/>
      <c r="I194" s="41"/>
      <c r="J194" s="41"/>
      <c r="K194" s="41"/>
      <c r="L194" s="86"/>
    </row>
    <row r="195" spans="1:14">
      <c r="A195" s="212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1000</v>
      </c>
      <c r="E196" s="109">
        <f t="shared" si="22"/>
        <v>0</v>
      </c>
      <c r="F196" s="109">
        <f t="shared" si="22"/>
        <v>0</v>
      </c>
      <c r="G196" s="290">
        <f t="shared" si="22"/>
        <v>1000</v>
      </c>
      <c r="H196" s="108">
        <f t="shared" si="22"/>
        <v>0</v>
      </c>
      <c r="I196" s="109">
        <f t="shared" si="22"/>
        <v>0</v>
      </c>
      <c r="J196" s="109">
        <f t="shared" si="22"/>
        <v>0</v>
      </c>
      <c r="K196" s="109">
        <f t="shared" si="22"/>
        <v>0</v>
      </c>
      <c r="L196" s="110">
        <f t="shared" si="22"/>
        <v>1000</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59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119"/>
      <c r="B202" s="2068"/>
      <c r="C202" s="73">
        <v>2014</v>
      </c>
      <c r="D202" s="33"/>
      <c r="E202" s="34"/>
      <c r="F202" s="34"/>
      <c r="G202" s="32"/>
      <c r="H202" s="303"/>
      <c r="I202" s="304"/>
      <c r="J202" s="305"/>
      <c r="K202" s="34"/>
      <c r="L202" s="37"/>
    </row>
    <row r="203" spans="1:14">
      <c r="A203" s="2119"/>
      <c r="B203" s="2068"/>
      <c r="C203" s="74">
        <v>2015</v>
      </c>
      <c r="D203" s="40"/>
      <c r="E203" s="41"/>
      <c r="F203" s="41"/>
      <c r="G203" s="39"/>
      <c r="H203" s="306"/>
      <c r="I203" s="307"/>
      <c r="J203" s="308"/>
      <c r="K203" s="41"/>
      <c r="L203" s="86"/>
    </row>
    <row r="204" spans="1:14">
      <c r="A204" s="2119"/>
      <c r="B204" s="2068"/>
      <c r="C204" s="74">
        <v>2016</v>
      </c>
      <c r="D204" s="40"/>
      <c r="E204" s="41"/>
      <c r="F204" s="41"/>
      <c r="G204" s="39"/>
      <c r="H204" s="306"/>
      <c r="I204" s="307"/>
      <c r="J204" s="308"/>
      <c r="K204" s="41"/>
      <c r="L204" s="86"/>
    </row>
    <row r="205" spans="1:14">
      <c r="A205" s="2119"/>
      <c r="B205" s="2068"/>
      <c r="C205" s="74">
        <v>2017</v>
      </c>
      <c r="D205" s="40"/>
      <c r="E205" s="41"/>
      <c r="F205" s="41"/>
      <c r="G205" s="39"/>
      <c r="H205" s="306"/>
      <c r="I205" s="307"/>
      <c r="J205" s="308"/>
      <c r="K205" s="41"/>
      <c r="L205" s="86"/>
    </row>
    <row r="206" spans="1:14">
      <c r="A206" s="2119"/>
      <c r="B206" s="2068"/>
      <c r="C206" s="74">
        <v>2018</v>
      </c>
      <c r="D206" s="40"/>
      <c r="E206" s="41"/>
      <c r="F206" s="41"/>
      <c r="G206" s="39"/>
      <c r="H206" s="306"/>
      <c r="I206" s="307"/>
      <c r="J206" s="308"/>
      <c r="K206" s="41"/>
      <c r="L206" s="86"/>
    </row>
    <row r="207" spans="1:14">
      <c r="A207" s="2119"/>
      <c r="B207" s="2068"/>
      <c r="C207" s="74">
        <v>2019</v>
      </c>
      <c r="D207" s="40"/>
      <c r="E207" s="41"/>
      <c r="F207" s="41"/>
      <c r="G207" s="39"/>
      <c r="H207" s="306"/>
      <c r="I207" s="307"/>
      <c r="J207" s="308"/>
      <c r="K207" s="41"/>
      <c r="L207" s="86"/>
    </row>
    <row r="208" spans="1:14">
      <c r="A208" s="211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c r="C213" s="73"/>
      <c r="D213" s="128"/>
      <c r="E213" s="128"/>
      <c r="F213" s="128"/>
      <c r="G213" s="128"/>
      <c r="H213" s="128"/>
      <c r="I213" s="327"/>
    </row>
    <row r="214" spans="1:12">
      <c r="A214" t="s">
        <v>153</v>
      </c>
      <c r="B214" s="2171"/>
      <c r="C214" s="73"/>
      <c r="D214" s="128"/>
      <c r="E214" s="128"/>
      <c r="F214" s="128"/>
      <c r="G214" s="128"/>
      <c r="H214" s="128"/>
      <c r="I214" s="327"/>
    </row>
    <row r="215" spans="1:12">
      <c r="A215" t="s">
        <v>155</v>
      </c>
      <c r="B215" s="2171"/>
      <c r="C215" s="73"/>
      <c r="D215" s="128"/>
      <c r="E215" s="128"/>
      <c r="F215" s="128"/>
      <c r="G215" s="128"/>
      <c r="H215" s="128"/>
      <c r="I215" s="327"/>
    </row>
    <row r="216" spans="1:12">
      <c r="A216" t="s">
        <v>157</v>
      </c>
      <c r="B216" s="2171"/>
      <c r="C216" s="73"/>
      <c r="D216" s="128"/>
      <c r="E216" s="128">
        <v>49999.99</v>
      </c>
      <c r="F216" s="128"/>
      <c r="G216" s="128"/>
      <c r="H216" s="128"/>
      <c r="I216" s="327"/>
    </row>
    <row r="217" spans="1:12">
      <c r="A217" t="s">
        <v>158</v>
      </c>
      <c r="B217" s="2171"/>
      <c r="C217" s="73"/>
      <c r="D217" s="128"/>
      <c r="E217" s="128"/>
      <c r="F217" s="128"/>
      <c r="G217" s="128"/>
      <c r="H217" s="128"/>
      <c r="I217" s="327"/>
    </row>
    <row r="218" spans="1:12" ht="30">
      <c r="A218" s="1591" t="s">
        <v>159</v>
      </c>
      <c r="B218" s="2171"/>
      <c r="C218" s="73"/>
      <c r="D218" s="128"/>
      <c r="E218" s="128"/>
      <c r="F218" s="128"/>
      <c r="G218" s="128"/>
      <c r="H218" s="128"/>
      <c r="I218" s="327"/>
    </row>
    <row r="219" spans="1:12" ht="15.75" thickBot="1">
      <c r="A219" s="349"/>
      <c r="B219" s="2172"/>
      <c r="C219" s="45" t="s">
        <v>13</v>
      </c>
      <c r="D219" s="333">
        <f>SUM(D214:D218)</f>
        <v>0</v>
      </c>
      <c r="E219" s="333">
        <f t="shared" ref="E219:I219" si="24">SUM(E214:E218)</f>
        <v>49999.99</v>
      </c>
      <c r="F219" s="333">
        <f t="shared" si="24"/>
        <v>0</v>
      </c>
      <c r="G219" s="333">
        <f t="shared" si="24"/>
        <v>0</v>
      </c>
      <c r="H219" s="333">
        <f t="shared" si="24"/>
        <v>0</v>
      </c>
      <c r="I219" s="333">
        <f t="shared" si="24"/>
        <v>0</v>
      </c>
    </row>
    <row r="221" spans="1:12">
      <c r="A221" t="s">
        <v>536</v>
      </c>
    </row>
    <row r="227" spans="1:1">
      <c r="A227" s="159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U231"/>
  <sheetViews>
    <sheetView topLeftCell="B167" zoomScale="80" zoomScaleNormal="80" workbookViewId="0">
      <selection activeCell="H54" sqref="H54:H55"/>
    </sheetView>
  </sheetViews>
  <sheetFormatPr defaultRowHeight="15"/>
  <cols>
    <col min="1" max="1" width="113.28515625" customWidth="1"/>
    <col min="2" max="2" width="25.140625" customWidth="1"/>
    <col min="3" max="3" width="12.5703125" customWidth="1"/>
    <col min="4" max="4" width="21.85546875" customWidth="1"/>
    <col min="5" max="5" width="21" customWidth="1"/>
    <col min="6" max="6" width="20.42578125" customWidth="1"/>
    <col min="7" max="7" width="21.28515625" customWidth="1"/>
    <col min="8" max="8" width="25.140625" customWidth="1"/>
    <col min="9" max="9" width="23.85546875" customWidth="1"/>
    <col min="10" max="10" width="22.7109375" customWidth="1"/>
    <col min="11" max="11" width="27" customWidth="1"/>
    <col min="12" max="12" width="23.28515625" customWidth="1"/>
    <col min="13" max="13" width="21.85546875" customWidth="1"/>
    <col min="14" max="14" width="23.28515625" customWidth="1"/>
    <col min="15" max="15" width="21" customWidth="1"/>
    <col min="21" max="21" width="10.28515625" bestFit="1" customWidth="1"/>
  </cols>
  <sheetData>
    <row r="1" spans="1:18" ht="31.5">
      <c r="A1" s="2" t="s">
        <v>0</v>
      </c>
      <c r="B1" s="2" t="s">
        <v>537</v>
      </c>
      <c r="C1" s="2"/>
      <c r="D1" s="2"/>
      <c r="E1" s="2"/>
      <c r="F1" s="2"/>
      <c r="G1" s="2"/>
      <c r="H1" s="2"/>
      <c r="I1" s="2"/>
      <c r="J1" s="2"/>
      <c r="K1" s="2"/>
      <c r="L1" s="2"/>
      <c r="M1" s="2"/>
      <c r="N1" s="2"/>
      <c r="O1" s="2"/>
      <c r="P1" s="2"/>
      <c r="Q1" s="2"/>
      <c r="R1" s="2"/>
    </row>
    <row r="2" spans="1:18" ht="32.25" thickBot="1">
      <c r="A2" s="2"/>
      <c r="B2" s="2"/>
      <c r="C2" s="2"/>
      <c r="D2" s="2"/>
      <c r="E2" s="2"/>
      <c r="F2" s="2"/>
      <c r="G2" s="2"/>
      <c r="H2" s="2"/>
      <c r="I2" s="2"/>
      <c r="J2" s="2"/>
      <c r="K2" s="2"/>
      <c r="L2" s="2"/>
      <c r="M2" s="2"/>
      <c r="N2" s="2"/>
      <c r="O2" s="2"/>
      <c r="P2" s="2"/>
      <c r="Q2" s="2"/>
      <c r="R2" s="2"/>
    </row>
    <row r="3" spans="1:18" ht="31.5">
      <c r="A3" s="354" t="s">
        <v>2</v>
      </c>
      <c r="B3" s="355"/>
      <c r="C3" s="355"/>
      <c r="D3" s="355"/>
      <c r="E3" s="355"/>
      <c r="F3" s="1997"/>
      <c r="G3" s="1997"/>
      <c r="H3" s="1997"/>
      <c r="I3" s="1997"/>
      <c r="J3" s="1997"/>
      <c r="K3" s="1997"/>
      <c r="L3" s="1997"/>
      <c r="M3" s="1997"/>
      <c r="N3" s="1997"/>
      <c r="O3" s="1998"/>
      <c r="P3" s="5"/>
      <c r="Q3" s="5"/>
      <c r="R3" s="5"/>
    </row>
    <row r="4" spans="1:18" ht="31.5">
      <c r="A4" s="1999" t="s">
        <v>538</v>
      </c>
      <c r="B4" s="2000"/>
      <c r="C4" s="2000"/>
      <c r="D4" s="2000"/>
      <c r="E4" s="2000"/>
      <c r="F4" s="2000"/>
      <c r="G4" s="2000"/>
      <c r="H4" s="2000"/>
      <c r="I4" s="2000"/>
      <c r="J4" s="2000"/>
      <c r="K4" s="2000"/>
      <c r="L4" s="2000"/>
      <c r="M4" s="2000"/>
      <c r="N4" s="2000"/>
      <c r="O4" s="2001"/>
      <c r="P4" s="5"/>
      <c r="Q4" s="5"/>
      <c r="R4" s="5"/>
    </row>
    <row r="5" spans="1:18" ht="31.5">
      <c r="A5" s="1999"/>
      <c r="B5" s="2000"/>
      <c r="C5" s="2000"/>
      <c r="D5" s="2000"/>
      <c r="E5" s="2000"/>
      <c r="F5" s="2000"/>
      <c r="G5" s="2000"/>
      <c r="H5" s="2000"/>
      <c r="I5" s="2000"/>
      <c r="J5" s="2000"/>
      <c r="K5" s="2000"/>
      <c r="L5" s="2000"/>
      <c r="M5" s="2000"/>
      <c r="N5" s="2000"/>
      <c r="O5" s="2001"/>
      <c r="P5" s="5"/>
      <c r="Q5" s="5"/>
      <c r="R5" s="5"/>
    </row>
    <row r="6" spans="1:18" ht="31.5">
      <c r="A6" s="1999"/>
      <c r="B6" s="2000"/>
      <c r="C6" s="2000"/>
      <c r="D6" s="2000"/>
      <c r="E6" s="2000"/>
      <c r="F6" s="2000"/>
      <c r="G6" s="2000"/>
      <c r="H6" s="2000"/>
      <c r="I6" s="2000"/>
      <c r="J6" s="2000"/>
      <c r="K6" s="2000"/>
      <c r="L6" s="2000"/>
      <c r="M6" s="2000"/>
      <c r="N6" s="2000"/>
      <c r="O6" s="2001"/>
      <c r="P6" s="5"/>
      <c r="Q6" s="5"/>
      <c r="R6" s="5"/>
    </row>
    <row r="7" spans="1:18" ht="31.5">
      <c r="A7" s="1999"/>
      <c r="B7" s="2000"/>
      <c r="C7" s="2000"/>
      <c r="D7" s="2000"/>
      <c r="E7" s="2000"/>
      <c r="F7" s="2000"/>
      <c r="G7" s="2000"/>
      <c r="H7" s="2000"/>
      <c r="I7" s="2000"/>
      <c r="J7" s="2000"/>
      <c r="K7" s="2000"/>
      <c r="L7" s="2000"/>
      <c r="M7" s="2000"/>
      <c r="N7" s="2000"/>
      <c r="O7" s="2001"/>
      <c r="P7" s="5"/>
      <c r="Q7" s="5"/>
      <c r="R7" s="5"/>
    </row>
    <row r="8" spans="1:18" ht="31.5">
      <c r="A8" s="1999"/>
      <c r="B8" s="2000"/>
      <c r="C8" s="2000"/>
      <c r="D8" s="2000"/>
      <c r="E8" s="2000"/>
      <c r="F8" s="2000"/>
      <c r="G8" s="2000"/>
      <c r="H8" s="2000"/>
      <c r="I8" s="2000"/>
      <c r="J8" s="2000"/>
      <c r="K8" s="2000"/>
      <c r="L8" s="2000"/>
      <c r="M8" s="2000"/>
      <c r="N8" s="2000"/>
      <c r="O8" s="2001"/>
      <c r="P8" s="5"/>
      <c r="Q8" s="5"/>
      <c r="R8" s="5"/>
    </row>
    <row r="9" spans="1:18" ht="31.5">
      <c r="A9" s="1999"/>
      <c r="B9" s="2000"/>
      <c r="C9" s="2000"/>
      <c r="D9" s="2000"/>
      <c r="E9" s="2000"/>
      <c r="F9" s="2000"/>
      <c r="G9" s="2000"/>
      <c r="H9" s="2000"/>
      <c r="I9" s="2000"/>
      <c r="J9" s="2000"/>
      <c r="K9" s="2000"/>
      <c r="L9" s="2000"/>
      <c r="M9" s="2000"/>
      <c r="N9" s="2000"/>
      <c r="O9" s="2001"/>
      <c r="P9" s="5"/>
      <c r="Q9" s="5"/>
      <c r="R9" s="5"/>
    </row>
    <row r="10" spans="1:18" ht="32.25" thickBot="1">
      <c r="A10" s="2002"/>
      <c r="B10" s="2003"/>
      <c r="C10" s="2003"/>
      <c r="D10" s="2003"/>
      <c r="E10" s="2003"/>
      <c r="F10" s="2003"/>
      <c r="G10" s="2003"/>
      <c r="H10" s="2003"/>
      <c r="I10" s="2003"/>
      <c r="J10" s="2003"/>
      <c r="K10" s="2003"/>
      <c r="L10" s="2003"/>
      <c r="M10" s="2003"/>
      <c r="N10" s="2003"/>
      <c r="O10" s="2004"/>
      <c r="P10" s="5"/>
      <c r="Q10" s="5"/>
      <c r="R10" s="5"/>
    </row>
    <row r="11" spans="1:18" ht="31.5">
      <c r="A11" s="2"/>
      <c r="B11" s="2"/>
      <c r="C11" s="2"/>
      <c r="D11" s="2"/>
      <c r="E11" s="2"/>
      <c r="F11" s="2"/>
      <c r="G11" s="2"/>
      <c r="H11" s="2"/>
      <c r="I11" s="2"/>
      <c r="J11" s="2"/>
      <c r="K11" s="2"/>
      <c r="L11" s="2"/>
      <c r="M11" s="2"/>
      <c r="N11" s="2"/>
      <c r="O11" s="2"/>
      <c r="P11" s="2"/>
      <c r="Q11" s="2"/>
      <c r="R11" s="2"/>
    </row>
    <row r="13" spans="1:18" ht="21">
      <c r="A13" s="6" t="s">
        <v>4</v>
      </c>
      <c r="B13" s="6"/>
      <c r="C13" s="7"/>
      <c r="D13" s="7"/>
      <c r="E13" s="7"/>
      <c r="F13" s="7"/>
      <c r="G13" s="7"/>
      <c r="H13" s="7"/>
      <c r="I13" s="7"/>
      <c r="J13" s="7"/>
      <c r="K13" s="7"/>
      <c r="L13" s="7"/>
      <c r="M13" s="7"/>
      <c r="N13" s="7"/>
      <c r="O13" s="7"/>
    </row>
    <row r="14" spans="1:18" ht="15.75" thickBot="1">
      <c r="P14" s="8"/>
      <c r="Q14" s="8"/>
      <c r="R14" s="8"/>
    </row>
    <row r="15" spans="1:18" ht="18.75">
      <c r="A15" s="356"/>
      <c r="B15" s="357"/>
      <c r="C15" s="11"/>
      <c r="D15" s="2112" t="s">
        <v>5</v>
      </c>
      <c r="E15" s="2113"/>
      <c r="F15" s="2113"/>
      <c r="G15" s="2113"/>
      <c r="H15" s="12"/>
      <c r="I15" s="13" t="s">
        <v>6</v>
      </c>
      <c r="J15" s="14"/>
      <c r="K15" s="14"/>
      <c r="L15" s="14"/>
      <c r="M15" s="14"/>
      <c r="N15" s="14"/>
      <c r="O15" s="15"/>
      <c r="P15" s="16"/>
      <c r="Q15" s="17"/>
      <c r="R15" s="18"/>
    </row>
    <row r="16" spans="1:18" ht="102" customHeight="1">
      <c r="A16" s="334" t="s">
        <v>7</v>
      </c>
      <c r="B16" s="1603" t="s">
        <v>539</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row>
    <row r="17" spans="1:18">
      <c r="A17" s="2542" t="s">
        <v>540</v>
      </c>
      <c r="B17" s="2136"/>
      <c r="C17" s="32">
        <v>2014</v>
      </c>
      <c r="D17" s="33"/>
      <c r="E17" s="34"/>
      <c r="F17" s="34"/>
      <c r="G17" s="35">
        <f t="shared" ref="G17:G23" si="0">SUM(D17:F17)</f>
        <v>0</v>
      </c>
      <c r="H17" s="36"/>
      <c r="I17" s="34"/>
      <c r="J17" s="34"/>
      <c r="K17" s="34"/>
      <c r="L17" s="34"/>
      <c r="M17" s="34"/>
      <c r="N17" s="34"/>
      <c r="O17" s="37"/>
      <c r="P17" s="38"/>
      <c r="Q17" s="38"/>
      <c r="R17" s="38"/>
    </row>
    <row r="18" spans="1:18">
      <c r="A18" s="2543"/>
      <c r="B18" s="2136"/>
      <c r="C18" s="39">
        <v>2015</v>
      </c>
      <c r="D18" s="40"/>
      <c r="E18" s="41"/>
      <c r="F18" s="41"/>
      <c r="G18" s="35">
        <f t="shared" si="0"/>
        <v>0</v>
      </c>
      <c r="H18" s="42"/>
      <c r="I18" s="41"/>
      <c r="J18" s="41"/>
      <c r="K18" s="41"/>
      <c r="L18" s="41"/>
      <c r="M18" s="41"/>
      <c r="N18" s="41"/>
      <c r="O18" s="43"/>
      <c r="P18" s="38"/>
      <c r="Q18" s="38"/>
      <c r="R18" s="38"/>
    </row>
    <row r="19" spans="1:18">
      <c r="A19" s="2543"/>
      <c r="B19" s="2136"/>
      <c r="C19" s="39">
        <v>2016</v>
      </c>
      <c r="D19" s="40"/>
      <c r="E19" s="41"/>
      <c r="F19" s="41"/>
      <c r="G19" s="35">
        <f t="shared" si="0"/>
        <v>0</v>
      </c>
      <c r="H19" s="42"/>
      <c r="I19" s="41"/>
      <c r="J19" s="41"/>
      <c r="K19" s="41"/>
      <c r="L19" s="41"/>
      <c r="M19" s="41"/>
      <c r="N19" s="41"/>
      <c r="O19" s="43"/>
      <c r="P19" s="38"/>
      <c r="Q19" s="38"/>
      <c r="R19" s="38"/>
    </row>
    <row r="20" spans="1:18">
      <c r="A20" s="2543"/>
      <c r="B20" s="2136"/>
      <c r="C20" s="39">
        <v>2017</v>
      </c>
      <c r="D20" s="40"/>
      <c r="E20" s="41"/>
      <c r="F20" s="41"/>
      <c r="G20" s="35">
        <f t="shared" si="0"/>
        <v>0</v>
      </c>
      <c r="H20" s="42"/>
      <c r="I20" s="41"/>
      <c r="J20" s="41"/>
      <c r="K20" s="41"/>
      <c r="L20" s="41"/>
      <c r="M20" s="41"/>
      <c r="N20" s="41"/>
      <c r="O20" s="43"/>
      <c r="P20" s="38"/>
      <c r="Q20" s="38"/>
      <c r="R20" s="38"/>
    </row>
    <row r="21" spans="1:18">
      <c r="A21" s="2543"/>
      <c r="B21" s="2136"/>
      <c r="C21" s="39">
        <v>2018</v>
      </c>
      <c r="D21" s="40"/>
      <c r="E21" s="41"/>
      <c r="F21" s="41"/>
      <c r="G21" s="35">
        <f t="shared" si="0"/>
        <v>0</v>
      </c>
      <c r="H21" s="42"/>
      <c r="I21" s="41"/>
      <c r="J21" s="41"/>
      <c r="K21" s="41"/>
      <c r="L21" s="41"/>
      <c r="M21" s="41"/>
      <c r="N21" s="41"/>
      <c r="O21" s="43"/>
      <c r="P21" s="38"/>
      <c r="Q21" s="38"/>
      <c r="R21" s="38"/>
    </row>
    <row r="22" spans="1:18">
      <c r="A22" s="2543"/>
      <c r="B22" s="2136"/>
      <c r="C22" s="44">
        <v>2019</v>
      </c>
      <c r="D22" s="40"/>
      <c r="E22" s="41"/>
      <c r="F22" s="41"/>
      <c r="G22" s="35">
        <f t="shared" si="0"/>
        <v>0</v>
      </c>
      <c r="H22" s="42"/>
      <c r="I22" s="41"/>
      <c r="J22" s="41"/>
      <c r="K22" s="41"/>
      <c r="L22" s="41"/>
      <c r="M22" s="41"/>
      <c r="N22" s="41"/>
      <c r="O22" s="43"/>
      <c r="P22" s="38"/>
      <c r="Q22" s="38"/>
      <c r="R22" s="38"/>
    </row>
    <row r="23" spans="1:18">
      <c r="A23" s="2543"/>
      <c r="B23" s="2136"/>
      <c r="C23" s="39">
        <v>2020</v>
      </c>
      <c r="D23" s="40"/>
      <c r="E23" s="41"/>
      <c r="F23" s="41"/>
      <c r="G23" s="35">
        <f t="shared" si="0"/>
        <v>0</v>
      </c>
      <c r="H23" s="42"/>
      <c r="I23" s="41"/>
      <c r="J23" s="41"/>
      <c r="K23" s="41"/>
      <c r="L23" s="41"/>
      <c r="M23" s="41"/>
      <c r="N23" s="41"/>
      <c r="O23" s="43"/>
      <c r="P23" s="38"/>
      <c r="Q23" s="38"/>
      <c r="R23" s="38"/>
    </row>
    <row r="24" spans="1:18" ht="98.25" customHeight="1" thickBot="1">
      <c r="A24" s="2544"/>
      <c r="B24" s="2137"/>
      <c r="C24" s="45" t="s">
        <v>13</v>
      </c>
      <c r="D24" s="46">
        <f>SUM(D17:D23)</f>
        <v>0</v>
      </c>
      <c r="E24" s="47">
        <f>SUM(E17:E23)</f>
        <v>0</v>
      </c>
      <c r="F24" s="47">
        <f>SUM(F17:F23)</f>
        <v>0</v>
      </c>
      <c r="G24" s="48">
        <f>SUM(D24:F24)</f>
        <v>0</v>
      </c>
      <c r="H24" s="49">
        <f>SUM(H17:H23)</f>
        <v>0</v>
      </c>
      <c r="I24" s="50">
        <f t="shared" ref="I24:N24" si="1">SUM(I17:I23)</f>
        <v>0</v>
      </c>
      <c r="J24" s="50">
        <f t="shared" si="1"/>
        <v>0</v>
      </c>
      <c r="K24" s="50">
        <f t="shared" si="1"/>
        <v>0</v>
      </c>
      <c r="L24" s="50">
        <f t="shared" si="1"/>
        <v>0</v>
      </c>
      <c r="M24" s="50">
        <f t="shared" si="1"/>
        <v>0</v>
      </c>
      <c r="N24" s="50">
        <f t="shared" si="1"/>
        <v>0</v>
      </c>
      <c r="O24" s="51">
        <f>SUM(O17:O23)</f>
        <v>0</v>
      </c>
      <c r="P24" s="38"/>
      <c r="Q24" s="38"/>
      <c r="R24" s="38"/>
    </row>
    <row r="25" spans="1:18" ht="15.75" thickBot="1">
      <c r="C25" s="52"/>
      <c r="H25" s="8"/>
      <c r="I25" s="8"/>
      <c r="J25" s="8"/>
      <c r="K25" s="8"/>
      <c r="L25" s="8"/>
      <c r="M25" s="8"/>
      <c r="N25" s="8"/>
      <c r="O25" s="8"/>
      <c r="P25" s="8"/>
      <c r="Q25" s="8"/>
    </row>
    <row r="26" spans="1:18" ht="18.75">
      <c r="A26" s="356"/>
      <c r="B26" s="357"/>
      <c r="C26" s="53"/>
      <c r="D26" s="2011" t="s">
        <v>5</v>
      </c>
      <c r="E26" s="2012"/>
      <c r="F26" s="2012"/>
      <c r="G26" s="2013"/>
      <c r="H26" s="16"/>
      <c r="I26" s="17"/>
      <c r="J26" s="18"/>
      <c r="K26" s="18"/>
      <c r="L26" s="18"/>
      <c r="M26" s="18"/>
      <c r="N26" s="18"/>
      <c r="O26" s="16"/>
      <c r="P26" s="16"/>
      <c r="Q26" s="19"/>
      <c r="R26" s="19"/>
    </row>
    <row r="27" spans="1:18" ht="99" customHeight="1">
      <c r="A27" s="470" t="s">
        <v>23</v>
      </c>
      <c r="B27" s="1603" t="s">
        <v>539</v>
      </c>
      <c r="C27" s="55" t="s">
        <v>9</v>
      </c>
      <c r="D27" s="56" t="s">
        <v>10</v>
      </c>
      <c r="E27" s="24" t="s">
        <v>11</v>
      </c>
      <c r="F27" s="24" t="s">
        <v>12</v>
      </c>
      <c r="G27" s="57" t="s">
        <v>13</v>
      </c>
      <c r="H27" s="30"/>
      <c r="I27" s="30"/>
      <c r="J27" s="30"/>
      <c r="K27" s="30"/>
      <c r="L27" s="30"/>
      <c r="M27" s="30"/>
      <c r="N27" s="30"/>
      <c r="O27" s="30"/>
      <c r="P27" s="30"/>
      <c r="Q27" s="19"/>
      <c r="R27" s="1591"/>
    </row>
    <row r="28" spans="1:18">
      <c r="A28" s="2118" t="s">
        <v>541</v>
      </c>
      <c r="B28" s="2136"/>
      <c r="C28" s="58">
        <v>2014</v>
      </c>
      <c r="D28" s="36"/>
      <c r="E28" s="34"/>
      <c r="F28" s="34"/>
      <c r="G28" s="59">
        <f>SUM(D28:F28)</f>
        <v>0</v>
      </c>
      <c r="H28" s="38"/>
      <c r="I28" s="38"/>
      <c r="J28" s="38"/>
      <c r="K28" s="38"/>
      <c r="L28" s="38"/>
      <c r="M28" s="38"/>
      <c r="N28" s="38"/>
      <c r="O28" s="38"/>
      <c r="P28" s="38"/>
      <c r="Q28" s="8"/>
    </row>
    <row r="29" spans="1:18">
      <c r="A29" s="2119"/>
      <c r="B29" s="2136"/>
      <c r="C29" s="60">
        <v>2015</v>
      </c>
      <c r="D29" s="42"/>
      <c r="E29" s="41"/>
      <c r="F29" s="41"/>
      <c r="G29" s="59">
        <f t="shared" ref="G29:G35" si="2">SUM(D29:F29)</f>
        <v>0</v>
      </c>
      <c r="H29" s="38"/>
      <c r="I29" s="38"/>
      <c r="J29" s="38"/>
      <c r="K29" s="38"/>
      <c r="L29" s="38"/>
      <c r="M29" s="38"/>
      <c r="N29" s="38"/>
      <c r="O29" s="38"/>
      <c r="P29" s="38"/>
      <c r="Q29" s="8"/>
    </row>
    <row r="30" spans="1:18">
      <c r="A30" s="2119"/>
      <c r="B30" s="2136"/>
      <c r="C30" s="60">
        <v>2016</v>
      </c>
      <c r="D30" s="42"/>
      <c r="E30" s="41"/>
      <c r="F30" s="41"/>
      <c r="G30" s="59">
        <f t="shared" si="2"/>
        <v>0</v>
      </c>
      <c r="H30" s="38"/>
      <c r="I30" s="38"/>
      <c r="J30" s="38"/>
      <c r="K30" s="38"/>
      <c r="L30" s="38"/>
      <c r="M30" s="38"/>
      <c r="N30" s="38"/>
      <c r="O30" s="38"/>
      <c r="P30" s="38"/>
      <c r="Q30" s="8"/>
    </row>
    <row r="31" spans="1:18">
      <c r="A31" s="2119"/>
      <c r="B31" s="2136"/>
      <c r="C31" s="60">
        <v>2017</v>
      </c>
      <c r="D31" s="42"/>
      <c r="E31" s="41"/>
      <c r="F31" s="41"/>
      <c r="G31" s="59">
        <f t="shared" si="2"/>
        <v>0</v>
      </c>
      <c r="H31" s="38"/>
      <c r="I31" s="38"/>
      <c r="J31" s="38"/>
      <c r="K31" s="38"/>
      <c r="L31" s="38"/>
      <c r="M31" s="38"/>
      <c r="N31" s="38"/>
      <c r="O31" s="38"/>
      <c r="P31" s="38"/>
      <c r="Q31" s="8"/>
    </row>
    <row r="32" spans="1:18">
      <c r="A32" s="2119"/>
      <c r="B32" s="2136"/>
      <c r="C32" s="60">
        <v>2018</v>
      </c>
      <c r="D32" s="42"/>
      <c r="E32" s="41"/>
      <c r="F32" s="41"/>
      <c r="G32" s="59">
        <f t="shared" si="2"/>
        <v>0</v>
      </c>
      <c r="H32" s="38"/>
      <c r="I32" s="38"/>
      <c r="J32" s="38"/>
      <c r="K32" s="38"/>
      <c r="L32" s="38"/>
      <c r="M32" s="38"/>
      <c r="N32" s="38"/>
      <c r="O32" s="38"/>
      <c r="P32" s="38"/>
      <c r="Q32" s="8"/>
    </row>
    <row r="33" spans="1:18">
      <c r="A33" s="2119"/>
      <c r="B33" s="2136"/>
      <c r="C33" s="61">
        <v>2019</v>
      </c>
      <c r="D33" s="42"/>
      <c r="E33" s="41"/>
      <c r="F33" s="41"/>
      <c r="G33" s="59">
        <f t="shared" si="2"/>
        <v>0</v>
      </c>
      <c r="H33" s="38"/>
      <c r="I33" s="38"/>
      <c r="J33" s="38"/>
      <c r="K33" s="38"/>
      <c r="L33" s="38"/>
      <c r="M33" s="38"/>
      <c r="N33" s="38"/>
      <c r="O33" s="38"/>
      <c r="P33" s="38"/>
      <c r="Q33" s="8"/>
    </row>
    <row r="34" spans="1:18">
      <c r="A34" s="2119"/>
      <c r="B34" s="2136"/>
      <c r="C34" s="60">
        <v>2020</v>
      </c>
      <c r="D34" s="42"/>
      <c r="E34" s="41"/>
      <c r="F34" s="41"/>
      <c r="G34" s="59">
        <f t="shared" si="2"/>
        <v>0</v>
      </c>
      <c r="H34" s="38"/>
      <c r="I34" s="38"/>
      <c r="J34" s="38"/>
      <c r="K34" s="38"/>
      <c r="L34" s="38"/>
      <c r="M34" s="38"/>
      <c r="N34" s="38"/>
      <c r="O34" s="38"/>
      <c r="P34" s="38"/>
      <c r="Q34" s="8"/>
    </row>
    <row r="35" spans="1:18" ht="15.75" thickBot="1">
      <c r="A35" s="2070"/>
      <c r="B35" s="2137"/>
      <c r="C35" s="62" t="s">
        <v>13</v>
      </c>
      <c r="D35" s="49">
        <f>SUM(D28:D34)</f>
        <v>0</v>
      </c>
      <c r="E35" s="47">
        <f>SUM(E28:E34)</f>
        <v>0</v>
      </c>
      <c r="F35" s="47">
        <f>SUM(F28:F34)</f>
        <v>0</v>
      </c>
      <c r="G35" s="51">
        <f t="shared" si="2"/>
        <v>0</v>
      </c>
      <c r="H35" s="38"/>
      <c r="I35" s="38"/>
      <c r="J35" s="38"/>
      <c r="K35" s="38"/>
      <c r="L35" s="38"/>
      <c r="M35" s="38"/>
      <c r="N35" s="38"/>
      <c r="O35" s="38"/>
      <c r="P35" s="38"/>
      <c r="Q35" s="8"/>
    </row>
    <row r="36" spans="1:18">
      <c r="A36" s="63"/>
      <c r="B36" s="63"/>
      <c r="C36" s="52"/>
      <c r="H36" s="8"/>
      <c r="I36" s="8"/>
      <c r="J36" s="8"/>
      <c r="K36" s="8"/>
      <c r="L36" s="8"/>
      <c r="M36" s="8"/>
      <c r="N36" s="8"/>
      <c r="O36" s="8"/>
      <c r="P36" s="8"/>
      <c r="Q36" s="8"/>
    </row>
    <row r="37" spans="1:18" ht="21">
      <c r="A37" s="64" t="s">
        <v>25</v>
      </c>
      <c r="B37" s="64"/>
      <c r="C37" s="65"/>
      <c r="D37" s="65"/>
      <c r="E37" s="65"/>
      <c r="F37" s="38"/>
      <c r="G37" s="38"/>
      <c r="H37" s="38"/>
      <c r="I37" s="66"/>
      <c r="J37" s="66"/>
      <c r="K37" s="66"/>
    </row>
    <row r="38" spans="1:18" ht="15.75" thickBot="1">
      <c r="G38" s="38"/>
      <c r="H38" s="38"/>
    </row>
    <row r="39" spans="1:18" ht="126" customHeight="1">
      <c r="A39" s="358" t="s">
        <v>26</v>
      </c>
      <c r="B39" s="1604" t="s">
        <v>542</v>
      </c>
      <c r="C39" s="69" t="s">
        <v>9</v>
      </c>
      <c r="D39" s="70" t="s">
        <v>27</v>
      </c>
      <c r="E39" s="71" t="s">
        <v>28</v>
      </c>
      <c r="F39" s="72"/>
      <c r="G39" s="30"/>
      <c r="H39" s="30"/>
    </row>
    <row r="40" spans="1:18">
      <c r="A40" s="2545" t="s">
        <v>543</v>
      </c>
      <c r="B40" s="2140" t="s">
        <v>544</v>
      </c>
      <c r="C40" s="73">
        <v>2014</v>
      </c>
      <c r="D40" s="33"/>
      <c r="E40" s="32"/>
      <c r="F40" s="8"/>
      <c r="G40" s="38"/>
      <c r="H40" s="38"/>
    </row>
    <row r="41" spans="1:18">
      <c r="A41" s="2543"/>
      <c r="B41" s="2140"/>
      <c r="C41" s="74">
        <v>2015</v>
      </c>
      <c r="D41" s="434"/>
      <c r="E41" s="589"/>
      <c r="F41" s="8"/>
      <c r="G41" s="38"/>
      <c r="H41" s="38"/>
    </row>
    <row r="42" spans="1:18">
      <c r="A42" s="2543"/>
      <c r="B42" s="2140"/>
      <c r="C42" s="74">
        <v>2016</v>
      </c>
      <c r="D42" s="434">
        <v>973000</v>
      </c>
      <c r="E42" s="589">
        <v>666000</v>
      </c>
      <c r="F42" s="8"/>
      <c r="G42" s="38"/>
      <c r="H42" s="38"/>
    </row>
    <row r="43" spans="1:18">
      <c r="A43" s="2543"/>
      <c r="B43" s="2140"/>
      <c r="C43" s="74">
        <v>2017</v>
      </c>
      <c r="D43" s="434">
        <v>14347514</v>
      </c>
      <c r="E43" s="589"/>
      <c r="F43" s="8"/>
      <c r="G43" s="38"/>
      <c r="H43" s="38"/>
    </row>
    <row r="44" spans="1:18">
      <c r="A44" s="2543"/>
      <c r="B44" s="2140"/>
      <c r="C44" s="74">
        <v>2018</v>
      </c>
      <c r="D44" s="434"/>
      <c r="E44" s="589"/>
      <c r="F44" s="8"/>
      <c r="G44" s="38"/>
      <c r="H44" s="38"/>
    </row>
    <row r="45" spans="1:18">
      <c r="A45" s="2543"/>
      <c r="B45" s="2140"/>
      <c r="C45" s="74">
        <v>2019</v>
      </c>
      <c r="D45" s="434"/>
      <c r="E45" s="589"/>
      <c r="F45" s="8"/>
      <c r="G45" s="38"/>
      <c r="H45" s="38"/>
    </row>
    <row r="46" spans="1:18">
      <c r="A46" s="2543"/>
      <c r="B46" s="2140"/>
      <c r="C46" s="74">
        <v>2020</v>
      </c>
      <c r="D46" s="434"/>
      <c r="E46" s="589"/>
      <c r="F46" s="8"/>
      <c r="G46" s="38"/>
      <c r="H46" s="38"/>
    </row>
    <row r="47" spans="1:18" ht="15.75" thickBot="1">
      <c r="A47" s="2544"/>
      <c r="B47" s="2546"/>
      <c r="C47" s="45" t="s">
        <v>13</v>
      </c>
      <c r="D47" s="344">
        <f>SUM(D40:D46)</f>
        <v>15320514</v>
      </c>
      <c r="E47" s="345">
        <f>SUM(E40:E46)</f>
        <v>666000</v>
      </c>
      <c r="F47" s="77"/>
      <c r="G47" s="38"/>
      <c r="H47" s="38"/>
    </row>
    <row r="48" spans="1:18" ht="15.75" thickBot="1">
      <c r="A48" s="78"/>
      <c r="B48" s="79"/>
      <c r="C48" s="80"/>
      <c r="D48" s="38"/>
      <c r="E48" s="38"/>
      <c r="F48" s="38"/>
      <c r="G48" s="38"/>
      <c r="H48" s="38"/>
      <c r="I48" s="38"/>
      <c r="J48" s="38"/>
      <c r="K48" s="38"/>
      <c r="L48" s="38"/>
      <c r="M48" s="38"/>
      <c r="N48" s="38"/>
      <c r="O48" s="38"/>
      <c r="P48" s="38"/>
      <c r="Q48" s="38"/>
      <c r="R48" s="38"/>
    </row>
    <row r="49" spans="1:15" ht="100.5" customHeight="1">
      <c r="A49" s="81" t="s">
        <v>30</v>
      </c>
      <c r="B49" s="1605" t="s">
        <v>545</v>
      </c>
      <c r="C49" s="82" t="s">
        <v>9</v>
      </c>
      <c r="D49" s="70" t="s">
        <v>31</v>
      </c>
      <c r="E49" s="83" t="s">
        <v>32</v>
      </c>
      <c r="F49" s="83" t="s">
        <v>33</v>
      </c>
      <c r="G49" s="83" t="s">
        <v>34</v>
      </c>
      <c r="H49" s="83" t="s">
        <v>35</v>
      </c>
      <c r="I49" s="83" t="s">
        <v>36</v>
      </c>
      <c r="J49" s="83" t="s">
        <v>37</v>
      </c>
      <c r="K49" s="84" t="s">
        <v>38</v>
      </c>
    </row>
    <row r="50" spans="1:15">
      <c r="A50" s="2547" t="s">
        <v>546</v>
      </c>
      <c r="B50" s="2549"/>
      <c r="C50" s="85" t="s">
        <v>40</v>
      </c>
      <c r="D50" s="33"/>
      <c r="E50" s="34"/>
      <c r="F50" s="34"/>
      <c r="G50" s="34"/>
      <c r="H50" s="34"/>
      <c r="I50" s="34"/>
      <c r="J50" s="34"/>
      <c r="K50" s="37"/>
    </row>
    <row r="51" spans="1:15">
      <c r="A51" s="2547"/>
      <c r="B51" s="2549"/>
      <c r="C51" s="74">
        <v>2014</v>
      </c>
      <c r="D51" s="40"/>
      <c r="E51" s="41"/>
      <c r="F51" s="41"/>
      <c r="G51" s="41"/>
      <c r="H51" s="41"/>
      <c r="I51" s="41"/>
      <c r="J51" s="41"/>
      <c r="K51" s="86"/>
    </row>
    <row r="52" spans="1:15">
      <c r="A52" s="2547"/>
      <c r="B52" s="2549"/>
      <c r="C52" s="74">
        <v>2015</v>
      </c>
      <c r="D52" s="40"/>
      <c r="E52" s="41"/>
      <c r="F52" s="41"/>
      <c r="G52" s="1482"/>
      <c r="H52" s="41"/>
      <c r="I52" s="41"/>
      <c r="J52" s="41"/>
      <c r="K52" s="86"/>
    </row>
    <row r="53" spans="1:15">
      <c r="A53" s="2547"/>
      <c r="B53" s="2549"/>
      <c r="C53" s="74">
        <v>2016</v>
      </c>
      <c r="D53" s="40">
        <v>1</v>
      </c>
      <c r="E53" s="41"/>
      <c r="F53" s="41"/>
      <c r="G53" s="1482">
        <v>9000</v>
      </c>
      <c r="H53" s="41"/>
      <c r="I53" s="41"/>
      <c r="J53" s="41"/>
      <c r="K53" s="86"/>
    </row>
    <row r="54" spans="1:15">
      <c r="A54" s="2547"/>
      <c r="B54" s="2549"/>
      <c r="C54" s="74">
        <v>2017</v>
      </c>
      <c r="D54" s="40">
        <v>2</v>
      </c>
      <c r="E54" s="41"/>
      <c r="F54" s="41"/>
      <c r="G54" s="1482">
        <v>12191</v>
      </c>
      <c r="H54" s="41">
        <v>511</v>
      </c>
      <c r="I54" s="41"/>
      <c r="J54" s="41"/>
      <c r="K54" s="86"/>
    </row>
    <row r="55" spans="1:15">
      <c r="A55" s="2547"/>
      <c r="B55" s="2549"/>
      <c r="C55" s="74">
        <v>2018</v>
      </c>
      <c r="D55" s="40"/>
      <c r="E55" s="41"/>
      <c r="F55" s="41"/>
      <c r="G55" s="1482"/>
      <c r="H55" s="41"/>
      <c r="I55" s="41"/>
      <c r="J55" s="41"/>
      <c r="K55" s="86"/>
    </row>
    <row r="56" spans="1:15">
      <c r="A56" s="2547"/>
      <c r="B56" s="2549"/>
      <c r="C56" s="74">
        <v>2019</v>
      </c>
      <c r="D56" s="40"/>
      <c r="E56" s="41"/>
      <c r="F56" s="41"/>
      <c r="G56" s="1482"/>
      <c r="H56" s="41"/>
      <c r="I56" s="41"/>
      <c r="J56" s="41"/>
      <c r="K56" s="86"/>
    </row>
    <row r="57" spans="1:15">
      <c r="A57" s="2547"/>
      <c r="B57" s="2549"/>
      <c r="C57" s="74">
        <v>2020</v>
      </c>
      <c r="D57" s="40"/>
      <c r="E57" s="41"/>
      <c r="F57" s="41"/>
      <c r="G57" s="1482"/>
      <c r="H57" s="41"/>
      <c r="I57" s="41"/>
      <c r="J57" s="41"/>
      <c r="K57" s="87"/>
    </row>
    <row r="58" spans="1:15" ht="45" customHeight="1" thickBot="1">
      <c r="A58" s="2548"/>
      <c r="B58" s="2550"/>
      <c r="C58" s="45" t="s">
        <v>13</v>
      </c>
      <c r="D58" s="46">
        <f t="shared" ref="D58:J58" si="3">SUM(D51:D57)</f>
        <v>3</v>
      </c>
      <c r="E58" s="47">
        <f t="shared" si="3"/>
        <v>0</v>
      </c>
      <c r="F58" s="47">
        <f t="shared" si="3"/>
        <v>0</v>
      </c>
      <c r="G58" s="338">
        <f t="shared" si="3"/>
        <v>21191</v>
      </c>
      <c r="H58" s="47">
        <f t="shared" si="3"/>
        <v>511</v>
      </c>
      <c r="I58" s="47">
        <f t="shared" si="3"/>
        <v>0</v>
      </c>
      <c r="J58" s="47">
        <f t="shared" si="3"/>
        <v>0</v>
      </c>
      <c r="K58" s="51">
        <f>SUM(K50:K56)</f>
        <v>0</v>
      </c>
    </row>
    <row r="59" spans="1:15" ht="15.75" thickBot="1"/>
    <row r="60" spans="1:15" ht="18.75">
      <c r="A60" s="2029" t="s">
        <v>41</v>
      </c>
      <c r="B60" s="360"/>
      <c r="C60" s="2031" t="s">
        <v>9</v>
      </c>
      <c r="D60" s="1993" t="s">
        <v>42</v>
      </c>
      <c r="E60" s="89" t="s">
        <v>6</v>
      </c>
      <c r="F60" s="90"/>
      <c r="G60" s="90"/>
      <c r="H60" s="90"/>
      <c r="I60" s="90"/>
      <c r="J60" s="90"/>
      <c r="K60" s="90"/>
      <c r="L60" s="91"/>
    </row>
    <row r="61" spans="1:15" ht="121.5" customHeight="1">
      <c r="A61" s="2030"/>
      <c r="B61" s="1606" t="s">
        <v>545</v>
      </c>
      <c r="C61" s="2032"/>
      <c r="D61" s="1994"/>
      <c r="E61" s="93" t="s">
        <v>14</v>
      </c>
      <c r="F61" s="94" t="s">
        <v>15</v>
      </c>
      <c r="G61" s="94" t="s">
        <v>16</v>
      </c>
      <c r="H61" s="95" t="s">
        <v>17</v>
      </c>
      <c r="I61" s="95" t="s">
        <v>18</v>
      </c>
      <c r="J61" s="96" t="s">
        <v>19</v>
      </c>
      <c r="K61" s="94" t="s">
        <v>20</v>
      </c>
      <c r="L61" s="97" t="s">
        <v>21</v>
      </c>
      <c r="M61" s="98"/>
      <c r="N61" s="8"/>
      <c r="O61" s="8"/>
    </row>
    <row r="62" spans="1:15">
      <c r="A62" s="2120" t="s">
        <v>547</v>
      </c>
      <c r="B62" s="2169"/>
      <c r="C62" s="99">
        <v>2014</v>
      </c>
      <c r="D62" s="100"/>
      <c r="E62" s="101"/>
      <c r="F62" s="102"/>
      <c r="G62" s="102"/>
      <c r="H62" s="102"/>
      <c r="I62" s="102"/>
      <c r="J62" s="102"/>
      <c r="K62" s="102"/>
      <c r="L62" s="37"/>
      <c r="M62" s="8"/>
      <c r="N62" s="8"/>
      <c r="O62" s="8"/>
    </row>
    <row r="63" spans="1:15">
      <c r="A63" s="2121"/>
      <c r="B63" s="2169"/>
      <c r="C63" s="103">
        <v>2015</v>
      </c>
      <c r="D63" s="104"/>
      <c r="E63" s="105"/>
      <c r="F63" s="41"/>
      <c r="G63" s="41"/>
      <c r="H63" s="41"/>
      <c r="I63" s="41"/>
      <c r="J63" s="41"/>
      <c r="K63" s="41"/>
      <c r="L63" s="86"/>
      <c r="M63" s="8"/>
      <c r="N63" s="8"/>
      <c r="O63" s="8"/>
    </row>
    <row r="64" spans="1:15">
      <c r="A64" s="2121"/>
      <c r="B64" s="2169"/>
      <c r="C64" s="103">
        <v>2016</v>
      </c>
      <c r="D64" s="104">
        <v>30</v>
      </c>
      <c r="E64" s="105"/>
      <c r="F64" s="41">
        <v>30</v>
      </c>
      <c r="G64" s="41"/>
      <c r="H64" s="41"/>
      <c r="I64" s="41"/>
      <c r="J64" s="41"/>
      <c r="K64" s="41"/>
      <c r="L64" s="86"/>
      <c r="M64" s="8"/>
      <c r="N64" s="8"/>
      <c r="O64" s="8"/>
    </row>
    <row r="65" spans="1:18">
      <c r="A65" s="2121"/>
      <c r="B65" s="2169"/>
      <c r="C65" s="103">
        <v>2017</v>
      </c>
      <c r="D65" s="104">
        <v>3</v>
      </c>
      <c r="E65" s="105"/>
      <c r="F65" s="41">
        <v>3</v>
      </c>
      <c r="G65" s="41"/>
      <c r="H65" s="41"/>
      <c r="I65" s="41"/>
      <c r="J65" s="41"/>
      <c r="K65" s="41"/>
      <c r="L65" s="86"/>
      <c r="M65" s="8"/>
      <c r="N65" s="8"/>
      <c r="O65" s="8"/>
    </row>
    <row r="66" spans="1:18">
      <c r="A66" s="2121"/>
      <c r="B66" s="2169"/>
      <c r="C66" s="103">
        <v>2018</v>
      </c>
      <c r="D66" s="104"/>
      <c r="E66" s="105"/>
      <c r="F66" s="41"/>
      <c r="G66" s="41"/>
      <c r="H66" s="41"/>
      <c r="I66" s="41"/>
      <c r="J66" s="41"/>
      <c r="K66" s="41"/>
      <c r="L66" s="86"/>
      <c r="M66" s="8"/>
      <c r="N66" s="8"/>
      <c r="O66" s="8"/>
    </row>
    <row r="67" spans="1:18">
      <c r="A67" s="2121"/>
      <c r="B67" s="2169"/>
      <c r="C67" s="103">
        <v>2019</v>
      </c>
      <c r="D67" s="104"/>
      <c r="E67" s="105"/>
      <c r="F67" s="41"/>
      <c r="G67" s="41"/>
      <c r="H67" s="41"/>
      <c r="I67" s="41"/>
      <c r="J67" s="41"/>
      <c r="K67" s="41"/>
      <c r="L67" s="86"/>
      <c r="M67" s="8"/>
      <c r="N67" s="8"/>
      <c r="O67" s="8"/>
    </row>
    <row r="68" spans="1:18">
      <c r="A68" s="2121"/>
      <c r="B68" s="2169"/>
      <c r="C68" s="103">
        <v>2020</v>
      </c>
      <c r="D68" s="104"/>
      <c r="E68" s="105"/>
      <c r="F68" s="41"/>
      <c r="G68" s="41"/>
      <c r="H68" s="41"/>
      <c r="I68" s="41"/>
      <c r="J68" s="41"/>
      <c r="K68" s="41"/>
      <c r="L68" s="86"/>
      <c r="M68" s="77"/>
      <c r="N68" s="77"/>
      <c r="O68" s="77"/>
    </row>
    <row r="69" spans="1:18" ht="15.75" thickBot="1">
      <c r="A69" s="2122"/>
      <c r="B69" s="2170"/>
      <c r="C69" s="106" t="s">
        <v>13</v>
      </c>
      <c r="D69" s="107">
        <f t="shared" ref="D69:I69" si="4">SUM(D62:D68)</f>
        <v>33</v>
      </c>
      <c r="E69" s="108">
        <f t="shared" si="4"/>
        <v>0</v>
      </c>
      <c r="F69" s="109">
        <f t="shared" si="4"/>
        <v>33</v>
      </c>
      <c r="G69" s="109">
        <f t="shared" si="4"/>
        <v>0</v>
      </c>
      <c r="H69" s="109">
        <f t="shared" si="4"/>
        <v>0</v>
      </c>
      <c r="I69" s="109">
        <f t="shared" si="4"/>
        <v>0</v>
      </c>
      <c r="J69" s="109"/>
      <c r="K69" s="109">
        <f>SUM(K62:K68)</f>
        <v>0</v>
      </c>
      <c r="L69" s="110">
        <f>SUM(L62:L68)</f>
        <v>0</v>
      </c>
      <c r="M69" s="77"/>
      <c r="N69" s="77"/>
      <c r="O69" s="77"/>
    </row>
    <row r="70" spans="1:18" ht="15.75" thickBot="1">
      <c r="A70" s="111"/>
      <c r="B70" s="112"/>
      <c r="C70" s="113"/>
      <c r="D70" s="114"/>
      <c r="E70" s="114"/>
      <c r="F70" s="114"/>
      <c r="G70" s="114"/>
      <c r="H70" s="113"/>
      <c r="I70" s="115"/>
      <c r="J70" s="115"/>
      <c r="K70" s="115"/>
      <c r="L70" s="115"/>
      <c r="M70" s="115"/>
      <c r="N70" s="115"/>
      <c r="O70" s="115"/>
      <c r="P70" s="1591"/>
      <c r="Q70" s="1591"/>
      <c r="R70" s="1591"/>
    </row>
    <row r="71" spans="1:18" ht="127.5" customHeight="1">
      <c r="A71" s="358" t="s">
        <v>44</v>
      </c>
      <c r="B71" s="360" t="s">
        <v>548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18">
      <c r="A72" s="2118" t="s">
        <v>549</v>
      </c>
      <c r="B72" s="2136" t="s">
        <v>550</v>
      </c>
      <c r="C72" s="73">
        <v>2014</v>
      </c>
      <c r="D72" s="124"/>
      <c r="E72" s="124"/>
      <c r="F72" s="124"/>
      <c r="G72" s="125">
        <v>0</v>
      </c>
      <c r="H72" s="33"/>
      <c r="I72" s="126"/>
      <c r="J72" s="102"/>
      <c r="K72" s="102"/>
      <c r="L72" s="102"/>
      <c r="M72" s="102"/>
      <c r="N72" s="102"/>
      <c r="O72" s="127"/>
    </row>
    <row r="73" spans="1:18">
      <c r="A73" s="2119"/>
      <c r="B73" s="2136"/>
      <c r="C73" s="74">
        <v>2015</v>
      </c>
      <c r="D73" s="128"/>
      <c r="E73" s="128"/>
      <c r="F73" s="128"/>
      <c r="G73" s="125"/>
      <c r="H73" s="40"/>
      <c r="I73" s="40"/>
      <c r="J73" s="41"/>
      <c r="K73" s="41"/>
      <c r="L73" s="41"/>
      <c r="M73" s="41"/>
      <c r="N73" s="41"/>
      <c r="O73" s="86">
        <v>1</v>
      </c>
    </row>
    <row r="74" spans="1:18">
      <c r="A74" s="2119"/>
      <c r="B74" s="2136"/>
      <c r="C74" s="74">
        <v>2016</v>
      </c>
      <c r="D74" s="128">
        <v>30</v>
      </c>
      <c r="E74" s="128"/>
      <c r="F74" s="128"/>
      <c r="G74" s="125">
        <f>SUM(D74:F74)</f>
        <v>30</v>
      </c>
      <c r="H74" s="40"/>
      <c r="I74" s="40">
        <v>30</v>
      </c>
      <c r="J74" s="41"/>
      <c r="K74" s="41"/>
      <c r="L74" s="41"/>
      <c r="M74" s="41"/>
      <c r="N74" s="41"/>
      <c r="O74" s="86"/>
    </row>
    <row r="75" spans="1:18">
      <c r="A75" s="2119"/>
      <c r="B75" s="2136"/>
      <c r="C75" s="74">
        <v>2017</v>
      </c>
      <c r="D75" s="128">
        <v>0</v>
      </c>
      <c r="E75" s="128"/>
      <c r="F75" s="128"/>
      <c r="G75" s="125">
        <v>0</v>
      </c>
      <c r="H75" s="40"/>
      <c r="I75" s="40"/>
      <c r="J75" s="41"/>
      <c r="K75" s="41"/>
      <c r="L75" s="41"/>
      <c r="M75" s="41"/>
      <c r="N75" s="41"/>
      <c r="O75" s="86"/>
    </row>
    <row r="76" spans="1:18">
      <c r="A76" s="2119"/>
      <c r="B76" s="2136"/>
      <c r="C76" s="74">
        <v>2018</v>
      </c>
      <c r="D76" s="128"/>
      <c r="E76" s="128"/>
      <c r="F76" s="128"/>
      <c r="G76" s="125">
        <v>0</v>
      </c>
      <c r="H76" s="40"/>
      <c r="I76" s="40"/>
      <c r="J76" s="41"/>
      <c r="K76" s="41"/>
      <c r="L76" s="41"/>
      <c r="M76" s="41"/>
      <c r="N76" s="41"/>
      <c r="O76" s="86"/>
    </row>
    <row r="77" spans="1:18">
      <c r="A77" s="2119"/>
      <c r="B77" s="2136"/>
      <c r="C77" s="74">
        <v>2019</v>
      </c>
      <c r="D77" s="128"/>
      <c r="E77" s="128"/>
      <c r="F77" s="128"/>
      <c r="G77" s="125">
        <v>0</v>
      </c>
      <c r="H77" s="40"/>
      <c r="I77" s="40"/>
      <c r="J77" s="41"/>
      <c r="K77" s="41"/>
      <c r="L77" s="41"/>
      <c r="M77" s="41"/>
      <c r="N77" s="41"/>
      <c r="O77" s="86"/>
    </row>
    <row r="78" spans="1:18">
      <c r="A78" s="2119"/>
      <c r="B78" s="2136"/>
      <c r="C78" s="74">
        <v>2020</v>
      </c>
      <c r="D78" s="128"/>
      <c r="E78" s="128"/>
      <c r="F78" s="128"/>
      <c r="G78" s="125">
        <v>0</v>
      </c>
      <c r="H78" s="40"/>
      <c r="I78" s="40"/>
      <c r="J78" s="41"/>
      <c r="K78" s="41"/>
      <c r="L78" s="41"/>
      <c r="M78" s="41"/>
      <c r="N78" s="41"/>
      <c r="O78" s="86"/>
    </row>
    <row r="79" spans="1:18" ht="15.75" thickBot="1">
      <c r="A79" s="2122"/>
      <c r="B79" s="2137"/>
      <c r="C79" s="129" t="s">
        <v>13</v>
      </c>
      <c r="D79" s="107">
        <f>SUM(D72:D78)</f>
        <v>30</v>
      </c>
      <c r="E79" s="107">
        <f>SUM(E72:E78)</f>
        <v>0</v>
      </c>
      <c r="F79" s="107">
        <f>SUM(F72:F78)</f>
        <v>0</v>
      </c>
      <c r="G79" s="130">
        <f>SUM(G72:G78)</f>
        <v>30</v>
      </c>
      <c r="H79" s="131">
        <v>0</v>
      </c>
      <c r="I79" s="132">
        <f t="shared" ref="I79:O79" si="5">SUM(I72:I78)</f>
        <v>30</v>
      </c>
      <c r="J79" s="109">
        <f t="shared" si="5"/>
        <v>0</v>
      </c>
      <c r="K79" s="109">
        <f t="shared" si="5"/>
        <v>0</v>
      </c>
      <c r="L79" s="109">
        <f t="shared" si="5"/>
        <v>0</v>
      </c>
      <c r="M79" s="109">
        <f t="shared" si="5"/>
        <v>0</v>
      </c>
      <c r="N79" s="109">
        <f t="shared" si="5"/>
        <v>0</v>
      </c>
      <c r="O79" s="110">
        <f t="shared" si="5"/>
        <v>1</v>
      </c>
    </row>
    <row r="81" spans="1:18">
      <c r="A81" s="133"/>
      <c r="B81" s="112"/>
      <c r="C81" s="134"/>
      <c r="D81" s="135"/>
      <c r="E81" s="77"/>
      <c r="F81" s="77"/>
      <c r="G81" s="77"/>
      <c r="H81" s="77"/>
      <c r="I81" s="77"/>
      <c r="J81" s="77"/>
      <c r="K81" s="77"/>
    </row>
    <row r="82" spans="1:18" ht="21">
      <c r="A82" s="136" t="s">
        <v>49</v>
      </c>
      <c r="B82" s="136"/>
      <c r="C82" s="137"/>
      <c r="D82" s="137"/>
      <c r="E82" s="137"/>
      <c r="F82" s="137"/>
      <c r="G82" s="137"/>
      <c r="H82" s="137"/>
      <c r="I82" s="137"/>
      <c r="J82" s="137"/>
      <c r="K82" s="137"/>
      <c r="L82" s="138"/>
    </row>
    <row r="83" spans="1:18" ht="15.75" thickBot="1">
      <c r="A83" s="139"/>
      <c r="B83" s="139"/>
    </row>
    <row r="84" spans="1:18" ht="129.75" customHeight="1">
      <c r="A84" s="361" t="s">
        <v>50</v>
      </c>
      <c r="B84" s="1607" t="s">
        <v>551</v>
      </c>
      <c r="C84" s="142" t="s">
        <v>9</v>
      </c>
      <c r="D84" s="143" t="s">
        <v>52</v>
      </c>
      <c r="E84" s="144" t="s">
        <v>53</v>
      </c>
      <c r="F84" s="145" t="s">
        <v>54</v>
      </c>
      <c r="G84" s="145" t="s">
        <v>55</v>
      </c>
      <c r="H84" s="145" t="s">
        <v>56</v>
      </c>
      <c r="I84" s="145" t="s">
        <v>57</v>
      </c>
      <c r="J84" s="145" t="s">
        <v>58</v>
      </c>
      <c r="K84" s="146" t="s">
        <v>59</v>
      </c>
      <c r="L84" s="1591"/>
      <c r="M84" s="1591"/>
      <c r="N84" s="1591"/>
      <c r="O84" s="1591"/>
      <c r="P84" s="1591"/>
      <c r="Q84" s="1591"/>
      <c r="R84" s="1591"/>
    </row>
    <row r="85" spans="1:18">
      <c r="A85" s="2123" t="s">
        <v>552</v>
      </c>
      <c r="B85" s="2136"/>
      <c r="C85" s="73">
        <v>2014</v>
      </c>
      <c r="D85" s="147"/>
      <c r="E85" s="148"/>
      <c r="F85" s="34"/>
      <c r="G85" s="34"/>
      <c r="H85" s="34"/>
      <c r="I85" s="34"/>
      <c r="J85" s="34"/>
      <c r="K85" s="37"/>
    </row>
    <row r="86" spans="1:18">
      <c r="A86" s="2124"/>
      <c r="B86" s="2136"/>
      <c r="C86" s="74">
        <v>2015</v>
      </c>
      <c r="D86" s="149"/>
      <c r="E86" s="105"/>
      <c r="F86" s="41"/>
      <c r="G86" s="41"/>
      <c r="H86" s="41"/>
      <c r="I86" s="41"/>
      <c r="J86" s="41"/>
      <c r="K86" s="86"/>
    </row>
    <row r="87" spans="1:18">
      <c r="A87" s="2124"/>
      <c r="B87" s="2136"/>
      <c r="C87" s="74">
        <v>2016</v>
      </c>
      <c r="D87" s="149"/>
      <c r="E87" s="105"/>
      <c r="F87" s="41"/>
      <c r="G87" s="41"/>
      <c r="H87" s="41"/>
      <c r="I87" s="41"/>
      <c r="J87" s="41"/>
      <c r="K87" s="86"/>
    </row>
    <row r="88" spans="1:18">
      <c r="A88" s="2124"/>
      <c r="B88" s="2136"/>
      <c r="C88" s="74">
        <v>2017</v>
      </c>
      <c r="D88" s="149"/>
      <c r="E88" s="105"/>
      <c r="F88" s="41"/>
      <c r="G88" s="41"/>
      <c r="H88" s="41"/>
      <c r="I88" s="41"/>
      <c r="J88" s="41"/>
      <c r="K88" s="86"/>
    </row>
    <row r="89" spans="1:18">
      <c r="A89" s="2124"/>
      <c r="B89" s="2136"/>
      <c r="C89" s="74">
        <v>2018</v>
      </c>
      <c r="D89" s="149"/>
      <c r="E89" s="105"/>
      <c r="F89" s="41"/>
      <c r="G89" s="41"/>
      <c r="H89" s="41"/>
      <c r="I89" s="41"/>
      <c r="J89" s="41"/>
      <c r="K89" s="86"/>
    </row>
    <row r="90" spans="1:18">
      <c r="A90" s="2124"/>
      <c r="B90" s="2136"/>
      <c r="C90" s="74">
        <v>2019</v>
      </c>
      <c r="D90" s="149"/>
      <c r="E90" s="105"/>
      <c r="F90" s="41"/>
      <c r="G90" s="41"/>
      <c r="H90" s="41"/>
      <c r="I90" s="41"/>
      <c r="J90" s="41"/>
      <c r="K90" s="86"/>
    </row>
    <row r="91" spans="1:18">
      <c r="A91" s="2124"/>
      <c r="B91" s="2136"/>
      <c r="C91" s="74">
        <v>2020</v>
      </c>
      <c r="D91" s="149"/>
      <c r="E91" s="105"/>
      <c r="F91" s="41"/>
      <c r="G91" s="41"/>
      <c r="H91" s="41"/>
      <c r="I91" s="41"/>
      <c r="J91" s="41"/>
      <c r="K91" s="86"/>
    </row>
    <row r="92" spans="1:18" ht="15.75" thickBot="1">
      <c r="A92" s="2041"/>
      <c r="B92" s="2137"/>
      <c r="C92" s="129" t="s">
        <v>13</v>
      </c>
      <c r="D92" s="150">
        <f t="shared" ref="D92:I92" si="6">SUM(D85:D91)</f>
        <v>0</v>
      </c>
      <c r="E92" s="108">
        <f t="shared" si="6"/>
        <v>0</v>
      </c>
      <c r="F92" s="109">
        <f t="shared" si="6"/>
        <v>0</v>
      </c>
      <c r="G92" s="109">
        <f t="shared" si="6"/>
        <v>0</v>
      </c>
      <c r="H92" s="109">
        <f t="shared" si="6"/>
        <v>0</v>
      </c>
      <c r="I92" s="109">
        <f t="shared" si="6"/>
        <v>0</v>
      </c>
      <c r="J92" s="109">
        <f>SUM(J85:J91)</f>
        <v>0</v>
      </c>
      <c r="K92" s="110">
        <f>SUM(K85:K91)</f>
        <v>0</v>
      </c>
    </row>
    <row r="94" spans="1:18" ht="21">
      <c r="A94" s="151" t="s">
        <v>60</v>
      </c>
      <c r="B94" s="151"/>
      <c r="C94" s="152"/>
      <c r="D94" s="152"/>
      <c r="E94" s="152"/>
      <c r="F94" s="152"/>
      <c r="G94" s="152"/>
      <c r="H94" s="152"/>
      <c r="I94" s="152"/>
      <c r="J94" s="152"/>
      <c r="K94" s="152"/>
      <c r="L94" s="152"/>
      <c r="M94" s="152"/>
      <c r="N94" s="153"/>
      <c r="O94" s="153"/>
      <c r="P94" s="153"/>
    </row>
    <row r="95" spans="1:18" ht="21.75" thickBot="1">
      <c r="A95" s="154"/>
      <c r="B95" s="154"/>
      <c r="C95" s="66"/>
      <c r="D95" s="66"/>
      <c r="E95" s="66"/>
      <c r="F95" s="66"/>
      <c r="G95" s="66"/>
      <c r="H95" s="66"/>
      <c r="I95" s="66"/>
      <c r="J95" s="66"/>
      <c r="K95" s="66"/>
      <c r="L95" s="66"/>
      <c r="M95" s="66"/>
      <c r="N95" s="66"/>
      <c r="O95" s="66"/>
      <c r="P95" s="66"/>
      <c r="Q95" s="66"/>
      <c r="R95" s="66"/>
    </row>
    <row r="96" spans="1:18">
      <c r="A96" s="2043" t="s">
        <v>61</v>
      </c>
      <c r="B96" s="2551" t="s">
        <v>553</v>
      </c>
      <c r="C96" s="2058" t="s">
        <v>9</v>
      </c>
      <c r="D96" s="2050" t="s">
        <v>63</v>
      </c>
      <c r="E96" s="2051"/>
      <c r="F96" s="155" t="s">
        <v>64</v>
      </c>
      <c r="G96" s="156"/>
      <c r="H96" s="156"/>
      <c r="I96" s="156"/>
      <c r="J96" s="156"/>
      <c r="K96" s="156"/>
      <c r="L96" s="156"/>
      <c r="M96" s="157"/>
      <c r="N96" s="158"/>
      <c r="O96" s="158"/>
      <c r="P96" s="158"/>
    </row>
    <row r="97" spans="1:16" ht="84.75">
      <c r="A97" s="2044"/>
      <c r="B97" s="2552"/>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c r="A98" s="2120" t="s">
        <v>554</v>
      </c>
      <c r="B98" s="2553"/>
      <c r="C98" s="99">
        <v>2014</v>
      </c>
      <c r="D98" s="33"/>
      <c r="E98" s="34"/>
      <c r="F98" s="167"/>
      <c r="G98" s="168"/>
      <c r="H98" s="168"/>
      <c r="I98" s="168"/>
      <c r="J98" s="168"/>
      <c r="K98" s="168"/>
      <c r="L98" s="168"/>
      <c r="M98" s="169"/>
      <c r="N98" s="158"/>
      <c r="O98" s="158"/>
      <c r="P98" s="158"/>
    </row>
    <row r="99" spans="1:16">
      <c r="A99" s="2121"/>
      <c r="B99" s="2554"/>
      <c r="C99" s="103">
        <v>2015</v>
      </c>
      <c r="D99" s="40"/>
      <c r="E99" s="41"/>
      <c r="F99" s="170"/>
      <c r="G99" s="171"/>
      <c r="H99" s="171"/>
      <c r="I99" s="171"/>
      <c r="J99" s="171"/>
      <c r="K99" s="171"/>
      <c r="L99" s="171"/>
      <c r="M99" s="172"/>
      <c r="N99" s="158"/>
      <c r="O99" s="158"/>
      <c r="P99" s="158"/>
    </row>
    <row r="100" spans="1:16">
      <c r="A100" s="2121"/>
      <c r="B100" s="2554"/>
      <c r="C100" s="103">
        <v>2016</v>
      </c>
      <c r="D100" s="40"/>
      <c r="E100" s="41"/>
      <c r="F100" s="170"/>
      <c r="G100" s="171"/>
      <c r="H100" s="171"/>
      <c r="I100" s="171"/>
      <c r="J100" s="171"/>
      <c r="K100" s="171"/>
      <c r="L100" s="171"/>
      <c r="M100" s="172"/>
      <c r="N100" s="158"/>
      <c r="O100" s="158"/>
      <c r="P100" s="158"/>
    </row>
    <row r="101" spans="1:16">
      <c r="A101" s="2121"/>
      <c r="B101" s="2554"/>
      <c r="C101" s="103">
        <v>2017</v>
      </c>
      <c r="D101" s="40"/>
      <c r="E101" s="41"/>
      <c r="F101" s="170"/>
      <c r="G101" s="171"/>
      <c r="H101" s="171"/>
      <c r="I101" s="171"/>
      <c r="J101" s="171"/>
      <c r="K101" s="171"/>
      <c r="L101" s="171"/>
      <c r="M101" s="172"/>
      <c r="N101" s="158"/>
      <c r="O101" s="158"/>
      <c r="P101" s="158"/>
    </row>
    <row r="102" spans="1:16">
      <c r="A102" s="2121"/>
      <c r="B102" s="2554"/>
      <c r="C102" s="103">
        <v>2018</v>
      </c>
      <c r="D102" s="40"/>
      <c r="E102" s="41"/>
      <c r="F102" s="170"/>
      <c r="G102" s="171"/>
      <c r="H102" s="171"/>
      <c r="I102" s="171"/>
      <c r="J102" s="171"/>
      <c r="K102" s="171"/>
      <c r="L102" s="171"/>
      <c r="M102" s="172"/>
      <c r="N102" s="158"/>
      <c r="O102" s="158"/>
      <c r="P102" s="158"/>
    </row>
    <row r="103" spans="1:16">
      <c r="A103" s="2121"/>
      <c r="B103" s="2554"/>
      <c r="C103" s="103">
        <v>2019</v>
      </c>
      <c r="D103" s="40"/>
      <c r="E103" s="41"/>
      <c r="F103" s="170"/>
      <c r="G103" s="171"/>
      <c r="H103" s="171"/>
      <c r="I103" s="171"/>
      <c r="J103" s="171"/>
      <c r="K103" s="171"/>
      <c r="L103" s="171"/>
      <c r="M103" s="172"/>
      <c r="N103" s="158"/>
      <c r="O103" s="158"/>
      <c r="P103" s="158"/>
    </row>
    <row r="104" spans="1:16">
      <c r="A104" s="2121"/>
      <c r="B104" s="2554"/>
      <c r="C104" s="103">
        <v>2020</v>
      </c>
      <c r="D104" s="40"/>
      <c r="E104" s="41"/>
      <c r="F104" s="170"/>
      <c r="G104" s="171"/>
      <c r="H104" s="171"/>
      <c r="I104" s="171"/>
      <c r="J104" s="171"/>
      <c r="K104" s="171"/>
      <c r="L104" s="171"/>
      <c r="M104" s="172"/>
      <c r="N104" s="158"/>
      <c r="O104" s="158"/>
      <c r="P104" s="158"/>
    </row>
    <row r="105" spans="1:16" ht="15.75" thickBot="1">
      <c r="A105" s="2049"/>
      <c r="B105" s="2555"/>
      <c r="C105" s="106" t="s">
        <v>13</v>
      </c>
      <c r="D105" s="132">
        <f t="shared" ref="D105:K105" si="7">SUM(D98:D104)</f>
        <v>0</v>
      </c>
      <c r="E105" s="109">
        <f t="shared" si="7"/>
        <v>0</v>
      </c>
      <c r="F105" s="173">
        <f t="shared" si="7"/>
        <v>0</v>
      </c>
      <c r="G105" s="174">
        <f t="shared" si="7"/>
        <v>0</v>
      </c>
      <c r="H105" s="174">
        <f t="shared" si="7"/>
        <v>0</v>
      </c>
      <c r="I105" s="174">
        <f t="shared" si="7"/>
        <v>0</v>
      </c>
      <c r="J105" s="174">
        <f t="shared" si="7"/>
        <v>0</v>
      </c>
      <c r="K105" s="174">
        <f t="shared" si="7"/>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c r="A107" s="2043" t="s">
        <v>69</v>
      </c>
      <c r="B107" s="2551" t="s">
        <v>553</v>
      </c>
      <c r="C107" s="2058" t="s">
        <v>9</v>
      </c>
      <c r="D107" s="2060" t="s">
        <v>70</v>
      </c>
      <c r="E107" s="155" t="s">
        <v>71</v>
      </c>
      <c r="F107" s="156"/>
      <c r="G107" s="156"/>
      <c r="H107" s="156"/>
      <c r="I107" s="156"/>
      <c r="J107" s="156"/>
      <c r="K107" s="156"/>
      <c r="L107" s="157"/>
      <c r="M107" s="178"/>
      <c r="N107" s="178"/>
    </row>
    <row r="108" spans="1:16" ht="118.5" customHeight="1">
      <c r="A108" s="2044"/>
      <c r="B108" s="2552"/>
      <c r="C108" s="2059"/>
      <c r="D108" s="2061"/>
      <c r="E108" s="161" t="s">
        <v>14</v>
      </c>
      <c r="F108" s="162" t="s">
        <v>67</v>
      </c>
      <c r="G108" s="163" t="s">
        <v>55</v>
      </c>
      <c r="H108" s="164" t="s">
        <v>56</v>
      </c>
      <c r="I108" s="164" t="s">
        <v>57</v>
      </c>
      <c r="J108" s="165" t="s">
        <v>68</v>
      </c>
      <c r="K108" s="163" t="s">
        <v>58</v>
      </c>
      <c r="L108" s="166" t="s">
        <v>59</v>
      </c>
      <c r="M108" s="178"/>
      <c r="N108" s="178"/>
    </row>
    <row r="109" spans="1:16">
      <c r="A109" s="2120" t="s">
        <v>555</v>
      </c>
      <c r="B109" s="2553"/>
      <c r="C109" s="99">
        <v>2014</v>
      </c>
      <c r="D109" s="34"/>
      <c r="E109" s="167"/>
      <c r="F109" s="168"/>
      <c r="G109" s="168"/>
      <c r="H109" s="168"/>
      <c r="I109" s="168"/>
      <c r="J109" s="168"/>
      <c r="K109" s="168"/>
      <c r="L109" s="169"/>
      <c r="M109" s="178"/>
      <c r="N109" s="178"/>
    </row>
    <row r="110" spans="1:16">
      <c r="A110" s="2121"/>
      <c r="B110" s="2554"/>
      <c r="C110" s="103">
        <v>2015</v>
      </c>
      <c r="D110" s="41"/>
      <c r="E110" s="170"/>
      <c r="F110" s="171"/>
      <c r="G110" s="171"/>
      <c r="H110" s="171"/>
      <c r="I110" s="171"/>
      <c r="J110" s="171"/>
      <c r="K110" s="171"/>
      <c r="L110" s="172"/>
      <c r="M110" s="178"/>
      <c r="N110" s="178"/>
    </row>
    <row r="111" spans="1:16">
      <c r="A111" s="2121"/>
      <c r="B111" s="2554"/>
      <c r="C111" s="103">
        <v>2016</v>
      </c>
      <c r="D111" s="41"/>
      <c r="E111" s="170"/>
      <c r="F111" s="171"/>
      <c r="G111" s="171"/>
      <c r="H111" s="171"/>
      <c r="I111" s="171"/>
      <c r="J111" s="171"/>
      <c r="K111" s="171"/>
      <c r="L111" s="172"/>
      <c r="M111" s="178"/>
      <c r="N111" s="178"/>
    </row>
    <row r="112" spans="1:16">
      <c r="A112" s="2121"/>
      <c r="B112" s="2554"/>
      <c r="C112" s="103">
        <v>2017</v>
      </c>
      <c r="D112" s="41"/>
      <c r="E112" s="170"/>
      <c r="F112" s="171"/>
      <c r="G112" s="171"/>
      <c r="H112" s="171"/>
      <c r="I112" s="171"/>
      <c r="J112" s="171"/>
      <c r="K112" s="171"/>
      <c r="L112" s="172"/>
      <c r="M112" s="178"/>
      <c r="N112" s="178"/>
    </row>
    <row r="113" spans="1:14">
      <c r="A113" s="2121"/>
      <c r="B113" s="2554"/>
      <c r="C113" s="103">
        <v>2018</v>
      </c>
      <c r="D113" s="41"/>
      <c r="E113" s="170"/>
      <c r="F113" s="171"/>
      <c r="G113" s="171"/>
      <c r="H113" s="171"/>
      <c r="I113" s="171"/>
      <c r="J113" s="171"/>
      <c r="K113" s="171"/>
      <c r="L113" s="172"/>
      <c r="M113" s="178"/>
      <c r="N113" s="178"/>
    </row>
    <row r="114" spans="1:14">
      <c r="A114" s="2121"/>
      <c r="B114" s="2554"/>
      <c r="C114" s="103">
        <v>2019</v>
      </c>
      <c r="D114" s="41"/>
      <c r="E114" s="170"/>
      <c r="F114" s="171"/>
      <c r="G114" s="171"/>
      <c r="H114" s="171"/>
      <c r="I114" s="171"/>
      <c r="J114" s="171"/>
      <c r="K114" s="171"/>
      <c r="L114" s="172"/>
      <c r="M114" s="178"/>
      <c r="N114" s="178"/>
    </row>
    <row r="115" spans="1:14">
      <c r="A115" s="2121"/>
      <c r="B115" s="2554"/>
      <c r="C115" s="103">
        <v>2020</v>
      </c>
      <c r="D115" s="41"/>
      <c r="E115" s="170"/>
      <c r="F115" s="171"/>
      <c r="G115" s="171"/>
      <c r="H115" s="171"/>
      <c r="I115" s="171"/>
      <c r="J115" s="171"/>
      <c r="K115" s="171"/>
      <c r="L115" s="172"/>
      <c r="M115" s="178"/>
      <c r="N115" s="178"/>
    </row>
    <row r="116" spans="1:14" ht="15.75" thickBot="1">
      <c r="A116" s="2049"/>
      <c r="B116" s="2555"/>
      <c r="C116" s="106" t="s">
        <v>13</v>
      </c>
      <c r="D116" s="109">
        <f t="shared" ref="D116:I116" si="8">SUM(D109:D115)</f>
        <v>0</v>
      </c>
      <c r="E116" s="173">
        <f t="shared" si="8"/>
        <v>0</v>
      </c>
      <c r="F116" s="174">
        <f t="shared" si="8"/>
        <v>0</v>
      </c>
      <c r="G116" s="174">
        <f t="shared" si="8"/>
        <v>0</v>
      </c>
      <c r="H116" s="174">
        <f t="shared" si="8"/>
        <v>0</v>
      </c>
      <c r="I116" s="174">
        <f t="shared" si="8"/>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c r="A118" s="2043" t="s">
        <v>72</v>
      </c>
      <c r="B118" s="2551" t="s">
        <v>553</v>
      </c>
      <c r="C118" s="2058" t="s">
        <v>9</v>
      </c>
      <c r="D118" s="2060" t="s">
        <v>73</v>
      </c>
      <c r="E118" s="155" t="s">
        <v>71</v>
      </c>
      <c r="F118" s="156"/>
      <c r="G118" s="156"/>
      <c r="H118" s="156"/>
      <c r="I118" s="156"/>
      <c r="J118" s="156"/>
      <c r="K118" s="156"/>
      <c r="L118" s="157"/>
      <c r="M118" s="178"/>
      <c r="N118" s="178"/>
    </row>
    <row r="119" spans="1:14" ht="133.5" customHeight="1">
      <c r="A119" s="2044"/>
      <c r="B119" s="2552"/>
      <c r="C119" s="2059"/>
      <c r="D119" s="2061"/>
      <c r="E119" s="161" t="s">
        <v>14</v>
      </c>
      <c r="F119" s="162" t="s">
        <v>67</v>
      </c>
      <c r="G119" s="163" t="s">
        <v>55</v>
      </c>
      <c r="H119" s="164" t="s">
        <v>56</v>
      </c>
      <c r="I119" s="164" t="s">
        <v>57</v>
      </c>
      <c r="J119" s="165" t="s">
        <v>68</v>
      </c>
      <c r="K119" s="163" t="s">
        <v>58</v>
      </c>
      <c r="L119" s="166" t="s">
        <v>59</v>
      </c>
      <c r="M119" s="178"/>
      <c r="N119" s="178"/>
    </row>
    <row r="120" spans="1:14">
      <c r="A120" s="2120" t="s">
        <v>556</v>
      </c>
      <c r="B120" s="2553"/>
      <c r="C120" s="99">
        <v>2014</v>
      </c>
      <c r="D120" s="34"/>
      <c r="E120" s="167"/>
      <c r="F120" s="168"/>
      <c r="G120" s="168"/>
      <c r="H120" s="168"/>
      <c r="I120" s="168"/>
      <c r="J120" s="168"/>
      <c r="K120" s="168"/>
      <c r="L120" s="169"/>
      <c r="M120" s="178"/>
      <c r="N120" s="178"/>
    </row>
    <row r="121" spans="1:14">
      <c r="A121" s="2121"/>
      <c r="B121" s="2554"/>
      <c r="C121" s="103">
        <v>2015</v>
      </c>
      <c r="D121" s="41"/>
      <c r="E121" s="170"/>
      <c r="F121" s="171"/>
      <c r="G121" s="171"/>
      <c r="H121" s="171"/>
      <c r="I121" s="171"/>
      <c r="J121" s="171"/>
      <c r="K121" s="171"/>
      <c r="L121" s="172"/>
      <c r="M121" s="178"/>
      <c r="N121" s="178"/>
    </row>
    <row r="122" spans="1:14">
      <c r="A122" s="2121"/>
      <c r="B122" s="2554"/>
      <c r="C122" s="103">
        <v>2016</v>
      </c>
      <c r="D122" s="41"/>
      <c r="E122" s="170"/>
      <c r="F122" s="171"/>
      <c r="G122" s="171"/>
      <c r="H122" s="171"/>
      <c r="I122" s="171"/>
      <c r="J122" s="171"/>
      <c r="K122" s="171"/>
      <c r="L122" s="172"/>
      <c r="M122" s="178"/>
      <c r="N122" s="178"/>
    </row>
    <row r="123" spans="1:14">
      <c r="A123" s="2121"/>
      <c r="B123" s="2554"/>
      <c r="C123" s="103">
        <v>2017</v>
      </c>
      <c r="D123" s="41"/>
      <c r="E123" s="170"/>
      <c r="F123" s="171"/>
      <c r="G123" s="171"/>
      <c r="H123" s="171"/>
      <c r="I123" s="171"/>
      <c r="J123" s="171"/>
      <c r="K123" s="171"/>
      <c r="L123" s="172"/>
      <c r="M123" s="178"/>
      <c r="N123" s="178"/>
    </row>
    <row r="124" spans="1:14">
      <c r="A124" s="2121"/>
      <c r="B124" s="2554"/>
      <c r="C124" s="103">
        <v>2018</v>
      </c>
      <c r="D124" s="41"/>
      <c r="E124" s="170"/>
      <c r="F124" s="171"/>
      <c r="G124" s="171"/>
      <c r="H124" s="171"/>
      <c r="I124" s="171"/>
      <c r="J124" s="171"/>
      <c r="K124" s="171"/>
      <c r="L124" s="172"/>
      <c r="M124" s="178"/>
      <c r="N124" s="178"/>
    </row>
    <row r="125" spans="1:14">
      <c r="A125" s="2121"/>
      <c r="B125" s="2554"/>
      <c r="C125" s="103">
        <v>2019</v>
      </c>
      <c r="D125" s="41"/>
      <c r="E125" s="170"/>
      <c r="F125" s="171"/>
      <c r="G125" s="171"/>
      <c r="H125" s="171"/>
      <c r="I125" s="171"/>
      <c r="J125" s="171"/>
      <c r="K125" s="171"/>
      <c r="L125" s="172"/>
      <c r="M125" s="178"/>
      <c r="N125" s="178"/>
    </row>
    <row r="126" spans="1:14">
      <c r="A126" s="2121"/>
      <c r="B126" s="2554"/>
      <c r="C126" s="103">
        <v>2020</v>
      </c>
      <c r="D126" s="41"/>
      <c r="E126" s="170"/>
      <c r="F126" s="171"/>
      <c r="G126" s="171"/>
      <c r="H126" s="171"/>
      <c r="I126" s="171"/>
      <c r="J126" s="171"/>
      <c r="K126" s="171"/>
      <c r="L126" s="172"/>
      <c r="M126" s="178"/>
      <c r="N126" s="178"/>
    </row>
    <row r="127" spans="1:14" ht="15.75" thickBot="1">
      <c r="A127" s="2049"/>
      <c r="B127" s="2555"/>
      <c r="C127" s="106" t="s">
        <v>13</v>
      </c>
      <c r="D127" s="109">
        <f t="shared" ref="D127:I127" si="9">SUM(D120:D126)</f>
        <v>0</v>
      </c>
      <c r="E127" s="173">
        <f t="shared" si="9"/>
        <v>0</v>
      </c>
      <c r="F127" s="174">
        <f t="shared" si="9"/>
        <v>0</v>
      </c>
      <c r="G127" s="174">
        <f t="shared" si="9"/>
        <v>0</v>
      </c>
      <c r="H127" s="174">
        <f t="shared" si="9"/>
        <v>0</v>
      </c>
      <c r="I127" s="174">
        <f t="shared" si="9"/>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8">
      <c r="A129" s="2043" t="s">
        <v>75</v>
      </c>
      <c r="B129" s="2551" t="s">
        <v>553</v>
      </c>
      <c r="C129" s="1589" t="s">
        <v>9</v>
      </c>
      <c r="D129" s="182" t="s">
        <v>76</v>
      </c>
      <c r="E129" s="183"/>
      <c r="F129" s="183"/>
      <c r="G129" s="184"/>
      <c r="H129" s="178"/>
      <c r="I129" s="178"/>
      <c r="J129" s="178"/>
      <c r="K129" s="178"/>
      <c r="L129" s="178"/>
      <c r="M129" s="178"/>
      <c r="N129" s="178"/>
    </row>
    <row r="130" spans="1:18" ht="90" customHeight="1">
      <c r="A130" s="2044"/>
      <c r="B130" s="2552"/>
      <c r="C130" s="1590"/>
      <c r="D130" s="159" t="s">
        <v>77</v>
      </c>
      <c r="E130" s="186" t="s">
        <v>78</v>
      </c>
      <c r="F130" s="160" t="s">
        <v>79</v>
      </c>
      <c r="G130" s="187" t="s">
        <v>13</v>
      </c>
      <c r="H130" s="178"/>
      <c r="I130" s="178"/>
      <c r="J130" s="178"/>
      <c r="K130" s="178"/>
      <c r="L130" s="178"/>
      <c r="M130" s="178"/>
      <c r="N130" s="178"/>
    </row>
    <row r="131" spans="1:18">
      <c r="A131" s="2542" t="s">
        <v>557</v>
      </c>
      <c r="B131" s="2153"/>
      <c r="C131" s="99">
        <v>2015</v>
      </c>
      <c r="D131" s="33"/>
      <c r="E131" s="34"/>
      <c r="F131" s="34"/>
      <c r="G131" s="191">
        <f t="shared" ref="G131:G136" si="10">SUM(D131:F131)</f>
        <v>0</v>
      </c>
      <c r="H131" s="178"/>
      <c r="I131" s="178"/>
      <c r="J131" s="178"/>
      <c r="K131" s="178"/>
      <c r="L131" s="178"/>
      <c r="M131" s="178"/>
      <c r="N131" s="178"/>
    </row>
    <row r="132" spans="1:18">
      <c r="A132" s="2543"/>
      <c r="B132" s="2153"/>
      <c r="C132" s="103">
        <v>2016</v>
      </c>
      <c r="D132" s="40"/>
      <c r="E132" s="41"/>
      <c r="F132" s="41"/>
      <c r="G132" s="191">
        <f t="shared" si="10"/>
        <v>0</v>
      </c>
      <c r="H132" s="178"/>
      <c r="I132" s="178"/>
      <c r="J132" s="178"/>
      <c r="K132" s="178"/>
      <c r="L132" s="178"/>
      <c r="M132" s="178"/>
      <c r="N132" s="178"/>
    </row>
    <row r="133" spans="1:18">
      <c r="A133" s="2543"/>
      <c r="B133" s="2153"/>
      <c r="C133" s="103">
        <v>2017</v>
      </c>
      <c r="D133" s="40"/>
      <c r="E133" s="41"/>
      <c r="F133" s="41"/>
      <c r="G133" s="191">
        <f t="shared" si="10"/>
        <v>0</v>
      </c>
      <c r="H133" s="178"/>
      <c r="I133" s="178"/>
      <c r="J133" s="178"/>
      <c r="K133" s="178"/>
      <c r="L133" s="178"/>
      <c r="M133" s="178"/>
      <c r="N133" s="178"/>
    </row>
    <row r="134" spans="1:18">
      <c r="A134" s="2543"/>
      <c r="B134" s="2153"/>
      <c r="C134" s="103">
        <v>2018</v>
      </c>
      <c r="D134" s="40"/>
      <c r="E134" s="41"/>
      <c r="F134" s="41"/>
      <c r="G134" s="191">
        <f t="shared" si="10"/>
        <v>0</v>
      </c>
      <c r="H134" s="178"/>
      <c r="I134" s="178"/>
      <c r="J134" s="178"/>
      <c r="K134" s="178"/>
      <c r="L134" s="178"/>
      <c r="M134" s="178"/>
      <c r="N134" s="178"/>
    </row>
    <row r="135" spans="1:18">
      <c r="A135" s="2543"/>
      <c r="B135" s="2153"/>
      <c r="C135" s="103">
        <v>2019</v>
      </c>
      <c r="D135" s="40"/>
      <c r="E135" s="41"/>
      <c r="F135" s="41"/>
      <c r="G135" s="191">
        <f t="shared" si="10"/>
        <v>0</v>
      </c>
      <c r="H135" s="178"/>
      <c r="I135" s="178"/>
      <c r="J135" s="178"/>
      <c r="K135" s="178"/>
      <c r="L135" s="178"/>
      <c r="M135" s="178"/>
      <c r="N135" s="178"/>
    </row>
    <row r="136" spans="1:18">
      <c r="A136" s="2543"/>
      <c r="B136" s="2153"/>
      <c r="C136" s="103">
        <v>2020</v>
      </c>
      <c r="D136" s="40"/>
      <c r="E136" s="41"/>
      <c r="F136" s="41"/>
      <c r="G136" s="191">
        <f t="shared" si="10"/>
        <v>0</v>
      </c>
      <c r="H136" s="178"/>
      <c r="I136" s="178"/>
      <c r="J136" s="178"/>
      <c r="K136" s="178"/>
      <c r="L136" s="178"/>
      <c r="M136" s="178"/>
      <c r="N136" s="178"/>
    </row>
    <row r="137" spans="1:18" ht="15.75" thickBot="1">
      <c r="A137" s="2544"/>
      <c r="B137" s="2154"/>
      <c r="C137" s="106" t="s">
        <v>13</v>
      </c>
      <c r="D137" s="132">
        <f>SUM(D130:D136)</f>
        <v>0</v>
      </c>
      <c r="E137" s="109">
        <f>SUM(E130:E136)</f>
        <v>0</v>
      </c>
      <c r="F137" s="109">
        <f>SUM(F130:F136)</f>
        <v>0</v>
      </c>
      <c r="G137" s="192">
        <f>SUM(G130:G136)</f>
        <v>0</v>
      </c>
      <c r="H137" s="178"/>
      <c r="I137" s="178"/>
      <c r="J137" s="178"/>
      <c r="K137" s="178"/>
      <c r="L137" s="178"/>
      <c r="M137" s="178"/>
      <c r="N137" s="178"/>
    </row>
    <row r="138" spans="1:18">
      <c r="A138" s="176"/>
      <c r="B138" s="176"/>
      <c r="C138" s="177"/>
      <c r="D138" s="8"/>
      <c r="E138" s="8"/>
      <c r="H138" s="178"/>
      <c r="I138" s="178"/>
      <c r="J138" s="178"/>
      <c r="K138" s="178"/>
      <c r="L138" s="178"/>
      <c r="M138" s="178"/>
      <c r="N138" s="178"/>
    </row>
    <row r="139" spans="1:18">
      <c r="A139" s="346"/>
      <c r="B139" s="79"/>
      <c r="C139" s="80"/>
      <c r="D139" s="38"/>
      <c r="E139" s="38"/>
      <c r="F139" s="38"/>
      <c r="G139" s="38"/>
      <c r="H139" s="38"/>
      <c r="I139" s="263"/>
      <c r="J139" s="262"/>
      <c r="K139" s="262"/>
      <c r="L139" s="262"/>
      <c r="M139" s="262"/>
      <c r="N139" s="262"/>
      <c r="O139" s="262"/>
      <c r="P139" s="262"/>
      <c r="Q139" s="66"/>
      <c r="R139" s="66"/>
    </row>
    <row r="140" spans="1:18" ht="21">
      <c r="A140" s="197" t="s">
        <v>80</v>
      </c>
      <c r="B140" s="197"/>
      <c r="C140" s="198"/>
      <c r="D140" s="198"/>
      <c r="E140" s="198"/>
      <c r="F140" s="198"/>
      <c r="G140" s="198"/>
      <c r="H140" s="198"/>
      <c r="I140" s="198"/>
      <c r="J140" s="198"/>
      <c r="K140" s="198"/>
      <c r="L140" s="198"/>
      <c r="M140" s="198"/>
      <c r="N140" s="198"/>
      <c r="O140" s="153"/>
      <c r="P140" s="153"/>
    </row>
    <row r="141" spans="1:18" ht="15.75" thickBot="1">
      <c r="A141" s="199"/>
      <c r="B141" s="112"/>
      <c r="C141" s="134"/>
      <c r="D141" s="77"/>
      <c r="E141" s="77"/>
      <c r="F141" s="77"/>
      <c r="G141" s="77"/>
      <c r="H141" s="77"/>
      <c r="I141" s="158"/>
      <c r="J141" s="158"/>
      <c r="K141" s="158"/>
      <c r="L141" s="158"/>
      <c r="M141" s="158"/>
      <c r="N141" s="158"/>
      <c r="O141" s="158"/>
      <c r="P141" s="158"/>
    </row>
    <row r="142" spans="1:18">
      <c r="A142" s="2072" t="s">
        <v>81</v>
      </c>
      <c r="B142" s="2559" t="s">
        <v>553</v>
      </c>
      <c r="C142" s="2083" t="s">
        <v>9</v>
      </c>
      <c r="D142" s="364" t="s">
        <v>82</v>
      </c>
      <c r="E142" s="365"/>
      <c r="F142" s="365"/>
      <c r="G142" s="365"/>
      <c r="H142" s="365"/>
      <c r="I142" s="366"/>
      <c r="J142" s="2076" t="s">
        <v>83</v>
      </c>
      <c r="K142" s="2077"/>
      <c r="L142" s="2077"/>
      <c r="M142" s="2077"/>
      <c r="N142" s="2078"/>
      <c r="O142" s="158"/>
      <c r="P142" s="158"/>
    </row>
    <row r="143" spans="1:18" ht="127.5" customHeight="1">
      <c r="A143" s="2073"/>
      <c r="B143" s="2560"/>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8">
      <c r="A144" s="2120" t="s">
        <v>558</v>
      </c>
      <c r="B144" s="2169"/>
      <c r="C144" s="99">
        <v>2014</v>
      </c>
      <c r="D144" s="33"/>
      <c r="E144" s="33"/>
      <c r="F144" s="34"/>
      <c r="G144" s="168"/>
      <c r="H144" s="168"/>
      <c r="I144" s="210">
        <f>D144+F144+G144+H144</f>
        <v>0</v>
      </c>
      <c r="J144" s="211"/>
      <c r="K144" s="212"/>
      <c r="L144" s="211"/>
      <c r="M144" s="212"/>
      <c r="N144" s="213"/>
      <c r="O144" s="158"/>
      <c r="P144" s="158"/>
    </row>
    <row r="145" spans="1:16">
      <c r="A145" s="2121"/>
      <c r="B145" s="2169"/>
      <c r="C145" s="103">
        <v>2015</v>
      </c>
      <c r="D145" s="40"/>
      <c r="E145" s="40"/>
      <c r="F145" s="41"/>
      <c r="G145" s="171"/>
      <c r="H145" s="171"/>
      <c r="I145" s="210">
        <f t="shared" ref="I145:I150" si="11">D145+F145+G145+H145</f>
        <v>0</v>
      </c>
      <c r="J145" s="214"/>
      <c r="K145" s="215"/>
      <c r="L145" s="214"/>
      <c r="M145" s="215"/>
      <c r="N145" s="216"/>
      <c r="O145" s="158"/>
      <c r="P145" s="158"/>
    </row>
    <row r="146" spans="1:16">
      <c r="A146" s="2121"/>
      <c r="B146" s="2169"/>
      <c r="C146" s="103">
        <v>2016</v>
      </c>
      <c r="D146" s="40"/>
      <c r="E146" s="40"/>
      <c r="F146" s="41"/>
      <c r="G146" s="171"/>
      <c r="H146" s="171"/>
      <c r="I146" s="210">
        <f t="shared" si="11"/>
        <v>0</v>
      </c>
      <c r="J146" s="214"/>
      <c r="K146" s="215"/>
      <c r="L146" s="214"/>
      <c r="M146" s="215"/>
      <c r="N146" s="216"/>
      <c r="O146" s="158"/>
      <c r="P146" s="158"/>
    </row>
    <row r="147" spans="1:16">
      <c r="A147" s="2121"/>
      <c r="B147" s="2169"/>
      <c r="C147" s="103">
        <v>2017</v>
      </c>
      <c r="D147" s="40"/>
      <c r="E147" s="40"/>
      <c r="F147" s="41"/>
      <c r="G147" s="171"/>
      <c r="H147" s="171"/>
      <c r="I147" s="210">
        <f t="shared" si="11"/>
        <v>0</v>
      </c>
      <c r="J147" s="214"/>
      <c r="K147" s="215"/>
      <c r="L147" s="214"/>
      <c r="M147" s="215"/>
      <c r="N147" s="216"/>
      <c r="O147" s="158"/>
      <c r="P147" s="158"/>
    </row>
    <row r="148" spans="1:16">
      <c r="A148" s="2121"/>
      <c r="B148" s="2169"/>
      <c r="C148" s="103">
        <v>2018</v>
      </c>
      <c r="D148" s="40"/>
      <c r="E148" s="40"/>
      <c r="F148" s="41"/>
      <c r="G148" s="171"/>
      <c r="H148" s="171"/>
      <c r="I148" s="210">
        <f t="shared" si="11"/>
        <v>0</v>
      </c>
      <c r="J148" s="214"/>
      <c r="K148" s="215"/>
      <c r="L148" s="214"/>
      <c r="M148" s="215"/>
      <c r="N148" s="216"/>
      <c r="O148" s="158"/>
      <c r="P148" s="158"/>
    </row>
    <row r="149" spans="1:16">
      <c r="A149" s="2121"/>
      <c r="B149" s="2169"/>
      <c r="C149" s="103">
        <v>2019</v>
      </c>
      <c r="D149" s="40"/>
      <c r="E149" s="40"/>
      <c r="F149" s="41"/>
      <c r="G149" s="171"/>
      <c r="H149" s="171"/>
      <c r="I149" s="210">
        <f t="shared" si="11"/>
        <v>0</v>
      </c>
      <c r="J149" s="214"/>
      <c r="K149" s="215"/>
      <c r="L149" s="214"/>
      <c r="M149" s="215"/>
      <c r="N149" s="216"/>
      <c r="O149" s="158"/>
      <c r="P149" s="158"/>
    </row>
    <row r="150" spans="1:16">
      <c r="A150" s="2121"/>
      <c r="B150" s="2169"/>
      <c r="C150" s="103">
        <v>2020</v>
      </c>
      <c r="D150" s="40"/>
      <c r="E150" s="40"/>
      <c r="F150" s="41"/>
      <c r="G150" s="171"/>
      <c r="H150" s="171"/>
      <c r="I150" s="210">
        <f t="shared" si="11"/>
        <v>0</v>
      </c>
      <c r="J150" s="214"/>
      <c r="K150" s="215"/>
      <c r="L150" s="214"/>
      <c r="M150" s="215"/>
      <c r="N150" s="216"/>
      <c r="O150" s="158"/>
      <c r="P150" s="158"/>
    </row>
    <row r="151" spans="1:16" ht="124.5" customHeight="1" thickBot="1">
      <c r="A151" s="2067"/>
      <c r="B151" s="2170"/>
      <c r="C151" s="106" t="s">
        <v>13</v>
      </c>
      <c r="D151" s="132">
        <f t="shared" ref="D151:N151" si="12">SUM(D144:D150)</f>
        <v>0</v>
      </c>
      <c r="E151" s="132">
        <f t="shared" si="12"/>
        <v>0</v>
      </c>
      <c r="F151" s="132">
        <f t="shared" si="12"/>
        <v>0</v>
      </c>
      <c r="G151" s="132">
        <f t="shared" si="12"/>
        <v>0</v>
      </c>
      <c r="H151" s="132">
        <f t="shared" si="12"/>
        <v>0</v>
      </c>
      <c r="I151" s="217">
        <f t="shared" si="12"/>
        <v>0</v>
      </c>
      <c r="J151" s="218">
        <f t="shared" si="12"/>
        <v>0</v>
      </c>
      <c r="K151" s="219">
        <f t="shared" si="12"/>
        <v>0</v>
      </c>
      <c r="L151" s="218">
        <f t="shared" si="12"/>
        <v>0</v>
      </c>
      <c r="M151" s="219">
        <f t="shared" si="12"/>
        <v>0</v>
      </c>
      <c r="N151" s="220">
        <f t="shared" si="12"/>
        <v>0</v>
      </c>
      <c r="O151" s="158"/>
      <c r="P151" s="158"/>
    </row>
    <row r="152" spans="1:16" ht="15.75" thickBot="1">
      <c r="B152" s="221"/>
      <c r="O152" s="158"/>
      <c r="P152" s="158"/>
    </row>
    <row r="153" spans="1:16" ht="26.25">
      <c r="A153" s="2079" t="s">
        <v>94</v>
      </c>
      <c r="B153" s="2559" t="s">
        <v>553</v>
      </c>
      <c r="C153" s="2081" t="s">
        <v>9</v>
      </c>
      <c r="D153" s="222" t="s">
        <v>95</v>
      </c>
      <c r="E153" s="222"/>
      <c r="F153" s="223"/>
      <c r="G153" s="223"/>
      <c r="H153" s="222" t="s">
        <v>96</v>
      </c>
      <c r="I153" s="222"/>
      <c r="J153" s="224"/>
      <c r="K153" s="1591"/>
      <c r="L153" s="1591"/>
      <c r="M153" s="1591"/>
      <c r="N153" s="1591"/>
      <c r="O153" s="158"/>
      <c r="P153" s="158"/>
    </row>
    <row r="154" spans="1:16" ht="63.75" customHeight="1">
      <c r="A154" s="2125"/>
      <c r="B154" s="2560"/>
      <c r="C154" s="2082"/>
      <c r="D154" s="225" t="s">
        <v>97</v>
      </c>
      <c r="E154" s="226" t="s">
        <v>98</v>
      </c>
      <c r="F154" s="227" t="s">
        <v>99</v>
      </c>
      <c r="G154" s="228" t="s">
        <v>100</v>
      </c>
      <c r="H154" s="225" t="s">
        <v>101</v>
      </c>
      <c r="I154" s="226" t="s">
        <v>102</v>
      </c>
      <c r="J154" s="229" t="s">
        <v>93</v>
      </c>
      <c r="K154" s="1591"/>
      <c r="L154" s="1591"/>
      <c r="M154" s="1591"/>
      <c r="N154" s="1591"/>
      <c r="O154" s="158"/>
      <c r="P154" s="158"/>
    </row>
    <row r="155" spans="1:16">
      <c r="A155" s="2120" t="s">
        <v>559</v>
      </c>
      <c r="B155" s="2169"/>
      <c r="C155" s="230">
        <v>2014</v>
      </c>
      <c r="D155" s="211"/>
      <c r="E155" s="168"/>
      <c r="F155" s="212"/>
      <c r="G155" s="210">
        <f>SUM(D155:F155)</f>
        <v>0</v>
      </c>
      <c r="H155" s="211"/>
      <c r="I155" s="168"/>
      <c r="J155" s="169"/>
      <c r="O155" s="158"/>
      <c r="P155" s="158"/>
    </row>
    <row r="156" spans="1:16">
      <c r="A156" s="2121"/>
      <c r="B156" s="2169"/>
      <c r="C156" s="231">
        <v>2015</v>
      </c>
      <c r="D156" s="214"/>
      <c r="E156" s="171"/>
      <c r="F156" s="215"/>
      <c r="G156" s="210">
        <f t="shared" ref="G156:G161" si="13">SUM(D156:F156)</f>
        <v>0</v>
      </c>
      <c r="H156" s="214"/>
      <c r="I156" s="171"/>
      <c r="J156" s="172"/>
      <c r="O156" s="158"/>
      <c r="P156" s="158"/>
    </row>
    <row r="157" spans="1:16">
      <c r="A157" s="2121"/>
      <c r="B157" s="2169"/>
      <c r="C157" s="231">
        <v>2016</v>
      </c>
      <c r="D157" s="214"/>
      <c r="E157" s="171"/>
      <c r="F157" s="215"/>
      <c r="G157" s="210">
        <f t="shared" si="13"/>
        <v>0</v>
      </c>
      <c r="H157" s="214"/>
      <c r="I157" s="171"/>
      <c r="J157" s="172"/>
      <c r="O157" s="158"/>
      <c r="P157" s="158"/>
    </row>
    <row r="158" spans="1:16">
      <c r="A158" s="2121"/>
      <c r="B158" s="2169"/>
      <c r="C158" s="231">
        <v>2017</v>
      </c>
      <c r="D158" s="214"/>
      <c r="E158" s="171"/>
      <c r="F158" s="215"/>
      <c r="G158" s="210">
        <f t="shared" si="13"/>
        <v>0</v>
      </c>
      <c r="H158" s="214"/>
      <c r="I158" s="171"/>
      <c r="J158" s="172"/>
      <c r="O158" s="158"/>
      <c r="P158" s="158"/>
    </row>
    <row r="159" spans="1:16">
      <c r="A159" s="2121"/>
      <c r="B159" s="2169"/>
      <c r="C159" s="231">
        <v>2018</v>
      </c>
      <c r="D159" s="214"/>
      <c r="E159" s="171"/>
      <c r="F159" s="215"/>
      <c r="G159" s="210">
        <f t="shared" si="13"/>
        <v>0</v>
      </c>
      <c r="H159" s="214"/>
      <c r="I159" s="171"/>
      <c r="J159" s="172"/>
      <c r="O159" s="158"/>
      <c r="P159" s="158"/>
    </row>
    <row r="160" spans="1:16">
      <c r="A160" s="2121"/>
      <c r="B160" s="2169"/>
      <c r="C160" s="231">
        <v>2019</v>
      </c>
      <c r="D160" s="214"/>
      <c r="E160" s="171"/>
      <c r="F160" s="215"/>
      <c r="G160" s="210">
        <f t="shared" si="13"/>
        <v>0</v>
      </c>
      <c r="H160" s="214"/>
      <c r="I160" s="171"/>
      <c r="J160" s="172"/>
      <c r="O160" s="158"/>
      <c r="P160" s="158"/>
    </row>
    <row r="161" spans="1:18">
      <c r="A161" s="2121"/>
      <c r="B161" s="2169"/>
      <c r="C161" s="231">
        <v>2020</v>
      </c>
      <c r="D161" s="214"/>
      <c r="E161" s="171"/>
      <c r="F161" s="215"/>
      <c r="G161" s="210">
        <f t="shared" si="13"/>
        <v>0</v>
      </c>
      <c r="H161" s="214"/>
      <c r="I161" s="171"/>
      <c r="J161" s="172"/>
      <c r="O161" s="158"/>
      <c r="P161" s="158"/>
    </row>
    <row r="162" spans="1:18" ht="15.75" thickBot="1">
      <c r="A162" s="2067"/>
      <c r="B162" s="2170"/>
      <c r="C162" s="232" t="s">
        <v>13</v>
      </c>
      <c r="D162" s="218">
        <f t="shared" ref="D162:J162" si="14">SUM(D155:D161)</f>
        <v>0</v>
      </c>
      <c r="E162" s="174">
        <f t="shared" si="14"/>
        <v>0</v>
      </c>
      <c r="F162" s="219">
        <f t="shared" si="14"/>
        <v>0</v>
      </c>
      <c r="G162" s="219">
        <f t="shared" si="14"/>
        <v>0</v>
      </c>
      <c r="H162" s="218">
        <f t="shared" si="14"/>
        <v>0</v>
      </c>
      <c r="I162" s="174">
        <f t="shared" si="14"/>
        <v>0</v>
      </c>
      <c r="J162" s="233">
        <f t="shared" si="14"/>
        <v>0</v>
      </c>
    </row>
    <row r="163" spans="1:18" ht="15.75" thickBot="1">
      <c r="A163" s="234"/>
      <c r="B163" s="235"/>
      <c r="C163" s="236"/>
      <c r="D163" s="158"/>
      <c r="E163" s="237"/>
      <c r="F163" s="158"/>
      <c r="G163" s="158"/>
      <c r="H163" s="158"/>
      <c r="I163" s="158"/>
      <c r="J163" s="238"/>
      <c r="K163" s="239"/>
    </row>
    <row r="164" spans="1:18" ht="120" customHeight="1">
      <c r="A164" s="240" t="s">
        <v>103</v>
      </c>
      <c r="B164" s="1608" t="s">
        <v>560</v>
      </c>
      <c r="C164" s="242" t="s">
        <v>9</v>
      </c>
      <c r="D164" s="243" t="s">
        <v>105</v>
      </c>
      <c r="E164" s="243" t="s">
        <v>106</v>
      </c>
      <c r="F164" s="244" t="s">
        <v>107</v>
      </c>
      <c r="G164" s="243" t="s">
        <v>108</v>
      </c>
      <c r="H164" s="243" t="s">
        <v>109</v>
      </c>
      <c r="I164" s="245" t="s">
        <v>110</v>
      </c>
      <c r="J164" s="246" t="s">
        <v>111</v>
      </c>
      <c r="K164" s="246" t="s">
        <v>112</v>
      </c>
      <c r="L164" s="473"/>
    </row>
    <row r="165" spans="1:18">
      <c r="A165" s="2556" t="s">
        <v>561</v>
      </c>
      <c r="B165" s="2174"/>
      <c r="C165" s="248">
        <v>2014</v>
      </c>
      <c r="D165" s="168"/>
      <c r="E165" s="168"/>
      <c r="F165" s="168"/>
      <c r="G165" s="168"/>
      <c r="H165" s="168"/>
      <c r="I165" s="169"/>
      <c r="J165" s="476">
        <v>0</v>
      </c>
      <c r="K165" s="250">
        <v>0</v>
      </c>
      <c r="L165" s="473"/>
    </row>
    <row r="166" spans="1:18">
      <c r="A166" s="2557"/>
      <c r="B166" s="2169"/>
      <c r="C166" s="251">
        <v>2015</v>
      </c>
      <c r="D166" s="252"/>
      <c r="E166" s="252"/>
      <c r="F166" s="252"/>
      <c r="G166" s="252"/>
      <c r="H166" s="252"/>
      <c r="I166" s="253"/>
      <c r="J166" s="1609">
        <v>0</v>
      </c>
      <c r="K166" s="1610">
        <v>0</v>
      </c>
      <c r="L166" s="473"/>
    </row>
    <row r="167" spans="1:18">
      <c r="A167" s="2557"/>
      <c r="B167" s="2169"/>
      <c r="C167" s="251">
        <v>2016</v>
      </c>
      <c r="D167" s="252"/>
      <c r="E167" s="252"/>
      <c r="F167" s="252"/>
      <c r="G167" s="252"/>
      <c r="H167" s="252"/>
      <c r="I167" s="253"/>
      <c r="J167" s="1611">
        <v>0</v>
      </c>
      <c r="K167" s="1612">
        <v>0</v>
      </c>
    </row>
    <row r="168" spans="1:18">
      <c r="A168" s="2557"/>
      <c r="B168" s="2169"/>
      <c r="C168" s="251">
        <v>2017</v>
      </c>
      <c r="D168" s="252"/>
      <c r="E168" s="158"/>
      <c r="F168" s="252"/>
      <c r="G168" s="252"/>
      <c r="H168" s="252"/>
      <c r="I168" s="253"/>
      <c r="J168" s="1613">
        <v>0</v>
      </c>
      <c r="K168" s="1612">
        <v>0</v>
      </c>
    </row>
    <row r="169" spans="1:18">
      <c r="A169" s="2557"/>
      <c r="B169" s="2169"/>
      <c r="C169" s="256">
        <v>2018</v>
      </c>
      <c r="D169" s="252"/>
      <c r="E169" s="252"/>
      <c r="F169" s="252"/>
      <c r="G169" s="257"/>
      <c r="H169" s="252"/>
      <c r="I169" s="253"/>
      <c r="J169" s="1613">
        <v>0</v>
      </c>
      <c r="K169" s="1612">
        <v>0</v>
      </c>
      <c r="L169" s="473"/>
    </row>
    <row r="170" spans="1:18">
      <c r="A170" s="2557"/>
      <c r="B170" s="2169"/>
      <c r="C170" s="251">
        <v>2019</v>
      </c>
      <c r="D170" s="158"/>
      <c r="E170" s="252"/>
      <c r="F170" s="252"/>
      <c r="G170" s="252"/>
      <c r="H170" s="257"/>
      <c r="I170" s="253"/>
      <c r="J170" s="1609">
        <v>0</v>
      </c>
      <c r="K170" s="1614">
        <v>0</v>
      </c>
      <c r="L170" s="473"/>
    </row>
    <row r="171" spans="1:18">
      <c r="A171" s="2557"/>
      <c r="B171" s="2169"/>
      <c r="C171" s="256">
        <v>2020</v>
      </c>
      <c r="D171" s="252"/>
      <c r="E171" s="252"/>
      <c r="F171" s="252"/>
      <c r="G171" s="252"/>
      <c r="H171" s="252"/>
      <c r="I171" s="253"/>
      <c r="J171" s="1611">
        <v>0</v>
      </c>
      <c r="K171" s="1614">
        <v>0</v>
      </c>
      <c r="L171" s="473"/>
    </row>
    <row r="172" spans="1:18" ht="15.75" thickBot="1">
      <c r="A172" s="2558"/>
      <c r="B172" s="2170"/>
      <c r="C172" s="258" t="s">
        <v>13</v>
      </c>
      <c r="D172" s="174"/>
      <c r="E172" s="174">
        <v>0</v>
      </c>
      <c r="F172" s="174"/>
      <c r="G172" s="1615">
        <v>0</v>
      </c>
      <c r="H172" s="174"/>
      <c r="I172" s="175">
        <v>0</v>
      </c>
      <c r="J172" s="1616">
        <v>0</v>
      </c>
      <c r="K172" s="1617">
        <v>0</v>
      </c>
      <c r="L172" s="473"/>
    </row>
    <row r="173" spans="1:18">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ht="15.75" thickBot="1">
      <c r="A176" s="2097" t="s">
        <v>115</v>
      </c>
      <c r="B176" s="2561" t="s">
        <v>548</v>
      </c>
      <c r="C176" s="2101" t="s">
        <v>9</v>
      </c>
      <c r="D176" s="267" t="s">
        <v>117</v>
      </c>
      <c r="E176" s="268"/>
      <c r="F176" s="268"/>
      <c r="G176" s="269"/>
      <c r="H176" s="270"/>
      <c r="I176" s="2103" t="s">
        <v>118</v>
      </c>
      <c r="J176" s="2104"/>
      <c r="K176" s="2104"/>
      <c r="L176" s="2104"/>
      <c r="M176" s="2104"/>
      <c r="N176" s="2104"/>
      <c r="O176" s="2105"/>
      <c r="P176" s="1591"/>
      <c r="Q176" s="1591"/>
      <c r="R176" s="1591"/>
    </row>
    <row r="177" spans="1:18" ht="135" customHeight="1">
      <c r="A177" s="2098"/>
      <c r="B177" s="2562"/>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c r="P177" s="1591"/>
      <c r="Q177" s="1591"/>
      <c r="R177" s="1591"/>
    </row>
    <row r="178" spans="1:18">
      <c r="A178" s="2121" t="s">
        <v>562</v>
      </c>
      <c r="B178" s="2169"/>
      <c r="C178" s="99">
        <v>2014</v>
      </c>
      <c r="D178" s="33"/>
      <c r="E178" s="34"/>
      <c r="F178" s="34"/>
      <c r="G178" s="278">
        <f t="shared" ref="G178:G184" si="15">SUM(D178:E178)</f>
        <v>0</v>
      </c>
      <c r="H178" s="125"/>
      <c r="I178" s="148"/>
      <c r="J178" s="34"/>
      <c r="K178" s="34"/>
      <c r="L178" s="34"/>
      <c r="M178" s="34"/>
      <c r="N178" s="34"/>
      <c r="O178" s="37"/>
    </row>
    <row r="179" spans="1:18">
      <c r="A179" s="2121"/>
      <c r="B179" s="2169"/>
      <c r="C179" s="103">
        <v>2015</v>
      </c>
      <c r="D179" s="40"/>
      <c r="E179" s="41"/>
      <c r="F179" s="41"/>
      <c r="G179" s="278">
        <f t="shared" si="15"/>
        <v>0</v>
      </c>
      <c r="H179" s="125"/>
      <c r="I179" s="105"/>
      <c r="J179" s="41"/>
      <c r="K179" s="41"/>
      <c r="L179" s="41"/>
      <c r="M179" s="41"/>
      <c r="N179" s="41"/>
      <c r="O179" s="86"/>
    </row>
    <row r="180" spans="1:18">
      <c r="A180" s="2121"/>
      <c r="B180" s="2169"/>
      <c r="C180" s="103">
        <v>2016</v>
      </c>
      <c r="D180" s="40"/>
      <c r="E180" s="41"/>
      <c r="F180" s="41"/>
      <c r="G180" s="278">
        <f t="shared" si="15"/>
        <v>0</v>
      </c>
      <c r="H180" s="125"/>
      <c r="I180" s="105"/>
      <c r="J180" s="41"/>
      <c r="K180" s="41"/>
      <c r="L180" s="41"/>
      <c r="M180" s="41"/>
      <c r="N180" s="41"/>
      <c r="O180" s="86"/>
    </row>
    <row r="181" spans="1:18">
      <c r="A181" s="2121"/>
      <c r="B181" s="2169"/>
      <c r="C181" s="103">
        <v>2017</v>
      </c>
      <c r="D181" s="40"/>
      <c r="E181" s="41"/>
      <c r="F181" s="41"/>
      <c r="G181" s="278">
        <f t="shared" si="15"/>
        <v>0</v>
      </c>
      <c r="H181" s="125"/>
      <c r="I181" s="105"/>
      <c r="J181" s="41"/>
      <c r="K181" s="41"/>
      <c r="L181" s="41"/>
      <c r="M181" s="41"/>
      <c r="N181" s="41"/>
      <c r="O181" s="86"/>
    </row>
    <row r="182" spans="1:18">
      <c r="A182" s="2121"/>
      <c r="B182" s="2169"/>
      <c r="C182" s="103">
        <v>2018</v>
      </c>
      <c r="D182" s="40"/>
      <c r="E182" s="41"/>
      <c r="F182" s="41"/>
      <c r="G182" s="278">
        <f t="shared" si="15"/>
        <v>0</v>
      </c>
      <c r="H182" s="125"/>
      <c r="I182" s="105"/>
      <c r="J182" s="41"/>
      <c r="K182" s="41"/>
      <c r="L182" s="41"/>
      <c r="M182" s="41"/>
      <c r="N182" s="41"/>
      <c r="O182" s="86"/>
    </row>
    <row r="183" spans="1:18">
      <c r="A183" s="2121"/>
      <c r="B183" s="2169"/>
      <c r="C183" s="103">
        <v>2019</v>
      </c>
      <c r="D183" s="40"/>
      <c r="E183" s="41"/>
      <c r="F183" s="41"/>
      <c r="G183" s="278">
        <f t="shared" si="15"/>
        <v>0</v>
      </c>
      <c r="H183" s="125"/>
      <c r="I183" s="105"/>
      <c r="J183" s="41"/>
      <c r="K183" s="41"/>
      <c r="L183" s="41"/>
      <c r="M183" s="41"/>
      <c r="N183" s="41"/>
      <c r="O183" s="86"/>
    </row>
    <row r="184" spans="1:18">
      <c r="A184" s="2121"/>
      <c r="B184" s="2169"/>
      <c r="C184" s="103">
        <v>2020</v>
      </c>
      <c r="D184" s="40"/>
      <c r="E184" s="41"/>
      <c r="F184" s="41"/>
      <c r="G184" s="278">
        <f t="shared" si="15"/>
        <v>0</v>
      </c>
      <c r="H184" s="125"/>
      <c r="I184" s="105"/>
      <c r="J184" s="41"/>
      <c r="K184" s="41"/>
      <c r="L184" s="41"/>
      <c r="M184" s="41"/>
      <c r="N184" s="41"/>
      <c r="O184" s="86"/>
    </row>
    <row r="185" spans="1:18" ht="87.75" customHeight="1" thickBot="1">
      <c r="A185" s="2067"/>
      <c r="B185" s="2170"/>
      <c r="C185" s="106" t="s">
        <v>13</v>
      </c>
      <c r="D185" s="132">
        <f>SUM(D178:D184)</f>
        <v>0</v>
      </c>
      <c r="E185" s="109">
        <f>SUM(E178:E184)</f>
        <v>0</v>
      </c>
      <c r="F185" s="109">
        <f>SUM(F178:F184)</f>
        <v>0</v>
      </c>
      <c r="G185" s="217">
        <f t="shared" ref="G185:O185" si="16">SUM(G178:G184)</f>
        <v>0</v>
      </c>
      <c r="H185" s="280">
        <f t="shared" si="16"/>
        <v>0</v>
      </c>
      <c r="I185" s="108">
        <f t="shared" si="16"/>
        <v>0</v>
      </c>
      <c r="J185" s="109">
        <f t="shared" si="16"/>
        <v>0</v>
      </c>
      <c r="K185" s="109">
        <f t="shared" si="16"/>
        <v>0</v>
      </c>
      <c r="L185" s="109">
        <f t="shared" si="16"/>
        <v>0</v>
      </c>
      <c r="M185" s="109">
        <f t="shared" si="16"/>
        <v>0</v>
      </c>
      <c r="N185" s="109">
        <f t="shared" si="16"/>
        <v>0</v>
      </c>
      <c r="O185" s="110">
        <f t="shared" si="16"/>
        <v>0</v>
      </c>
    </row>
    <row r="186" spans="1:18" ht="15.75" thickBot="1"/>
    <row r="187" spans="1:18">
      <c r="A187" s="2109" t="s">
        <v>125</v>
      </c>
      <c r="B187" s="2561" t="s">
        <v>548</v>
      </c>
      <c r="C187" s="2089" t="s">
        <v>9</v>
      </c>
      <c r="D187" s="2085" t="s">
        <v>126</v>
      </c>
      <c r="E187" s="2086"/>
      <c r="F187" s="2086"/>
      <c r="G187" s="2087"/>
      <c r="H187" s="2088" t="s">
        <v>127</v>
      </c>
      <c r="I187" s="2089"/>
      <c r="J187" s="2089"/>
      <c r="K187" s="2089"/>
      <c r="L187" s="2090"/>
    </row>
    <row r="188" spans="1:18" ht="123.75" customHeight="1">
      <c r="A188" s="2110"/>
      <c r="B188" s="2562"/>
      <c r="C188" s="2111"/>
      <c r="D188" s="281" t="s">
        <v>128</v>
      </c>
      <c r="E188" s="281" t="s">
        <v>129</v>
      </c>
      <c r="F188" s="281" t="s">
        <v>130</v>
      </c>
      <c r="G188" s="282" t="s">
        <v>13</v>
      </c>
      <c r="H188" s="283" t="s">
        <v>131</v>
      </c>
      <c r="I188" s="281" t="s">
        <v>132</v>
      </c>
      <c r="J188" s="281" t="s">
        <v>133</v>
      </c>
      <c r="K188" s="281" t="s">
        <v>134</v>
      </c>
      <c r="L188" s="284" t="s">
        <v>135</v>
      </c>
    </row>
    <row r="189" spans="1:18">
      <c r="A189" s="2128" t="s">
        <v>563</v>
      </c>
      <c r="B189" s="2171"/>
      <c r="C189" s="285">
        <v>2014</v>
      </c>
      <c r="D189" s="126"/>
      <c r="E189" s="102"/>
      <c r="F189" s="102"/>
      <c r="G189" s="286">
        <f>SUM(D189:F189)</f>
        <v>0</v>
      </c>
      <c r="H189" s="101"/>
      <c r="I189" s="102"/>
      <c r="J189" s="102"/>
      <c r="K189" s="102"/>
      <c r="L189" s="127"/>
    </row>
    <row r="190" spans="1:18">
      <c r="A190" s="2128"/>
      <c r="B190" s="2171"/>
      <c r="C190" s="74">
        <v>2015</v>
      </c>
      <c r="D190" s="40"/>
      <c r="E190" s="41"/>
      <c r="F190" s="41"/>
      <c r="G190" s="286">
        <f t="shared" ref="G190:G195" si="17">SUM(D190:F190)</f>
        <v>0</v>
      </c>
      <c r="H190" s="105"/>
      <c r="I190" s="41"/>
      <c r="J190" s="41"/>
      <c r="K190" s="41"/>
      <c r="L190" s="86"/>
    </row>
    <row r="191" spans="1:18">
      <c r="A191" s="2128"/>
      <c r="B191" s="2171"/>
      <c r="C191" s="74">
        <v>2016</v>
      </c>
      <c r="D191" s="40"/>
      <c r="E191" s="41"/>
      <c r="F191" s="41"/>
      <c r="G191" s="286">
        <f t="shared" si="17"/>
        <v>0</v>
      </c>
      <c r="H191" s="105"/>
      <c r="I191" s="41"/>
      <c r="J191" s="41"/>
      <c r="K191" s="41"/>
      <c r="L191" s="86"/>
    </row>
    <row r="192" spans="1:18">
      <c r="A192" s="2128"/>
      <c r="B192" s="2171"/>
      <c r="C192" s="74">
        <v>2017</v>
      </c>
      <c r="D192" s="40"/>
      <c r="E192" s="41"/>
      <c r="F192" s="41"/>
      <c r="G192" s="286">
        <f t="shared" si="17"/>
        <v>0</v>
      </c>
      <c r="H192" s="105"/>
      <c r="I192" s="41"/>
      <c r="J192" s="41"/>
      <c r="K192" s="41"/>
      <c r="L192" s="86"/>
    </row>
    <row r="193" spans="1:18">
      <c r="A193" s="2128"/>
      <c r="B193" s="2171"/>
      <c r="C193" s="74">
        <v>2018</v>
      </c>
      <c r="D193" s="40"/>
      <c r="E193" s="41"/>
      <c r="F193" s="41"/>
      <c r="G193" s="286">
        <f t="shared" si="17"/>
        <v>0</v>
      </c>
      <c r="H193" s="105"/>
      <c r="I193" s="41"/>
      <c r="J193" s="41"/>
      <c r="K193" s="41"/>
      <c r="L193" s="86"/>
    </row>
    <row r="194" spans="1:18">
      <c r="A194" s="2128"/>
      <c r="B194" s="2171"/>
      <c r="C194" s="74">
        <v>2019</v>
      </c>
      <c r="D194" s="40"/>
      <c r="E194" s="41"/>
      <c r="F194" s="41"/>
      <c r="G194" s="286">
        <f t="shared" si="17"/>
        <v>0</v>
      </c>
      <c r="H194" s="105"/>
      <c r="I194" s="41"/>
      <c r="J194" s="41"/>
      <c r="K194" s="41"/>
      <c r="L194" s="86"/>
    </row>
    <row r="195" spans="1:18">
      <c r="A195" s="2128"/>
      <c r="B195" s="2171"/>
      <c r="C195" s="74">
        <v>2020</v>
      </c>
      <c r="D195" s="40"/>
      <c r="E195" s="41"/>
      <c r="F195" s="41"/>
      <c r="G195" s="286">
        <f t="shared" si="17"/>
        <v>0</v>
      </c>
      <c r="H195" s="105"/>
      <c r="I195" s="41"/>
      <c r="J195" s="41"/>
      <c r="K195" s="41"/>
      <c r="L195" s="86"/>
    </row>
    <row r="196" spans="1:18" ht="15.75" thickBot="1">
      <c r="A196" s="2129"/>
      <c r="B196" s="2172"/>
      <c r="C196" s="129" t="s">
        <v>13</v>
      </c>
      <c r="D196" s="132">
        <f t="shared" ref="D196:L196" si="18">SUM(D189:D195)</f>
        <v>0</v>
      </c>
      <c r="E196" s="109">
        <f t="shared" si="18"/>
        <v>0</v>
      </c>
      <c r="F196" s="109">
        <f t="shared" si="18"/>
        <v>0</v>
      </c>
      <c r="G196" s="290">
        <f t="shared" si="18"/>
        <v>0</v>
      </c>
      <c r="H196" s="108">
        <f t="shared" si="18"/>
        <v>0</v>
      </c>
      <c r="I196" s="109">
        <f t="shared" si="18"/>
        <v>0</v>
      </c>
      <c r="J196" s="109">
        <f t="shared" si="18"/>
        <v>0</v>
      </c>
      <c r="K196" s="109">
        <f t="shared" si="18"/>
        <v>0</v>
      </c>
      <c r="L196" s="110">
        <f t="shared" si="18"/>
        <v>0</v>
      </c>
    </row>
    <row r="199" spans="1:18" ht="21">
      <c r="A199" s="291" t="s">
        <v>137</v>
      </c>
      <c r="B199" s="291"/>
      <c r="C199" s="292"/>
      <c r="D199" s="292"/>
      <c r="E199" s="292"/>
      <c r="F199" s="292"/>
      <c r="G199" s="292"/>
      <c r="H199" s="292"/>
      <c r="I199" s="292"/>
      <c r="J199" s="292"/>
      <c r="K199" s="292"/>
      <c r="L199" s="292"/>
      <c r="M199" s="66"/>
      <c r="N199" s="66"/>
    </row>
    <row r="200" spans="1:18" ht="15.75" thickBot="1">
      <c r="A200" s="293"/>
      <c r="B200" s="293"/>
      <c r="C200" s="292"/>
      <c r="D200" s="292"/>
      <c r="E200" s="292"/>
      <c r="F200" s="292"/>
      <c r="G200" s="292"/>
      <c r="H200" s="292"/>
      <c r="I200" s="292"/>
      <c r="J200" s="292"/>
      <c r="K200" s="292"/>
      <c r="L200" s="292"/>
    </row>
    <row r="201" spans="1:18" ht="154.5" customHeight="1">
      <c r="A201" s="367" t="s">
        <v>138</v>
      </c>
      <c r="B201" s="1618" t="s">
        <v>548</v>
      </c>
      <c r="C201" s="296" t="s">
        <v>9</v>
      </c>
      <c r="D201" s="297" t="s">
        <v>139</v>
      </c>
      <c r="E201" s="298" t="s">
        <v>140</v>
      </c>
      <c r="F201" s="298" t="s">
        <v>141</v>
      </c>
      <c r="G201" s="296" t="s">
        <v>142</v>
      </c>
      <c r="H201" s="299" t="s">
        <v>143</v>
      </c>
      <c r="I201" s="300" t="s">
        <v>144</v>
      </c>
      <c r="J201" s="301" t="s">
        <v>145</v>
      </c>
      <c r="K201" s="298" t="s">
        <v>146</v>
      </c>
      <c r="L201" s="302" t="s">
        <v>147</v>
      </c>
      <c r="M201" s="1591"/>
      <c r="N201" s="1591"/>
      <c r="O201" s="1591"/>
      <c r="P201" s="1591"/>
      <c r="Q201" s="1591"/>
      <c r="R201" s="1591"/>
    </row>
    <row r="202" spans="1:18">
      <c r="A202" s="2119" t="s">
        <v>564</v>
      </c>
      <c r="B202" s="2177"/>
      <c r="C202" s="73">
        <v>2014</v>
      </c>
      <c r="D202" s="33"/>
      <c r="E202" s="34"/>
      <c r="F202" s="34"/>
      <c r="G202" s="32"/>
      <c r="H202" s="303"/>
      <c r="I202" s="304"/>
      <c r="J202" s="305"/>
      <c r="K202" s="34"/>
      <c r="L202" s="37"/>
    </row>
    <row r="203" spans="1:18">
      <c r="A203" s="2119"/>
      <c r="B203" s="2171"/>
      <c r="C203" s="74">
        <v>2015</v>
      </c>
      <c r="D203" s="40"/>
      <c r="E203" s="41"/>
      <c r="F203" s="41"/>
      <c r="G203" s="39"/>
      <c r="H203" s="306"/>
      <c r="I203" s="307"/>
      <c r="J203" s="308"/>
      <c r="K203" s="41"/>
      <c r="L203" s="86"/>
    </row>
    <row r="204" spans="1:18">
      <c r="A204" s="2119"/>
      <c r="B204" s="2171"/>
      <c r="C204" s="74">
        <v>2016</v>
      </c>
      <c r="D204" s="40"/>
      <c r="E204" s="41"/>
      <c r="F204" s="41"/>
      <c r="G204" s="39"/>
      <c r="H204" s="306"/>
      <c r="I204" s="307"/>
      <c r="J204" s="308"/>
      <c r="K204" s="41"/>
      <c r="L204" s="86"/>
    </row>
    <row r="205" spans="1:18">
      <c r="A205" s="2119"/>
      <c r="B205" s="2171"/>
      <c r="C205" s="74">
        <v>2017</v>
      </c>
      <c r="D205" s="40"/>
      <c r="E205" s="41"/>
      <c r="F205" s="41"/>
      <c r="G205" s="39"/>
      <c r="H205" s="306"/>
      <c r="I205" s="307"/>
      <c r="J205" s="308"/>
      <c r="K205" s="41"/>
      <c r="L205" s="86"/>
    </row>
    <row r="206" spans="1:18">
      <c r="A206" s="2119"/>
      <c r="B206" s="2171"/>
      <c r="C206" s="74">
        <v>2018</v>
      </c>
      <c r="D206" s="40"/>
      <c r="E206" s="41"/>
      <c r="F206" s="41"/>
      <c r="G206" s="39"/>
      <c r="H206" s="306"/>
      <c r="I206" s="307"/>
      <c r="J206" s="308"/>
      <c r="K206" s="41"/>
      <c r="L206" s="86"/>
    </row>
    <row r="207" spans="1:18">
      <c r="A207" s="2119"/>
      <c r="B207" s="2171"/>
      <c r="C207" s="74">
        <v>2019</v>
      </c>
      <c r="D207" s="40"/>
      <c r="E207" s="41"/>
      <c r="F207" s="41"/>
      <c r="G207" s="39"/>
      <c r="H207" s="306"/>
      <c r="I207" s="307"/>
      <c r="J207" s="308"/>
      <c r="K207" s="41"/>
      <c r="L207" s="86"/>
    </row>
    <row r="208" spans="1:18">
      <c r="A208" s="2119"/>
      <c r="B208" s="2171"/>
      <c r="C208" s="74">
        <v>2020</v>
      </c>
      <c r="D208" s="309"/>
      <c r="E208" s="310"/>
      <c r="F208" s="310"/>
      <c r="G208" s="311"/>
      <c r="H208" s="312"/>
      <c r="I208" s="313"/>
      <c r="J208" s="314"/>
      <c r="K208" s="310"/>
      <c r="L208" s="315"/>
    </row>
    <row r="209" spans="1:21" ht="72" customHeight="1" thickBot="1">
      <c r="A209" s="2070"/>
      <c r="B209" s="2172"/>
      <c r="C209" s="129" t="s">
        <v>13</v>
      </c>
      <c r="D209" s="132">
        <f>SUM(D202:D207)</f>
        <v>0</v>
      </c>
      <c r="E209" s="109">
        <f>SUM(E202:E207)</f>
        <v>0</v>
      </c>
      <c r="F209" s="109"/>
      <c r="G209" s="217"/>
      <c r="H209" s="1619">
        <f>SUM(H202:H207)</f>
        <v>0</v>
      </c>
      <c r="I209" s="1620">
        <f>SUM(I202:I207)</f>
        <v>0</v>
      </c>
      <c r="J209" s="1621"/>
      <c r="K209" s="109"/>
      <c r="L209" s="110">
        <f>SUM(L202:L207)</f>
        <v>0</v>
      </c>
    </row>
    <row r="211" spans="1:21" ht="15.75" thickBot="1"/>
    <row r="212" spans="1:21" ht="47.25" customHeight="1">
      <c r="A212" s="368" t="s">
        <v>148</v>
      </c>
      <c r="B212" s="317" t="s">
        <v>149</v>
      </c>
      <c r="C212" s="318">
        <v>2014</v>
      </c>
      <c r="D212" s="319">
        <v>2015</v>
      </c>
      <c r="E212" s="319">
        <v>2016</v>
      </c>
      <c r="F212" s="319">
        <v>2017</v>
      </c>
      <c r="G212" s="319">
        <v>2018</v>
      </c>
      <c r="H212" s="319">
        <v>2019</v>
      </c>
      <c r="I212" s="320">
        <v>2020</v>
      </c>
    </row>
    <row r="213" spans="1:21">
      <c r="A213" t="s">
        <v>150</v>
      </c>
      <c r="B213" s="2177"/>
      <c r="C213" s="73"/>
      <c r="D213" s="128"/>
      <c r="E213" s="128"/>
      <c r="F213" s="128"/>
      <c r="G213" s="128"/>
      <c r="H213" s="128"/>
      <c r="I213" s="327"/>
    </row>
    <row r="214" spans="1:21">
      <c r="A214" t="s">
        <v>153</v>
      </c>
      <c r="B214" s="2171"/>
      <c r="C214" s="73"/>
      <c r="D214" s="128"/>
      <c r="E214" s="128"/>
      <c r="F214" s="128"/>
      <c r="G214" s="128"/>
      <c r="H214" s="128"/>
      <c r="I214" s="327"/>
      <c r="U214" s="325"/>
    </row>
    <row r="215" spans="1:21">
      <c r="A215" t="s">
        <v>155</v>
      </c>
      <c r="B215" s="2171"/>
      <c r="C215" s="73"/>
      <c r="D215" s="128"/>
      <c r="E215" s="128"/>
      <c r="F215" s="128"/>
      <c r="G215" s="128"/>
      <c r="H215" s="128"/>
      <c r="I215" s="327"/>
      <c r="U215" s="325"/>
    </row>
    <row r="216" spans="1:21">
      <c r="A216" t="s">
        <v>157</v>
      </c>
      <c r="B216" s="2171"/>
      <c r="C216" s="73"/>
      <c r="D216" s="326"/>
      <c r="E216" s="326">
        <v>558575</v>
      </c>
      <c r="F216" s="572">
        <v>30244.05</v>
      </c>
      <c r="G216" s="128"/>
      <c r="H216" s="128"/>
      <c r="I216" s="327"/>
      <c r="U216" s="325"/>
    </row>
    <row r="217" spans="1:21">
      <c r="A217" t="s">
        <v>158</v>
      </c>
      <c r="B217" s="2171"/>
      <c r="C217" s="73"/>
      <c r="D217" s="128"/>
      <c r="E217" s="128"/>
      <c r="F217" s="128"/>
      <c r="G217" s="128"/>
      <c r="H217" s="128"/>
      <c r="I217" s="327"/>
    </row>
    <row r="218" spans="1:21">
      <c r="A218" s="1591" t="s">
        <v>159</v>
      </c>
      <c r="B218" s="2171"/>
      <c r="C218" s="73"/>
      <c r="D218" s="1622"/>
      <c r="E218" s="1622"/>
      <c r="F218" s="128"/>
      <c r="G218" s="128"/>
      <c r="H218" s="128"/>
      <c r="I218" s="327"/>
    </row>
    <row r="219" spans="1:21" ht="15.75" thickBot="1">
      <c r="A219" s="349"/>
      <c r="B219" s="2172"/>
      <c r="C219" s="45" t="s">
        <v>13</v>
      </c>
      <c r="D219" s="331">
        <f t="shared" ref="D219:I219" si="19">SUM(D214:D218)</f>
        <v>0</v>
      </c>
      <c r="E219" s="331">
        <f t="shared" si="19"/>
        <v>558575</v>
      </c>
      <c r="F219" s="333">
        <f t="shared" si="19"/>
        <v>30244.05</v>
      </c>
      <c r="G219" s="333">
        <f t="shared" si="19"/>
        <v>0</v>
      </c>
      <c r="H219" s="333">
        <f t="shared" si="19"/>
        <v>0</v>
      </c>
      <c r="I219" s="333">
        <f t="shared" si="19"/>
        <v>0</v>
      </c>
    </row>
    <row r="223" spans="1:21">
      <c r="F223" s="325"/>
    </row>
    <row r="224" spans="1:21">
      <c r="E224" s="325"/>
    </row>
    <row r="226" spans="4:6">
      <c r="F226" s="325"/>
    </row>
    <row r="227" spans="4:6">
      <c r="D227" s="325"/>
    </row>
    <row r="228" spans="4:6">
      <c r="F228" s="325"/>
    </row>
    <row r="231" spans="4:6">
      <c r="E231" s="325"/>
    </row>
  </sheetData>
  <mergeCells count="72">
    <mergeCell ref="A202:A209"/>
    <mergeCell ref="B202:B209"/>
    <mergeCell ref="B213:B219"/>
    <mergeCell ref="A187:A188"/>
    <mergeCell ref="B187:B188"/>
    <mergeCell ref="C187:C188"/>
    <mergeCell ref="D187:G187"/>
    <mergeCell ref="H187:L187"/>
    <mergeCell ref="A189:A196"/>
    <mergeCell ref="B189:B196"/>
    <mergeCell ref="A176:A177"/>
    <mergeCell ref="B176:B177"/>
    <mergeCell ref="C176:C177"/>
    <mergeCell ref="I176:O176"/>
    <mergeCell ref="A178:A185"/>
    <mergeCell ref="B178:B185"/>
    <mergeCell ref="A165:A172"/>
    <mergeCell ref="B165:B172"/>
    <mergeCell ref="A142:A143"/>
    <mergeCell ref="B142:B143"/>
    <mergeCell ref="C142:C143"/>
    <mergeCell ref="A153:A154"/>
    <mergeCell ref="B153:B154"/>
    <mergeCell ref="C153:C154"/>
    <mergeCell ref="A155:A162"/>
    <mergeCell ref="B155:B162"/>
    <mergeCell ref="J142:N142"/>
    <mergeCell ref="A144:A151"/>
    <mergeCell ref="B144:B151"/>
    <mergeCell ref="A120:A127"/>
    <mergeCell ref="B120:B127"/>
    <mergeCell ref="A129:A130"/>
    <mergeCell ref="B129:B130"/>
    <mergeCell ref="A131:A137"/>
    <mergeCell ref="B131:B137"/>
    <mergeCell ref="D118:D119"/>
    <mergeCell ref="A98:A105"/>
    <mergeCell ref="B98:B105"/>
    <mergeCell ref="A107:A108"/>
    <mergeCell ref="B107:B108"/>
    <mergeCell ref="C107:C108"/>
    <mergeCell ref="D107:D108"/>
    <mergeCell ref="A109:A116"/>
    <mergeCell ref="B109:B116"/>
    <mergeCell ref="A118:A119"/>
    <mergeCell ref="B118:B119"/>
    <mergeCell ref="C118:C119"/>
    <mergeCell ref="D96:E96"/>
    <mergeCell ref="A60:A61"/>
    <mergeCell ref="C60:C61"/>
    <mergeCell ref="D60:D61"/>
    <mergeCell ref="A62:A69"/>
    <mergeCell ref="B62:B69"/>
    <mergeCell ref="A72:A79"/>
    <mergeCell ref="B72:B79"/>
    <mergeCell ref="A85:A92"/>
    <mergeCell ref="B85:B92"/>
    <mergeCell ref="A96:A97"/>
    <mergeCell ref="B96:B97"/>
    <mergeCell ref="C96:C97"/>
    <mergeCell ref="A28:A35"/>
    <mergeCell ref="B28:B35"/>
    <mergeCell ref="A40:A47"/>
    <mergeCell ref="B40:B47"/>
    <mergeCell ref="A50:A58"/>
    <mergeCell ref="B50:B58"/>
    <mergeCell ref="D26:G26"/>
    <mergeCell ref="F3:O3"/>
    <mergeCell ref="A4:O10"/>
    <mergeCell ref="D15:G15"/>
    <mergeCell ref="A17:A24"/>
    <mergeCell ref="B17:B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Y246"/>
  <sheetViews>
    <sheetView topLeftCell="A190" zoomScale="60" zoomScaleNormal="60" workbookViewId="0">
      <selection activeCell="I185" sqref="I185:O185"/>
    </sheetView>
  </sheetViews>
  <sheetFormatPr defaultColWidth="9.140625" defaultRowHeight="15"/>
  <cols>
    <col min="1" max="1" width="54.140625" style="1672" customWidth="1"/>
    <col min="2" max="2" width="49.42578125" style="1672" customWidth="1"/>
    <col min="3" max="4" width="9.140625" style="1672"/>
    <col min="5" max="5" width="25.5703125" style="1672" customWidth="1"/>
    <col min="6" max="6" width="14.28515625" style="1672" customWidth="1"/>
    <col min="7" max="7" width="15.42578125" style="1672" customWidth="1"/>
    <col min="8" max="10" width="9.140625" style="1672"/>
    <col min="11" max="11" width="11.42578125" style="1672" bestFit="1" customWidth="1"/>
    <col min="12" max="12" width="9.140625" style="1672"/>
    <col min="13" max="13" width="12.140625" style="1672" customWidth="1"/>
    <col min="14" max="16384" width="9.140625" style="1672"/>
  </cols>
  <sheetData>
    <row r="1" spans="1:25" s="1671" customFormat="1" ht="31.5">
      <c r="A1" s="1668" t="s">
        <v>0</v>
      </c>
      <c r="B1" s="1669" t="s">
        <v>585</v>
      </c>
      <c r="C1" s="1670"/>
      <c r="D1" s="1670"/>
      <c r="E1" s="1670"/>
      <c r="F1" s="1670"/>
    </row>
    <row r="2" spans="1:25" s="1671" customFormat="1" ht="20.100000000000001" customHeight="1" thickBot="1">
      <c r="A2" s="1672"/>
      <c r="B2" s="1672"/>
      <c r="C2" s="1672"/>
      <c r="D2" s="1672"/>
      <c r="E2" s="1672"/>
      <c r="F2" s="1672"/>
    </row>
    <row r="3" spans="1:25" s="1673" customFormat="1" ht="20.100000000000001" customHeight="1">
      <c r="A3" s="2641" t="s">
        <v>2</v>
      </c>
      <c r="B3" s="2642"/>
      <c r="C3" s="2642"/>
      <c r="D3" s="2642"/>
      <c r="E3" s="2642"/>
      <c r="F3" s="2643"/>
      <c r="G3" s="2643"/>
      <c r="H3" s="2643"/>
      <c r="I3" s="2643"/>
      <c r="J3" s="2643"/>
      <c r="K3" s="2643"/>
      <c r="L3" s="2643"/>
      <c r="M3" s="2643"/>
      <c r="N3" s="2643"/>
      <c r="O3" s="2644"/>
    </row>
    <row r="4" spans="1:25" ht="20.100000000000001" customHeight="1">
      <c r="A4" s="2645" t="s">
        <v>586</v>
      </c>
      <c r="B4" s="2646"/>
      <c r="C4" s="2646"/>
      <c r="D4" s="2646"/>
      <c r="E4" s="2646"/>
      <c r="F4" s="2646"/>
      <c r="G4" s="2646"/>
      <c r="H4" s="2646"/>
      <c r="I4" s="2646"/>
      <c r="J4" s="2646"/>
      <c r="K4" s="2646"/>
      <c r="L4" s="2646"/>
      <c r="M4" s="2646"/>
      <c r="N4" s="2646"/>
      <c r="O4" s="2647"/>
    </row>
    <row r="5" spans="1:25" ht="20.100000000000001" customHeight="1">
      <c r="A5" s="2645"/>
      <c r="B5" s="2646"/>
      <c r="C5" s="2646"/>
      <c r="D5" s="2646"/>
      <c r="E5" s="2646"/>
      <c r="F5" s="2646"/>
      <c r="G5" s="2646"/>
      <c r="H5" s="2646"/>
      <c r="I5" s="2646"/>
      <c r="J5" s="2646"/>
      <c r="K5" s="2646"/>
      <c r="L5" s="2646"/>
      <c r="M5" s="2646"/>
      <c r="N5" s="2646"/>
      <c r="O5" s="2647"/>
    </row>
    <row r="6" spans="1:25" ht="20.100000000000001" customHeight="1">
      <c r="A6" s="2645"/>
      <c r="B6" s="2646"/>
      <c r="C6" s="2646"/>
      <c r="D6" s="2646"/>
      <c r="E6" s="2646"/>
      <c r="F6" s="2646"/>
      <c r="G6" s="2646"/>
      <c r="H6" s="2646"/>
      <c r="I6" s="2646"/>
      <c r="J6" s="2646"/>
      <c r="K6" s="2646"/>
      <c r="L6" s="2646"/>
      <c r="M6" s="2646"/>
      <c r="N6" s="2646"/>
      <c r="O6" s="2647"/>
    </row>
    <row r="7" spans="1:25" ht="20.100000000000001" customHeight="1">
      <c r="A7" s="2645"/>
      <c r="B7" s="2646"/>
      <c r="C7" s="2646"/>
      <c r="D7" s="2646"/>
      <c r="E7" s="2646"/>
      <c r="F7" s="2646"/>
      <c r="G7" s="2646"/>
      <c r="H7" s="2646"/>
      <c r="I7" s="2646"/>
      <c r="J7" s="2646"/>
      <c r="K7" s="2646"/>
      <c r="L7" s="2646"/>
      <c r="M7" s="2646"/>
      <c r="N7" s="2646"/>
      <c r="O7" s="2647"/>
    </row>
    <row r="8" spans="1:25" ht="20.100000000000001" customHeight="1">
      <c r="A8" s="2645"/>
      <c r="B8" s="2646"/>
      <c r="C8" s="2646"/>
      <c r="D8" s="2646"/>
      <c r="E8" s="2646"/>
      <c r="F8" s="2646"/>
      <c r="G8" s="2646"/>
      <c r="H8" s="2646"/>
      <c r="I8" s="2646"/>
      <c r="J8" s="2646"/>
      <c r="K8" s="2646"/>
      <c r="L8" s="2646"/>
      <c r="M8" s="2646"/>
      <c r="N8" s="2646"/>
      <c r="O8" s="2647"/>
    </row>
    <row r="9" spans="1:25" ht="20.100000000000001" customHeight="1">
      <c r="A9" s="2645"/>
      <c r="B9" s="2646"/>
      <c r="C9" s="2646"/>
      <c r="D9" s="2646"/>
      <c r="E9" s="2646"/>
      <c r="F9" s="2646"/>
      <c r="G9" s="2646"/>
      <c r="H9" s="2646"/>
      <c r="I9" s="2646"/>
      <c r="J9" s="2646"/>
      <c r="K9" s="2646"/>
      <c r="L9" s="2646"/>
      <c r="M9" s="2646"/>
      <c r="N9" s="2646"/>
      <c r="O9" s="2647"/>
    </row>
    <row r="10" spans="1:25" ht="87" customHeight="1" thickBot="1">
      <c r="A10" s="2648"/>
      <c r="B10" s="2649"/>
      <c r="C10" s="2649"/>
      <c r="D10" s="2649"/>
      <c r="E10" s="2649"/>
      <c r="F10" s="2649"/>
      <c r="G10" s="2649"/>
      <c r="H10" s="2649"/>
      <c r="I10" s="2649"/>
      <c r="J10" s="2649"/>
      <c r="K10" s="2649"/>
      <c r="L10" s="2649"/>
      <c r="M10" s="2649"/>
      <c r="N10" s="2649"/>
      <c r="O10" s="2650"/>
    </row>
    <row r="11" spans="1:25" s="1671" customFormat="1" ht="20.100000000000001" customHeight="1"/>
    <row r="13" spans="1:25" ht="21">
      <c r="A13" s="1674" t="s">
        <v>4</v>
      </c>
      <c r="B13" s="1674"/>
      <c r="C13" s="1675"/>
      <c r="D13" s="1675"/>
      <c r="E13" s="1675"/>
      <c r="F13" s="1675"/>
      <c r="G13" s="1675"/>
      <c r="H13" s="1675"/>
      <c r="I13" s="1675"/>
      <c r="J13" s="1675"/>
      <c r="K13" s="1675"/>
      <c r="L13" s="1675"/>
      <c r="M13" s="1675"/>
      <c r="N13" s="1675"/>
      <c r="O13" s="1675"/>
    </row>
    <row r="14" spans="1:25" ht="15.75" thickBot="1">
      <c r="P14" s="1676"/>
      <c r="Q14" s="1676"/>
      <c r="R14" s="1676"/>
      <c r="S14" s="1676"/>
      <c r="T14" s="1676"/>
      <c r="U14" s="1676"/>
      <c r="V14" s="1676"/>
      <c r="W14" s="1676"/>
      <c r="X14" s="1676"/>
    </row>
    <row r="15" spans="1:25" s="1687" customFormat="1" ht="22.5" customHeight="1">
      <c r="A15" s="1677"/>
      <c r="B15" s="1678"/>
      <c r="C15" s="1679"/>
      <c r="D15" s="2651" t="s">
        <v>5</v>
      </c>
      <c r="E15" s="2652"/>
      <c r="F15" s="2652"/>
      <c r="G15" s="2653"/>
      <c r="H15" s="1680"/>
      <c r="I15" s="1681" t="s">
        <v>6</v>
      </c>
      <c r="J15" s="1682"/>
      <c r="K15" s="1682"/>
      <c r="L15" s="1682"/>
      <c r="M15" s="1682"/>
      <c r="N15" s="1682"/>
      <c r="O15" s="1683"/>
      <c r="P15" s="1684"/>
      <c r="Q15" s="1685"/>
      <c r="R15" s="1686"/>
      <c r="S15" s="1686"/>
      <c r="T15" s="1686"/>
      <c r="U15" s="1686"/>
      <c r="V15" s="1686"/>
      <c r="W15" s="1684"/>
      <c r="X15" s="1684"/>
      <c r="Y15" s="1685"/>
    </row>
    <row r="16" spans="1:25" s="1699" customFormat="1" ht="129" customHeight="1">
      <c r="A16" s="1688" t="s">
        <v>7</v>
      </c>
      <c r="B16" s="1689" t="s">
        <v>587</v>
      </c>
      <c r="C16" s="1690" t="s">
        <v>9</v>
      </c>
      <c r="D16" s="1691" t="s">
        <v>10</v>
      </c>
      <c r="E16" s="1692" t="s">
        <v>11</v>
      </c>
      <c r="F16" s="1692" t="s">
        <v>12</v>
      </c>
      <c r="G16" s="1693" t="s">
        <v>13</v>
      </c>
      <c r="H16" s="1694" t="s">
        <v>14</v>
      </c>
      <c r="I16" s="1695" t="s">
        <v>15</v>
      </c>
      <c r="J16" s="1695" t="s">
        <v>16</v>
      </c>
      <c r="K16" s="1695" t="s">
        <v>17</v>
      </c>
      <c r="L16" s="1695" t="s">
        <v>338</v>
      </c>
      <c r="M16" s="1696" t="s">
        <v>19</v>
      </c>
      <c r="N16" s="1695" t="s">
        <v>20</v>
      </c>
      <c r="O16" s="1697" t="s">
        <v>21</v>
      </c>
      <c r="P16" s="1698"/>
      <c r="Q16" s="1698"/>
      <c r="R16" s="1698"/>
      <c r="S16" s="1698"/>
      <c r="T16" s="1698"/>
      <c r="U16" s="1698"/>
      <c r="V16" s="1698"/>
      <c r="W16" s="1698"/>
      <c r="X16" s="1698"/>
      <c r="Y16" s="1698"/>
    </row>
    <row r="17" spans="1:25" ht="15" customHeight="1">
      <c r="A17" s="2565" t="s">
        <v>588</v>
      </c>
      <c r="B17" s="2566"/>
      <c r="C17" s="1700">
        <v>2014</v>
      </c>
      <c r="D17" s="1701"/>
      <c r="E17" s="1702"/>
      <c r="F17" s="1702"/>
      <c r="G17" s="1703">
        <v>0</v>
      </c>
      <c r="H17" s="1704"/>
      <c r="I17" s="1702"/>
      <c r="J17" s="1702"/>
      <c r="K17" s="1702"/>
      <c r="L17" s="1702"/>
      <c r="M17" s="1702"/>
      <c r="N17" s="1702"/>
      <c r="O17" s="1705"/>
      <c r="P17" s="1676"/>
      <c r="Q17" s="1676"/>
      <c r="R17" s="1676"/>
      <c r="S17" s="1676"/>
      <c r="T17" s="1676"/>
      <c r="U17" s="1676"/>
      <c r="V17" s="1676"/>
      <c r="W17" s="1676"/>
      <c r="X17" s="1676"/>
      <c r="Y17" s="1676"/>
    </row>
    <row r="18" spans="1:25">
      <c r="A18" s="2565"/>
      <c r="B18" s="2566"/>
      <c r="C18" s="1706">
        <v>2015</v>
      </c>
      <c r="D18" s="1707"/>
      <c r="E18" s="1708"/>
      <c r="F18" s="1708"/>
      <c r="G18" s="1703">
        <v>0</v>
      </c>
      <c r="H18" s="1709"/>
      <c r="I18" s="1708"/>
      <c r="J18" s="1708"/>
      <c r="K18" s="1708"/>
      <c r="L18" s="1708"/>
      <c r="M18" s="1708"/>
      <c r="N18" s="1708"/>
      <c r="O18" s="1710"/>
      <c r="P18" s="1676"/>
      <c r="Q18" s="1676"/>
      <c r="R18" s="1676"/>
      <c r="S18" s="1676"/>
      <c r="T18" s="1676"/>
      <c r="U18" s="1676"/>
      <c r="V18" s="1676"/>
      <c r="W18" s="1676"/>
      <c r="X18" s="1676"/>
      <c r="Y18" s="1676"/>
    </row>
    <row r="19" spans="1:25">
      <c r="A19" s="2565"/>
      <c r="B19" s="2566"/>
      <c r="C19" s="1706">
        <v>2016</v>
      </c>
      <c r="D19" s="1707">
        <v>1</v>
      </c>
      <c r="E19" s="1708">
        <v>25</v>
      </c>
      <c r="F19" s="1708">
        <v>3</v>
      </c>
      <c r="G19" s="1703">
        <v>29</v>
      </c>
      <c r="H19" s="1709">
        <v>6</v>
      </c>
      <c r="I19" s="1708">
        <v>13</v>
      </c>
      <c r="J19" s="1708">
        <v>0</v>
      </c>
      <c r="K19" s="1708">
        <v>4</v>
      </c>
      <c r="L19" s="1708">
        <v>1</v>
      </c>
      <c r="M19" s="1708">
        <v>0</v>
      </c>
      <c r="N19" s="1708">
        <v>0</v>
      </c>
      <c r="O19" s="1710">
        <v>5</v>
      </c>
      <c r="P19" s="1676">
        <v>0</v>
      </c>
      <c r="Q19" s="1676"/>
      <c r="R19" s="1676"/>
      <c r="S19" s="1676"/>
      <c r="T19" s="1676"/>
      <c r="U19" s="1676"/>
      <c r="V19" s="1676"/>
      <c r="W19" s="1676"/>
      <c r="X19" s="1676"/>
      <c r="Y19" s="1676"/>
    </row>
    <row r="20" spans="1:25">
      <c r="A20" s="2565"/>
      <c r="B20" s="2566"/>
      <c r="C20" s="1706">
        <v>2017</v>
      </c>
      <c r="D20" s="1707">
        <v>7</v>
      </c>
      <c r="E20" s="1708">
        <v>16</v>
      </c>
      <c r="F20" s="1708">
        <v>3</v>
      </c>
      <c r="G20" s="1703">
        <v>26</v>
      </c>
      <c r="H20" s="1709">
        <v>2</v>
      </c>
      <c r="I20" s="1708">
        <v>2</v>
      </c>
      <c r="J20" s="1708">
        <v>0</v>
      </c>
      <c r="K20" s="1708">
        <v>2</v>
      </c>
      <c r="L20" s="1708">
        <v>0</v>
      </c>
      <c r="M20" s="1708">
        <v>0</v>
      </c>
      <c r="N20" s="1708">
        <v>0</v>
      </c>
      <c r="O20" s="1710">
        <v>20</v>
      </c>
      <c r="P20" s="1676"/>
      <c r="Q20" s="1676"/>
      <c r="R20" s="1676"/>
      <c r="S20" s="1676"/>
      <c r="T20" s="1676"/>
      <c r="U20" s="1676"/>
      <c r="V20" s="1676"/>
      <c r="W20" s="1676"/>
      <c r="X20" s="1676"/>
      <c r="Y20" s="1676"/>
    </row>
    <row r="21" spans="1:25">
      <c r="A21" s="2565"/>
      <c r="B21" s="2566"/>
      <c r="C21" s="1706">
        <v>2018</v>
      </c>
      <c r="D21" s="1707"/>
      <c r="E21" s="1708"/>
      <c r="F21" s="1708"/>
      <c r="G21" s="1703">
        <v>0</v>
      </c>
      <c r="H21" s="1709"/>
      <c r="I21" s="1708"/>
      <c r="J21" s="1708"/>
      <c r="K21" s="1708"/>
      <c r="L21" s="1708"/>
      <c r="M21" s="1708"/>
      <c r="N21" s="1708"/>
      <c r="O21" s="1710"/>
      <c r="P21" s="1676"/>
      <c r="Q21" s="1676"/>
      <c r="R21" s="1676"/>
      <c r="S21" s="1676"/>
      <c r="T21" s="1676"/>
      <c r="U21" s="1676"/>
      <c r="V21" s="1676"/>
      <c r="W21" s="1676"/>
      <c r="X21" s="1676"/>
      <c r="Y21" s="1676"/>
    </row>
    <row r="22" spans="1:25">
      <c r="A22" s="2565"/>
      <c r="B22" s="2566"/>
      <c r="C22" s="1706">
        <v>2019</v>
      </c>
      <c r="D22" s="1707"/>
      <c r="E22" s="1708"/>
      <c r="F22" s="1708"/>
      <c r="G22" s="1703">
        <v>0</v>
      </c>
      <c r="H22" s="1709"/>
      <c r="I22" s="1708"/>
      <c r="J22" s="1708"/>
      <c r="K22" s="1708"/>
      <c r="L22" s="1708"/>
      <c r="M22" s="1708"/>
      <c r="N22" s="1708"/>
      <c r="O22" s="1710"/>
      <c r="P22" s="1676"/>
      <c r="Q22" s="1676"/>
      <c r="R22" s="1676"/>
      <c r="S22" s="1676"/>
      <c r="T22" s="1676"/>
      <c r="U22" s="1676"/>
      <c r="V22" s="1676"/>
      <c r="W22" s="1676"/>
      <c r="X22" s="1676"/>
      <c r="Y22" s="1676"/>
    </row>
    <row r="23" spans="1:25">
      <c r="A23" s="2565"/>
      <c r="B23" s="2566"/>
      <c r="C23" s="1706">
        <v>2020</v>
      </c>
      <c r="D23" s="1707"/>
      <c r="E23" s="1708"/>
      <c r="F23" s="1708"/>
      <c r="G23" s="1703">
        <v>0</v>
      </c>
      <c r="H23" s="1709"/>
      <c r="I23" s="1708"/>
      <c r="J23" s="1708"/>
      <c r="K23" s="1708"/>
      <c r="L23" s="1708"/>
      <c r="M23" s="1708"/>
      <c r="N23" s="1708"/>
      <c r="O23" s="1710"/>
      <c r="P23" s="1676"/>
      <c r="Q23" s="1676"/>
      <c r="R23" s="1676"/>
      <c r="S23" s="1676"/>
      <c r="T23" s="1676"/>
      <c r="U23" s="1676"/>
      <c r="V23" s="1676"/>
      <c r="W23" s="1676"/>
      <c r="X23" s="1676"/>
      <c r="Y23" s="1676"/>
    </row>
    <row r="24" spans="1:25" ht="133.5" customHeight="1" thickBot="1">
      <c r="A24" s="2567"/>
      <c r="B24" s="2568"/>
      <c r="C24" s="1711" t="s">
        <v>13</v>
      </c>
      <c r="D24" s="1712">
        <v>8</v>
      </c>
      <c r="E24" s="1713">
        <v>41</v>
      </c>
      <c r="F24" s="1713">
        <v>6</v>
      </c>
      <c r="G24" s="1714">
        <v>55</v>
      </c>
      <c r="H24" s="1715">
        <v>8</v>
      </c>
      <c r="I24" s="1716">
        <v>15</v>
      </c>
      <c r="J24" s="1716">
        <v>0</v>
      </c>
      <c r="K24" s="1716">
        <v>6</v>
      </c>
      <c r="L24" s="1716">
        <v>1</v>
      </c>
      <c r="M24" s="1716">
        <v>0</v>
      </c>
      <c r="N24" s="1716">
        <v>0</v>
      </c>
      <c r="O24" s="1717">
        <v>25</v>
      </c>
      <c r="P24" s="1676"/>
      <c r="Q24" s="1676"/>
      <c r="R24" s="1676"/>
      <c r="S24" s="1676"/>
      <c r="T24" s="1676"/>
      <c r="U24" s="1676"/>
      <c r="V24" s="1676"/>
      <c r="W24" s="1676"/>
      <c r="X24" s="1676"/>
      <c r="Y24" s="1676"/>
    </row>
    <row r="25" spans="1:25" ht="15.75" thickBot="1">
      <c r="C25" s="1718"/>
      <c r="H25" s="1676"/>
      <c r="I25" s="1676"/>
      <c r="J25" s="1676"/>
      <c r="K25" s="1676"/>
      <c r="L25" s="1676"/>
      <c r="M25" s="1676"/>
      <c r="N25" s="1676"/>
      <c r="O25" s="1676"/>
      <c r="P25" s="1676"/>
      <c r="Q25" s="1676"/>
    </row>
    <row r="26" spans="1:25" s="1687" customFormat="1" ht="30.75" customHeight="1">
      <c r="A26" s="1677"/>
      <c r="B26" s="1678"/>
      <c r="C26" s="1719"/>
      <c r="D26" s="2638" t="s">
        <v>5</v>
      </c>
      <c r="E26" s="2639"/>
      <c r="F26" s="2639"/>
      <c r="G26" s="2640"/>
      <c r="H26" s="1684"/>
      <c r="I26" s="1685"/>
      <c r="J26" s="1686"/>
      <c r="K26" s="1686"/>
      <c r="L26" s="1686"/>
      <c r="M26" s="1686"/>
      <c r="N26" s="1686"/>
      <c r="O26" s="1684"/>
      <c r="P26" s="1684"/>
    </row>
    <row r="27" spans="1:25" s="1699" customFormat="1" ht="93" customHeight="1">
      <c r="A27" s="1720" t="s">
        <v>23</v>
      </c>
      <c r="B27" s="1689" t="s">
        <v>587</v>
      </c>
      <c r="C27" s="1721" t="s">
        <v>9</v>
      </c>
      <c r="D27" s="1722" t="s">
        <v>10</v>
      </c>
      <c r="E27" s="1692" t="s">
        <v>11</v>
      </c>
      <c r="F27" s="1692" t="s">
        <v>12</v>
      </c>
      <c r="G27" s="1723" t="s">
        <v>13</v>
      </c>
      <c r="H27" s="1698"/>
      <c r="I27" s="1698"/>
      <c r="J27" s="1698"/>
      <c r="K27" s="1698"/>
      <c r="L27" s="1698"/>
      <c r="M27" s="1698"/>
      <c r="N27" s="1698"/>
      <c r="O27" s="1698"/>
      <c r="P27" s="1698"/>
      <c r="Q27" s="1687"/>
    </row>
    <row r="28" spans="1:25" ht="15" customHeight="1">
      <c r="A28" s="2565" t="s">
        <v>589</v>
      </c>
      <c r="B28" s="2566"/>
      <c r="C28" s="1724">
        <v>2014</v>
      </c>
      <c r="D28" s="1704"/>
      <c r="E28" s="1702"/>
      <c r="F28" s="1702"/>
      <c r="G28" s="1725">
        <v>0</v>
      </c>
      <c r="H28" s="1676"/>
      <c r="I28" s="1676"/>
      <c r="J28" s="1676"/>
      <c r="K28" s="1676"/>
      <c r="L28" s="1676"/>
      <c r="M28" s="1676"/>
      <c r="N28" s="1676"/>
      <c r="O28" s="1676"/>
      <c r="P28" s="1676"/>
      <c r="Q28" s="1676"/>
    </row>
    <row r="29" spans="1:25">
      <c r="A29" s="2565"/>
      <c r="B29" s="2566"/>
      <c r="C29" s="1726">
        <v>2015</v>
      </c>
      <c r="D29" s="1709"/>
      <c r="E29" s="1708"/>
      <c r="F29" s="1708"/>
      <c r="G29" s="1725">
        <v>0</v>
      </c>
      <c r="H29" s="1676"/>
      <c r="I29" s="1676"/>
      <c r="J29" s="1676"/>
      <c r="K29" s="1676"/>
      <c r="L29" s="1676"/>
      <c r="M29" s="1676"/>
      <c r="N29" s="1676"/>
      <c r="O29" s="1676"/>
      <c r="P29" s="1676"/>
      <c r="Q29" s="1676"/>
    </row>
    <row r="30" spans="1:25">
      <c r="A30" s="2565"/>
      <c r="B30" s="2566"/>
      <c r="C30" s="1726">
        <v>2016</v>
      </c>
      <c r="D30" s="1709">
        <v>200</v>
      </c>
      <c r="E30" s="1707">
        <v>594270</v>
      </c>
      <c r="F30" s="1707">
        <v>428554</v>
      </c>
      <c r="G30" s="1725">
        <v>1023024</v>
      </c>
      <c r="H30" s="1676"/>
      <c r="I30" s="1676"/>
      <c r="J30" s="1676"/>
      <c r="K30" s="1676"/>
      <c r="L30" s="1676"/>
      <c r="M30" s="1676"/>
      <c r="N30" s="1676"/>
      <c r="O30" s="1676"/>
      <c r="P30" s="1676"/>
      <c r="Q30" s="1676"/>
    </row>
    <row r="31" spans="1:25">
      <c r="A31" s="2565"/>
      <c r="B31" s="2566"/>
      <c r="C31" s="1726">
        <v>2017</v>
      </c>
      <c r="D31" s="1709">
        <v>191</v>
      </c>
      <c r="E31" s="1708">
        <v>216981</v>
      </c>
      <c r="F31" s="1708">
        <v>611453</v>
      </c>
      <c r="G31" s="1725">
        <v>828625</v>
      </c>
      <c r="H31" s="1676"/>
      <c r="I31" s="1676"/>
      <c r="J31" s="1676"/>
      <c r="K31" s="1676"/>
      <c r="L31" s="1676"/>
      <c r="M31" s="1676"/>
      <c r="N31" s="1676"/>
      <c r="O31" s="1676"/>
      <c r="P31" s="1676"/>
      <c r="Q31" s="1676"/>
    </row>
    <row r="32" spans="1:25">
      <c r="A32" s="2565"/>
      <c r="B32" s="2566"/>
      <c r="C32" s="1726">
        <v>2018</v>
      </c>
      <c r="D32" s="1709"/>
      <c r="E32" s="1708"/>
      <c r="F32" s="1708"/>
      <c r="G32" s="1725">
        <v>0</v>
      </c>
      <c r="H32" s="1676"/>
      <c r="I32" s="1676"/>
      <c r="J32" s="1676"/>
      <c r="K32" s="1676"/>
      <c r="L32" s="1676"/>
      <c r="M32" s="1676"/>
      <c r="N32" s="1676"/>
      <c r="O32" s="1676"/>
      <c r="P32" s="1676"/>
      <c r="Q32" s="1676"/>
    </row>
    <row r="33" spans="1:17">
      <c r="A33" s="2565"/>
      <c r="B33" s="2566"/>
      <c r="C33" s="1726">
        <v>2019</v>
      </c>
      <c r="D33" s="1709"/>
      <c r="E33" s="1708"/>
      <c r="F33" s="1708"/>
      <c r="G33" s="1725">
        <v>0</v>
      </c>
      <c r="H33" s="1676"/>
      <c r="I33" s="1676"/>
      <c r="J33" s="1676"/>
      <c r="K33" s="1676"/>
      <c r="L33" s="1676"/>
      <c r="M33" s="1676"/>
      <c r="N33" s="1676"/>
      <c r="O33" s="1676"/>
      <c r="P33" s="1676"/>
      <c r="Q33" s="1676"/>
    </row>
    <row r="34" spans="1:17">
      <c r="A34" s="2565"/>
      <c r="B34" s="2566"/>
      <c r="C34" s="1726">
        <v>2020</v>
      </c>
      <c r="D34" s="1709"/>
      <c r="E34" s="1708"/>
      <c r="F34" s="1708"/>
      <c r="G34" s="1725">
        <v>0</v>
      </c>
      <c r="H34" s="1676"/>
      <c r="I34" s="1676"/>
      <c r="J34" s="1676"/>
      <c r="K34" s="1676"/>
      <c r="L34" s="1676"/>
      <c r="M34" s="1676"/>
      <c r="N34" s="1676"/>
      <c r="O34" s="1676"/>
      <c r="P34" s="1676"/>
      <c r="Q34" s="1676"/>
    </row>
    <row r="35" spans="1:17" ht="195.75" customHeight="1" thickBot="1">
      <c r="A35" s="2567"/>
      <c r="B35" s="2568"/>
      <c r="C35" s="1727" t="s">
        <v>13</v>
      </c>
      <c r="D35" s="1715">
        <v>391</v>
      </c>
      <c r="E35" s="1713">
        <v>811251</v>
      </c>
      <c r="F35" s="1713">
        <v>1040007</v>
      </c>
      <c r="G35" s="1717">
        <v>1851649</v>
      </c>
      <c r="H35" s="1676"/>
      <c r="I35" s="1676"/>
      <c r="J35" s="1676"/>
      <c r="K35" s="1676"/>
      <c r="L35" s="1676"/>
      <c r="M35" s="1676"/>
      <c r="N35" s="1676"/>
      <c r="O35" s="1676"/>
      <c r="P35" s="1676"/>
      <c r="Q35" s="1676"/>
    </row>
    <row r="36" spans="1:17">
      <c r="A36" s="1728"/>
      <c r="B36" s="1728"/>
      <c r="C36" s="1718"/>
      <c r="H36" s="1676"/>
      <c r="I36" s="1676"/>
      <c r="J36" s="1676"/>
      <c r="K36" s="1676"/>
      <c r="L36" s="1676"/>
      <c r="M36" s="1676"/>
      <c r="N36" s="1676"/>
      <c r="O36" s="1676"/>
      <c r="P36" s="1676"/>
      <c r="Q36" s="1676"/>
    </row>
    <row r="37" spans="1:17" ht="21">
      <c r="A37" s="1729" t="s">
        <v>25</v>
      </c>
      <c r="B37" s="1729"/>
      <c r="C37" s="1730"/>
      <c r="D37" s="1730"/>
      <c r="E37" s="1730"/>
      <c r="F37" s="1676"/>
      <c r="G37" s="1676"/>
      <c r="H37" s="1676"/>
    </row>
    <row r="38" spans="1:17" ht="15.75" thickBot="1">
      <c r="G38" s="1676"/>
      <c r="H38" s="1676"/>
    </row>
    <row r="39" spans="1:17" ht="39.75">
      <c r="A39" s="1731" t="s">
        <v>26</v>
      </c>
      <c r="B39" s="1732" t="s">
        <v>587</v>
      </c>
      <c r="C39" s="1733" t="s">
        <v>9</v>
      </c>
      <c r="D39" s="1734" t="s">
        <v>27</v>
      </c>
      <c r="E39" s="1735" t="s">
        <v>28</v>
      </c>
      <c r="F39" s="1736"/>
      <c r="G39" s="1698"/>
      <c r="H39" s="1698"/>
    </row>
    <row r="40" spans="1:17">
      <c r="A40" s="2565" t="s">
        <v>590</v>
      </c>
      <c r="B40" s="2566"/>
      <c r="C40" s="1737">
        <v>2014</v>
      </c>
      <c r="D40" s="1701"/>
      <c r="E40" s="1700"/>
      <c r="F40" s="1676"/>
      <c r="G40" s="1676"/>
      <c r="H40" s="1676"/>
    </row>
    <row r="41" spans="1:17">
      <c r="A41" s="2565"/>
      <c r="B41" s="2566"/>
      <c r="C41" s="1738">
        <v>2015</v>
      </c>
      <c r="D41" s="1707"/>
      <c r="E41" s="1706"/>
      <c r="F41" s="1676"/>
      <c r="G41" s="1676"/>
      <c r="H41" s="1676"/>
    </row>
    <row r="42" spans="1:17">
      <c r="A42" s="2565"/>
      <c r="B42" s="2566"/>
      <c r="C42" s="1738">
        <v>2016</v>
      </c>
      <c r="D42" s="40">
        <v>358257</v>
      </c>
      <c r="E42" s="39">
        <v>74829</v>
      </c>
      <c r="F42" s="1676"/>
      <c r="G42" s="1676"/>
      <c r="H42" s="1676"/>
    </row>
    <row r="43" spans="1:17">
      <c r="A43" s="2565"/>
      <c r="B43" s="2566"/>
      <c r="C43" s="1738">
        <v>2017</v>
      </c>
      <c r="D43" s="40">
        <v>267472</v>
      </c>
      <c r="E43" s="39">
        <v>46217</v>
      </c>
      <c r="F43" s="1676"/>
      <c r="G43" s="1676"/>
      <c r="H43" s="1676"/>
    </row>
    <row r="44" spans="1:17">
      <c r="A44" s="2565"/>
      <c r="B44" s="2566"/>
      <c r="C44" s="1738">
        <v>2018</v>
      </c>
      <c r="D44" s="1707"/>
      <c r="E44" s="1706"/>
      <c r="F44" s="1676"/>
      <c r="G44" s="1676"/>
      <c r="H44" s="1676"/>
    </row>
    <row r="45" spans="1:17">
      <c r="A45" s="2565"/>
      <c r="B45" s="2566"/>
      <c r="C45" s="1738">
        <v>2019</v>
      </c>
      <c r="D45" s="1707"/>
      <c r="E45" s="1706"/>
      <c r="F45" s="1676"/>
      <c r="G45" s="1676"/>
      <c r="H45" s="1676"/>
    </row>
    <row r="46" spans="1:17">
      <c r="A46" s="2565"/>
      <c r="B46" s="2566"/>
      <c r="C46" s="1738">
        <v>2020</v>
      </c>
      <c r="D46" s="1707"/>
      <c r="E46" s="1706"/>
      <c r="F46" s="1676"/>
      <c r="G46" s="1676"/>
      <c r="H46" s="1676"/>
    </row>
    <row r="47" spans="1:17" ht="15.75" thickBot="1">
      <c r="A47" s="2567"/>
      <c r="B47" s="2568"/>
      <c r="C47" s="1711" t="s">
        <v>13</v>
      </c>
      <c r="D47" s="1712">
        <f>SUM(D42:D43)</f>
        <v>625729</v>
      </c>
      <c r="E47" s="1739">
        <f>SUM(E42:E43)</f>
        <v>121046</v>
      </c>
      <c r="F47" s="1740"/>
      <c r="G47" s="1676"/>
      <c r="H47" s="1676"/>
    </row>
    <row r="48" spans="1:17" s="1676" customFormat="1" ht="15.75" thickBot="1">
      <c r="A48" s="1741"/>
      <c r="B48" s="1742"/>
      <c r="C48" s="1743"/>
    </row>
    <row r="49" spans="1:15" s="1750" customFormat="1" ht="114.75">
      <c r="A49" s="1744" t="s">
        <v>30</v>
      </c>
      <c r="B49" s="1745" t="s">
        <v>587</v>
      </c>
      <c r="C49" s="1746" t="s">
        <v>9</v>
      </c>
      <c r="D49" s="1747" t="s">
        <v>31</v>
      </c>
      <c r="E49" s="1748" t="s">
        <v>32</v>
      </c>
      <c r="F49" s="1748" t="s">
        <v>33</v>
      </c>
      <c r="G49" s="1748" t="s">
        <v>34</v>
      </c>
      <c r="H49" s="1748" t="s">
        <v>35</v>
      </c>
      <c r="I49" s="1748" t="s">
        <v>36</v>
      </c>
      <c r="J49" s="1748" t="s">
        <v>37</v>
      </c>
      <c r="K49" s="1749" t="s">
        <v>38</v>
      </c>
    </row>
    <row r="50" spans="1:15" ht="15" customHeight="1">
      <c r="A50" s="2628" t="s">
        <v>590</v>
      </c>
      <c r="B50" s="2629"/>
      <c r="C50" s="1751" t="s">
        <v>40</v>
      </c>
      <c r="D50" s="1701"/>
      <c r="E50" s="1702"/>
      <c r="F50" s="1702"/>
      <c r="G50" s="1702"/>
      <c r="H50" s="1702"/>
      <c r="I50" s="1702"/>
      <c r="J50" s="1702"/>
      <c r="K50" s="1705"/>
    </row>
    <row r="51" spans="1:15">
      <c r="A51" s="2630"/>
      <c r="B51" s="2631"/>
      <c r="C51" s="1738">
        <v>2014</v>
      </c>
      <c r="D51" s="1707"/>
      <c r="E51" s="1708"/>
      <c r="F51" s="1708"/>
      <c r="G51" s="1708"/>
      <c r="H51" s="1708"/>
      <c r="I51" s="1708"/>
      <c r="J51" s="1708"/>
      <c r="K51" s="1752"/>
    </row>
    <row r="52" spans="1:15">
      <c r="A52" s="2630"/>
      <c r="B52" s="2631"/>
      <c r="C52" s="1738">
        <v>2015</v>
      </c>
      <c r="D52" s="1707"/>
      <c r="E52" s="1708"/>
      <c r="F52" s="1708"/>
      <c r="G52" s="1708"/>
      <c r="H52" s="1708"/>
      <c r="I52" s="1708"/>
      <c r="J52" s="1708"/>
      <c r="K52" s="1752"/>
    </row>
    <row r="53" spans="1:15">
      <c r="A53" s="2630"/>
      <c r="B53" s="2631"/>
      <c r="C53" s="1738">
        <v>2016</v>
      </c>
      <c r="D53" s="40">
        <v>2</v>
      </c>
      <c r="E53" s="41">
        <v>0</v>
      </c>
      <c r="F53" s="41">
        <v>1</v>
      </c>
      <c r="G53" s="41">
        <v>943</v>
      </c>
      <c r="H53" s="41">
        <v>34</v>
      </c>
      <c r="I53" s="41">
        <v>76</v>
      </c>
      <c r="J53" s="41">
        <v>220</v>
      </c>
      <c r="K53" s="86">
        <v>3259</v>
      </c>
    </row>
    <row r="54" spans="1:15">
      <c r="A54" s="2630"/>
      <c r="B54" s="2631"/>
      <c r="C54" s="1738">
        <v>2017</v>
      </c>
      <c r="D54" s="40">
        <v>2</v>
      </c>
      <c r="E54" s="41">
        <v>0</v>
      </c>
      <c r="F54" s="41">
        <v>1</v>
      </c>
      <c r="G54" s="41">
        <v>1168</v>
      </c>
      <c r="H54" s="41">
        <v>75</v>
      </c>
      <c r="I54" s="41">
        <v>32</v>
      </c>
      <c r="J54" s="41">
        <v>64</v>
      </c>
      <c r="K54" s="86">
        <v>8149</v>
      </c>
    </row>
    <row r="55" spans="1:15">
      <c r="A55" s="2630"/>
      <c r="B55" s="2631"/>
      <c r="C55" s="1738">
        <v>2018</v>
      </c>
      <c r="D55" s="1707"/>
      <c r="E55" s="1708"/>
      <c r="F55" s="1708"/>
      <c r="G55" s="1708"/>
      <c r="H55" s="1708"/>
      <c r="I55" s="1708"/>
      <c r="J55" s="1708"/>
      <c r="K55" s="1752"/>
    </row>
    <row r="56" spans="1:15">
      <c r="A56" s="2630"/>
      <c r="B56" s="2631"/>
      <c r="C56" s="1738">
        <v>2019</v>
      </c>
      <c r="D56" s="1707"/>
      <c r="E56" s="1708"/>
      <c r="F56" s="1708"/>
      <c r="G56" s="1708"/>
      <c r="H56" s="1708"/>
      <c r="I56" s="1708"/>
      <c r="J56" s="1708"/>
      <c r="K56" s="1752"/>
    </row>
    <row r="57" spans="1:15">
      <c r="A57" s="2630"/>
      <c r="B57" s="2631"/>
      <c r="C57" s="1738">
        <v>2020</v>
      </c>
      <c r="D57" s="1707"/>
      <c r="E57" s="1708"/>
      <c r="F57" s="1708"/>
      <c r="G57" s="1708"/>
      <c r="H57" s="1708"/>
      <c r="I57" s="1708"/>
      <c r="J57" s="1708"/>
      <c r="K57" s="1753"/>
    </row>
    <row r="58" spans="1:15" ht="15.75" thickBot="1">
      <c r="A58" s="2632"/>
      <c r="B58" s="2633"/>
      <c r="C58" s="1711" t="s">
        <v>13</v>
      </c>
      <c r="D58" s="1712">
        <f>SUM(D53:D54)</f>
        <v>4</v>
      </c>
      <c r="E58" s="1712">
        <f t="shared" ref="E58:K58" si="0">SUM(E53:E54)</f>
        <v>0</v>
      </c>
      <c r="F58" s="1712">
        <f t="shared" si="0"/>
        <v>2</v>
      </c>
      <c r="G58" s="1712">
        <f t="shared" si="0"/>
        <v>2111</v>
      </c>
      <c r="H58" s="1712">
        <f t="shared" si="0"/>
        <v>109</v>
      </c>
      <c r="I58" s="1712">
        <f t="shared" si="0"/>
        <v>108</v>
      </c>
      <c r="J58" s="1712">
        <f t="shared" si="0"/>
        <v>284</v>
      </c>
      <c r="K58" s="1717">
        <f t="shared" si="0"/>
        <v>11408</v>
      </c>
    </row>
    <row r="59" spans="1:15" ht="15.75" thickBot="1"/>
    <row r="60" spans="1:15" ht="18.75" customHeight="1">
      <c r="A60" s="2634" t="s">
        <v>41</v>
      </c>
      <c r="B60" s="1754"/>
      <c r="C60" s="2636" t="s">
        <v>9</v>
      </c>
      <c r="D60" s="2626" t="s">
        <v>42</v>
      </c>
      <c r="E60" s="2623" t="s">
        <v>6</v>
      </c>
      <c r="F60" s="2624"/>
      <c r="G60" s="2624"/>
      <c r="H60" s="2624"/>
      <c r="I60" s="2624"/>
      <c r="J60" s="2624"/>
      <c r="K60" s="2624"/>
      <c r="L60" s="2625"/>
    </row>
    <row r="61" spans="1:15" ht="204.75" customHeight="1">
      <c r="A61" s="2635"/>
      <c r="B61" s="1755" t="s">
        <v>587</v>
      </c>
      <c r="C61" s="2637"/>
      <c r="D61" s="2627"/>
      <c r="E61" s="1756" t="s">
        <v>14</v>
      </c>
      <c r="F61" s="1757" t="s">
        <v>15</v>
      </c>
      <c r="G61" s="1757" t="s">
        <v>16</v>
      </c>
      <c r="H61" s="1758" t="s">
        <v>17</v>
      </c>
      <c r="I61" s="1758" t="s">
        <v>338</v>
      </c>
      <c r="J61" s="1759" t="s">
        <v>19</v>
      </c>
      <c r="K61" s="1757" t="s">
        <v>20</v>
      </c>
      <c r="L61" s="1760" t="s">
        <v>21</v>
      </c>
      <c r="M61" s="1761"/>
      <c r="N61" s="1676"/>
      <c r="O61" s="1676"/>
    </row>
    <row r="62" spans="1:15" ht="15.75" customHeight="1">
      <c r="A62" s="2565" t="s">
        <v>591</v>
      </c>
      <c r="B62" s="2566"/>
      <c r="C62" s="1737">
        <v>2014</v>
      </c>
      <c r="D62" s="1762"/>
      <c r="E62" s="1763"/>
      <c r="F62" s="1764"/>
      <c r="G62" s="1764"/>
      <c r="H62" s="1764"/>
      <c r="I62" s="1764"/>
      <c r="J62" s="1764"/>
      <c r="K62" s="1764"/>
      <c r="L62" s="1705"/>
      <c r="M62" s="1676"/>
      <c r="N62" s="1676"/>
      <c r="O62" s="1676"/>
    </row>
    <row r="63" spans="1:15">
      <c r="A63" s="2565"/>
      <c r="B63" s="2566"/>
      <c r="C63" s="1738">
        <v>2015</v>
      </c>
      <c r="D63" s="1765"/>
      <c r="E63" s="1766"/>
      <c r="F63" s="1708"/>
      <c r="G63" s="1708"/>
      <c r="H63" s="1708"/>
      <c r="I63" s="1708"/>
      <c r="J63" s="1708"/>
      <c r="K63" s="1708"/>
      <c r="L63" s="1752"/>
      <c r="M63" s="1676"/>
      <c r="N63" s="1676"/>
      <c r="O63" s="1676"/>
    </row>
    <row r="64" spans="1:15">
      <c r="A64" s="2565"/>
      <c r="B64" s="2566"/>
      <c r="C64" s="1738">
        <v>2016</v>
      </c>
      <c r="D64" s="1707">
        <v>15</v>
      </c>
      <c r="E64" s="1766">
        <v>6</v>
      </c>
      <c r="F64" s="1708">
        <v>1</v>
      </c>
      <c r="G64" s="1708">
        <v>5</v>
      </c>
      <c r="H64" s="1708">
        <v>0</v>
      </c>
      <c r="I64" s="1708">
        <v>0</v>
      </c>
      <c r="J64" s="1708">
        <v>0</v>
      </c>
      <c r="K64" s="1708">
        <v>0</v>
      </c>
      <c r="L64" s="1752">
        <v>3</v>
      </c>
      <c r="M64" s="1676"/>
      <c r="N64" s="1676"/>
      <c r="O64" s="1676"/>
    </row>
    <row r="65" spans="1:20">
      <c r="A65" s="2565"/>
      <c r="B65" s="2566"/>
      <c r="C65" s="1738">
        <v>2017</v>
      </c>
      <c r="D65" s="1765">
        <v>1</v>
      </c>
      <c r="E65" s="1766">
        <v>0</v>
      </c>
      <c r="F65" s="1708">
        <v>0</v>
      </c>
      <c r="G65" s="1708">
        <v>0</v>
      </c>
      <c r="H65" s="1708">
        <v>0</v>
      </c>
      <c r="I65" s="1708">
        <v>0</v>
      </c>
      <c r="J65" s="1708">
        <v>0</v>
      </c>
      <c r="K65" s="1708">
        <v>0</v>
      </c>
      <c r="L65" s="1752">
        <v>1</v>
      </c>
      <c r="M65" s="1676"/>
      <c r="N65" s="1676"/>
      <c r="O65" s="1676"/>
    </row>
    <row r="66" spans="1:20">
      <c r="A66" s="2565"/>
      <c r="B66" s="2566"/>
      <c r="C66" s="1738">
        <v>2018</v>
      </c>
      <c r="D66" s="1765"/>
      <c r="E66" s="1766"/>
      <c r="F66" s="1708"/>
      <c r="G66" s="1708"/>
      <c r="H66" s="1708"/>
      <c r="I66" s="1708"/>
      <c r="J66" s="1708"/>
      <c r="K66" s="1708"/>
      <c r="L66" s="1752"/>
      <c r="M66" s="1676"/>
      <c r="N66" s="1676"/>
      <c r="O66" s="1676"/>
    </row>
    <row r="67" spans="1:20">
      <c r="A67" s="2565"/>
      <c r="B67" s="2566"/>
      <c r="C67" s="1738">
        <v>2019</v>
      </c>
      <c r="D67" s="1765"/>
      <c r="E67" s="1766"/>
      <c r="F67" s="1708"/>
      <c r="G67" s="1708"/>
      <c r="H67" s="1708"/>
      <c r="I67" s="1708"/>
      <c r="J67" s="1708"/>
      <c r="K67" s="1708"/>
      <c r="L67" s="1752"/>
      <c r="M67" s="1676"/>
      <c r="N67" s="1676"/>
      <c r="O67" s="1676"/>
    </row>
    <row r="68" spans="1:20">
      <c r="A68" s="2565"/>
      <c r="B68" s="2566"/>
      <c r="C68" s="1738">
        <v>2020</v>
      </c>
      <c r="D68" s="1765"/>
      <c r="E68" s="1766"/>
      <c r="F68" s="1708"/>
      <c r="G68" s="1708"/>
      <c r="H68" s="1708"/>
      <c r="I68" s="1708"/>
      <c r="J68" s="1708"/>
      <c r="K68" s="1708"/>
      <c r="L68" s="1752"/>
      <c r="M68" s="1740"/>
      <c r="N68" s="1740"/>
      <c r="O68" s="1740"/>
    </row>
    <row r="69" spans="1:20" ht="15.75" thickBot="1">
      <c r="A69" s="2567"/>
      <c r="B69" s="2568"/>
      <c r="C69" s="1767" t="s">
        <v>13</v>
      </c>
      <c r="D69" s="1768">
        <v>16</v>
      </c>
      <c r="E69" s="1769">
        <v>6</v>
      </c>
      <c r="F69" s="1770">
        <v>1</v>
      </c>
      <c r="G69" s="1770">
        <v>5</v>
      </c>
      <c r="H69" s="1770">
        <v>0</v>
      </c>
      <c r="I69" s="1770">
        <v>0</v>
      </c>
      <c r="J69" s="1770"/>
      <c r="K69" s="1770">
        <v>0</v>
      </c>
      <c r="L69" s="1771">
        <v>4</v>
      </c>
      <c r="M69" s="1740"/>
      <c r="N69" s="1740"/>
      <c r="O69" s="1740"/>
    </row>
    <row r="70" spans="1:20" ht="15.75" thickBot="1">
      <c r="A70" s="1772"/>
      <c r="B70" s="1742"/>
      <c r="C70" s="1773"/>
      <c r="D70" s="1774"/>
      <c r="E70" s="1774"/>
      <c r="F70" s="1774"/>
      <c r="G70" s="1774"/>
      <c r="H70" s="1773"/>
      <c r="I70" s="1775"/>
      <c r="J70" s="1775"/>
      <c r="K70" s="1775"/>
      <c r="L70" s="1775"/>
      <c r="M70" s="1775"/>
      <c r="N70" s="1775"/>
      <c r="O70" s="1775"/>
      <c r="P70" s="1699"/>
      <c r="Q70" s="1699"/>
      <c r="R70" s="1699"/>
      <c r="S70" s="1699"/>
      <c r="T70" s="1699"/>
    </row>
    <row r="71" spans="1:20" ht="269.25">
      <c r="A71" s="1731" t="s">
        <v>44</v>
      </c>
      <c r="B71" s="1732" t="s">
        <v>587</v>
      </c>
      <c r="C71" s="1733" t="s">
        <v>9</v>
      </c>
      <c r="D71" s="1776" t="s">
        <v>45</v>
      </c>
      <c r="E71" s="1776" t="s">
        <v>344</v>
      </c>
      <c r="F71" s="1777" t="s">
        <v>345</v>
      </c>
      <c r="G71" s="1778" t="s">
        <v>48</v>
      </c>
      <c r="H71" s="1779" t="s">
        <v>14</v>
      </c>
      <c r="I71" s="1776" t="s">
        <v>15</v>
      </c>
      <c r="J71" s="1780" t="s">
        <v>16</v>
      </c>
      <c r="K71" s="1776" t="s">
        <v>17</v>
      </c>
      <c r="L71" s="1776" t="s">
        <v>338</v>
      </c>
      <c r="M71" s="1781" t="s">
        <v>19</v>
      </c>
      <c r="N71" s="1780" t="s">
        <v>20</v>
      </c>
      <c r="O71" s="1782" t="s">
        <v>21</v>
      </c>
    </row>
    <row r="72" spans="1:20" ht="15.75" customHeight="1">
      <c r="A72" s="2565" t="s">
        <v>592</v>
      </c>
      <c r="B72" s="2566"/>
      <c r="C72" s="1737">
        <v>2014</v>
      </c>
      <c r="D72" s="1762"/>
      <c r="E72" s="1762"/>
      <c r="F72" s="1762"/>
      <c r="G72" s="1783">
        <v>0</v>
      </c>
      <c r="H72" s="1701"/>
      <c r="I72" s="1784"/>
      <c r="J72" s="1764"/>
      <c r="K72" s="1764"/>
      <c r="L72" s="1764"/>
      <c r="M72" s="1764"/>
      <c r="N72" s="1764"/>
      <c r="O72" s="1785"/>
    </row>
    <row r="73" spans="1:20">
      <c r="A73" s="2565"/>
      <c r="B73" s="2566"/>
      <c r="C73" s="1738">
        <v>2015</v>
      </c>
      <c r="D73" s="1765"/>
      <c r="E73" s="1765"/>
      <c r="F73" s="1765"/>
      <c r="G73" s="1783">
        <v>0</v>
      </c>
      <c r="H73" s="1707"/>
      <c r="I73" s="1707"/>
      <c r="J73" s="1708"/>
      <c r="K73" s="1708"/>
      <c r="L73" s="1708"/>
      <c r="M73" s="1708"/>
      <c r="N73" s="1708"/>
      <c r="O73" s="1752"/>
    </row>
    <row r="74" spans="1:20">
      <c r="A74" s="2565"/>
      <c r="B74" s="2566"/>
      <c r="C74" s="1738">
        <v>2016</v>
      </c>
      <c r="D74" s="1707">
        <v>182</v>
      </c>
      <c r="E74" s="1765">
        <v>1</v>
      </c>
      <c r="F74" s="1765">
        <v>0</v>
      </c>
      <c r="G74" s="1783">
        <v>183</v>
      </c>
      <c r="H74" s="1707">
        <v>0</v>
      </c>
      <c r="I74" s="1707">
        <v>76</v>
      </c>
      <c r="J74" s="1708">
        <v>38</v>
      </c>
      <c r="K74" s="1708">
        <v>0</v>
      </c>
      <c r="L74" s="1708">
        <v>67</v>
      </c>
      <c r="M74" s="1708">
        <v>2</v>
      </c>
      <c r="N74" s="1708">
        <v>0</v>
      </c>
      <c r="O74" s="1752">
        <v>0</v>
      </c>
      <c r="P74" s="1672">
        <v>0</v>
      </c>
    </row>
    <row r="75" spans="1:20">
      <c r="A75" s="2565"/>
      <c r="B75" s="2566"/>
      <c r="C75" s="1738">
        <v>2017</v>
      </c>
      <c r="D75" s="1765">
        <v>6</v>
      </c>
      <c r="E75" s="1765">
        <v>0</v>
      </c>
      <c r="F75" s="1765">
        <v>0</v>
      </c>
      <c r="G75" s="1783">
        <v>6</v>
      </c>
      <c r="H75" s="1707">
        <v>0</v>
      </c>
      <c r="I75" s="1707">
        <v>0</v>
      </c>
      <c r="J75" s="1708">
        <v>0</v>
      </c>
      <c r="K75" s="1708">
        <v>0</v>
      </c>
      <c r="L75" s="1708">
        <v>0</v>
      </c>
      <c r="M75" s="1708">
        <v>0</v>
      </c>
      <c r="N75" s="1708">
        <v>0</v>
      </c>
      <c r="O75" s="1752">
        <v>6</v>
      </c>
    </row>
    <row r="76" spans="1:20">
      <c r="A76" s="2565"/>
      <c r="B76" s="2566"/>
      <c r="C76" s="1738">
        <v>2018</v>
      </c>
      <c r="D76" s="1765"/>
      <c r="E76" s="1765"/>
      <c r="F76" s="1765"/>
      <c r="G76" s="1783">
        <v>0</v>
      </c>
      <c r="H76" s="1707"/>
      <c r="I76" s="1707"/>
      <c r="J76" s="1708"/>
      <c r="K76" s="1708"/>
      <c r="L76" s="1708"/>
      <c r="M76" s="1708"/>
      <c r="N76" s="1708"/>
      <c r="O76" s="1752"/>
    </row>
    <row r="77" spans="1:20">
      <c r="A77" s="2565"/>
      <c r="B77" s="2566"/>
      <c r="C77" s="1738">
        <v>2019</v>
      </c>
      <c r="D77" s="1765"/>
      <c r="E77" s="1765"/>
      <c r="F77" s="1765"/>
      <c r="G77" s="1783">
        <v>0</v>
      </c>
      <c r="H77" s="1707"/>
      <c r="I77" s="1707"/>
      <c r="J77" s="1708"/>
      <c r="K77" s="1708"/>
      <c r="L77" s="1708"/>
      <c r="M77" s="1708"/>
      <c r="N77" s="1708"/>
      <c r="O77" s="1752"/>
    </row>
    <row r="78" spans="1:20">
      <c r="A78" s="2565"/>
      <c r="B78" s="2566"/>
      <c r="C78" s="1738">
        <v>2020</v>
      </c>
      <c r="D78" s="1765"/>
      <c r="E78" s="1765"/>
      <c r="F78" s="1765"/>
      <c r="G78" s="1783">
        <v>0</v>
      </c>
      <c r="H78" s="1707"/>
      <c r="I78" s="1707"/>
      <c r="J78" s="1708"/>
      <c r="K78" s="1708"/>
      <c r="L78" s="1708"/>
      <c r="M78" s="1708"/>
      <c r="N78" s="1708"/>
      <c r="O78" s="1752"/>
    </row>
    <row r="79" spans="1:20" ht="15.75" thickBot="1">
      <c r="A79" s="2567"/>
      <c r="B79" s="2568"/>
      <c r="C79" s="1767" t="s">
        <v>13</v>
      </c>
      <c r="D79" s="1768">
        <v>188</v>
      </c>
      <c r="E79" s="1768">
        <v>1</v>
      </c>
      <c r="F79" s="1768">
        <v>0</v>
      </c>
      <c r="G79" s="1786">
        <v>189</v>
      </c>
      <c r="H79" s="1787">
        <v>0</v>
      </c>
      <c r="I79" s="1788">
        <v>76</v>
      </c>
      <c r="J79" s="1770">
        <v>38</v>
      </c>
      <c r="K79" s="1770">
        <v>0</v>
      </c>
      <c r="L79" s="1770">
        <v>67</v>
      </c>
      <c r="M79" s="1770">
        <v>2</v>
      </c>
      <c r="N79" s="1770">
        <v>0</v>
      </c>
      <c r="O79" s="1771">
        <v>6</v>
      </c>
    </row>
    <row r="81" spans="1:16">
      <c r="A81" s="1789"/>
      <c r="B81" s="1742"/>
      <c r="C81" s="1790"/>
      <c r="D81" s="1791"/>
      <c r="E81" s="1740"/>
      <c r="F81" s="1740"/>
      <c r="G81" s="1740"/>
      <c r="H81" s="1740"/>
      <c r="I81" s="1740"/>
      <c r="J81" s="1740"/>
      <c r="K81" s="1740"/>
    </row>
    <row r="82" spans="1:16" ht="21">
      <c r="A82" s="1792" t="s">
        <v>49</v>
      </c>
      <c r="B82" s="1792"/>
      <c r="C82" s="1793"/>
      <c r="D82" s="1793"/>
      <c r="E82" s="1793"/>
      <c r="F82" s="1793"/>
      <c r="G82" s="1793"/>
      <c r="H82" s="1793"/>
      <c r="I82" s="1793"/>
      <c r="J82" s="1793"/>
      <c r="K82" s="1793"/>
      <c r="L82" s="1794"/>
    </row>
    <row r="83" spans="1:16" ht="15.75" thickBot="1">
      <c r="A83" s="1795"/>
      <c r="B83" s="1795"/>
    </row>
    <row r="84" spans="1:16" s="1699" customFormat="1" ht="141.75">
      <c r="A84" s="1796" t="s">
        <v>347</v>
      </c>
      <c r="B84" s="1797" t="s">
        <v>593</v>
      </c>
      <c r="C84" s="1798" t="s">
        <v>9</v>
      </c>
      <c r="D84" s="1799" t="s">
        <v>349</v>
      </c>
      <c r="E84" s="1800" t="s">
        <v>350</v>
      </c>
      <c r="F84" s="1801" t="s">
        <v>54</v>
      </c>
      <c r="G84" s="1801" t="s">
        <v>55</v>
      </c>
      <c r="H84" s="1801" t="s">
        <v>56</v>
      </c>
      <c r="I84" s="1801" t="s">
        <v>57</v>
      </c>
      <c r="J84" s="1801" t="s">
        <v>58</v>
      </c>
      <c r="K84" s="1802" t="s">
        <v>59</v>
      </c>
    </row>
    <row r="85" spans="1:16">
      <c r="A85" s="2565" t="s">
        <v>590</v>
      </c>
      <c r="B85" s="2566"/>
      <c r="C85" s="1737">
        <v>2014</v>
      </c>
      <c r="D85" s="1803"/>
      <c r="E85" s="1804"/>
      <c r="F85" s="1702"/>
      <c r="G85" s="1702"/>
      <c r="H85" s="1702"/>
      <c r="I85" s="1702"/>
      <c r="J85" s="1702"/>
      <c r="K85" s="1705"/>
    </row>
    <row r="86" spans="1:16">
      <c r="A86" s="2565"/>
      <c r="B86" s="2566"/>
      <c r="C86" s="1738">
        <v>2015</v>
      </c>
      <c r="D86" s="1805"/>
      <c r="E86" s="1766"/>
      <c r="F86" s="1708"/>
      <c r="G86" s="1708"/>
      <c r="H86" s="1708"/>
      <c r="I86" s="1708"/>
      <c r="J86" s="1708"/>
      <c r="K86" s="1752"/>
    </row>
    <row r="87" spans="1:16">
      <c r="A87" s="2565"/>
      <c r="B87" s="2566"/>
      <c r="C87" s="1738">
        <v>2016</v>
      </c>
      <c r="D87" s="1707">
        <v>0</v>
      </c>
      <c r="E87" s="1766">
        <v>0</v>
      </c>
      <c r="F87" s="1708">
        <v>0</v>
      </c>
      <c r="G87" s="1708">
        <v>0</v>
      </c>
      <c r="H87" s="1708">
        <v>0</v>
      </c>
      <c r="I87" s="1708">
        <v>0</v>
      </c>
      <c r="J87" s="1708">
        <v>0</v>
      </c>
      <c r="K87" s="1752">
        <v>0</v>
      </c>
    </row>
    <row r="88" spans="1:16">
      <c r="A88" s="2565"/>
      <c r="B88" s="2566"/>
      <c r="C88" s="1738">
        <v>2017</v>
      </c>
      <c r="D88" s="1805">
        <v>0</v>
      </c>
      <c r="E88" s="1766">
        <v>0</v>
      </c>
      <c r="F88" s="1708">
        <v>0</v>
      </c>
      <c r="G88" s="1708">
        <v>0</v>
      </c>
      <c r="H88" s="1708">
        <v>0</v>
      </c>
      <c r="I88" s="1708">
        <v>0</v>
      </c>
      <c r="J88" s="1708">
        <v>0</v>
      </c>
      <c r="K88" s="1752">
        <v>0</v>
      </c>
    </row>
    <row r="89" spans="1:16">
      <c r="A89" s="2565"/>
      <c r="B89" s="2566"/>
      <c r="C89" s="1738">
        <v>2018</v>
      </c>
      <c r="D89" s="1805"/>
      <c r="E89" s="1766"/>
      <c r="F89" s="1708"/>
      <c r="G89" s="1708"/>
      <c r="H89" s="1708"/>
      <c r="I89" s="1708"/>
      <c r="J89" s="1708"/>
      <c r="K89" s="1752"/>
    </row>
    <row r="90" spans="1:16">
      <c r="A90" s="2565"/>
      <c r="B90" s="2566"/>
      <c r="C90" s="1738">
        <v>2019</v>
      </c>
      <c r="D90" s="1805"/>
      <c r="E90" s="1766"/>
      <c r="F90" s="1708"/>
      <c r="G90" s="1708"/>
      <c r="H90" s="1708"/>
      <c r="I90" s="1708"/>
      <c r="J90" s="1708"/>
      <c r="K90" s="1752"/>
    </row>
    <row r="91" spans="1:16">
      <c r="A91" s="2565"/>
      <c r="B91" s="2566"/>
      <c r="C91" s="1738">
        <v>2020</v>
      </c>
      <c r="D91" s="1805"/>
      <c r="E91" s="1766"/>
      <c r="F91" s="1708"/>
      <c r="G91" s="1708"/>
      <c r="H91" s="1708"/>
      <c r="I91" s="1708"/>
      <c r="J91" s="1708"/>
      <c r="K91" s="1752"/>
    </row>
    <row r="92" spans="1:16" ht="15.75" thickBot="1">
      <c r="A92" s="2567"/>
      <c r="B92" s="2568"/>
      <c r="C92" s="1767" t="s">
        <v>13</v>
      </c>
      <c r="D92" s="1806">
        <v>0</v>
      </c>
      <c r="E92" s="1769">
        <v>0</v>
      </c>
      <c r="F92" s="1770">
        <v>0</v>
      </c>
      <c r="G92" s="1770">
        <v>0</v>
      </c>
      <c r="H92" s="1770">
        <v>0</v>
      </c>
      <c r="I92" s="1770">
        <v>0</v>
      </c>
      <c r="J92" s="1770">
        <v>0</v>
      </c>
      <c r="K92" s="1771">
        <v>0</v>
      </c>
    </row>
    <row r="94" spans="1:16" ht="21">
      <c r="A94" s="1807" t="s">
        <v>60</v>
      </c>
      <c r="B94" s="1807"/>
      <c r="C94" s="1808"/>
      <c r="D94" s="1808"/>
      <c r="E94" s="1808"/>
      <c r="F94" s="1808"/>
      <c r="G94" s="1808"/>
      <c r="H94" s="1808"/>
      <c r="I94" s="1808"/>
      <c r="J94" s="1808"/>
      <c r="K94" s="1808"/>
      <c r="L94" s="1808"/>
      <c r="M94" s="1808"/>
      <c r="N94" s="1809"/>
      <c r="O94" s="1809"/>
      <c r="P94" s="1809"/>
    </row>
    <row r="95" spans="1:16" ht="21.75" thickBot="1">
      <c r="A95" s="1810"/>
      <c r="B95" s="1810"/>
    </row>
    <row r="96" spans="1:16" ht="15" customHeight="1">
      <c r="A96" s="2609" t="s">
        <v>61</v>
      </c>
      <c r="B96" s="2611" t="s">
        <v>594</v>
      </c>
      <c r="C96" s="2619" t="s">
        <v>9</v>
      </c>
      <c r="D96" s="2613" t="s">
        <v>63</v>
      </c>
      <c r="E96" s="2615"/>
      <c r="F96" s="2616" t="s">
        <v>64</v>
      </c>
      <c r="G96" s="2617"/>
      <c r="H96" s="2617"/>
      <c r="I96" s="2617"/>
      <c r="J96" s="2617"/>
      <c r="K96" s="2617"/>
      <c r="L96" s="2617"/>
      <c r="M96" s="2618"/>
      <c r="N96" s="1811"/>
      <c r="O96" s="1811"/>
      <c r="P96" s="1811"/>
    </row>
    <row r="97" spans="1:16" ht="141" customHeight="1">
      <c r="A97" s="2610"/>
      <c r="B97" s="2612"/>
      <c r="C97" s="2620"/>
      <c r="D97" s="1812" t="s">
        <v>65</v>
      </c>
      <c r="E97" s="1813" t="s">
        <v>66</v>
      </c>
      <c r="F97" s="1814" t="s">
        <v>14</v>
      </c>
      <c r="G97" s="1815" t="s">
        <v>67</v>
      </c>
      <c r="H97" s="1816" t="s">
        <v>55</v>
      </c>
      <c r="I97" s="1817" t="s">
        <v>56</v>
      </c>
      <c r="J97" s="1817" t="s">
        <v>57</v>
      </c>
      <c r="K97" s="1818" t="s">
        <v>68</v>
      </c>
      <c r="L97" s="1816" t="s">
        <v>58</v>
      </c>
      <c r="M97" s="1819" t="s">
        <v>59</v>
      </c>
      <c r="N97" s="1811"/>
      <c r="O97" s="1811"/>
      <c r="P97" s="1811"/>
    </row>
    <row r="98" spans="1:16">
      <c r="A98" s="2565" t="s">
        <v>614</v>
      </c>
      <c r="B98" s="2566"/>
      <c r="C98" s="1737">
        <v>2014</v>
      </c>
      <c r="D98" s="1701"/>
      <c r="E98" s="1702"/>
      <c r="F98" s="1820"/>
      <c r="G98" s="1762"/>
      <c r="H98" s="1762"/>
      <c r="I98" s="1762"/>
      <c r="J98" s="1762"/>
      <c r="K98" s="1762"/>
      <c r="L98" s="1762"/>
      <c r="M98" s="1821"/>
      <c r="N98" s="1811"/>
      <c r="O98" s="1811"/>
      <c r="P98" s="1811"/>
    </row>
    <row r="99" spans="1:16">
      <c r="A99" s="2565"/>
      <c r="B99" s="2566"/>
      <c r="C99" s="1738">
        <v>2015</v>
      </c>
      <c r="D99" s="1707"/>
      <c r="E99" s="1708"/>
      <c r="F99" s="1822"/>
      <c r="G99" s="1765"/>
      <c r="H99" s="1765"/>
      <c r="I99" s="1765"/>
      <c r="J99" s="1765"/>
      <c r="K99" s="1765"/>
      <c r="L99" s="1765"/>
      <c r="M99" s="1823"/>
      <c r="N99" s="1811"/>
      <c r="O99" s="1811"/>
      <c r="P99" s="1811"/>
    </row>
    <row r="100" spans="1:16">
      <c r="A100" s="2565"/>
      <c r="B100" s="2566"/>
      <c r="C100" s="1738">
        <v>2016</v>
      </c>
      <c r="D100" s="40">
        <v>4</v>
      </c>
      <c r="E100" s="41">
        <v>16</v>
      </c>
      <c r="F100" s="170">
        <v>1</v>
      </c>
      <c r="G100" s="171"/>
      <c r="H100" s="171"/>
      <c r="I100" s="171">
        <v>1</v>
      </c>
      <c r="J100" s="171">
        <v>1</v>
      </c>
      <c r="K100" s="171"/>
      <c r="L100" s="171"/>
      <c r="M100" s="172">
        <v>1</v>
      </c>
      <c r="N100" s="1811"/>
      <c r="O100" s="1811"/>
      <c r="P100" s="1811"/>
    </row>
    <row r="101" spans="1:16">
      <c r="A101" s="2565"/>
      <c r="B101" s="2566"/>
      <c r="C101" s="1738">
        <v>2017</v>
      </c>
      <c r="D101" s="40">
        <v>4</v>
      </c>
      <c r="E101" s="41">
        <v>6</v>
      </c>
      <c r="F101" s="170">
        <v>1</v>
      </c>
      <c r="G101" s="171"/>
      <c r="H101" s="171"/>
      <c r="I101" s="171"/>
      <c r="J101" s="171">
        <v>1</v>
      </c>
      <c r="K101" s="171"/>
      <c r="L101" s="171"/>
      <c r="M101" s="172">
        <v>2</v>
      </c>
      <c r="N101" s="1811"/>
      <c r="O101" s="1811"/>
      <c r="P101" s="1811"/>
    </row>
    <row r="102" spans="1:16">
      <c r="A102" s="2565"/>
      <c r="B102" s="2566"/>
      <c r="C102" s="1738">
        <v>2018</v>
      </c>
      <c r="D102" s="1707"/>
      <c r="E102" s="1708"/>
      <c r="F102" s="1822"/>
      <c r="G102" s="1765"/>
      <c r="H102" s="1765"/>
      <c r="I102" s="1765"/>
      <c r="J102" s="1765"/>
      <c r="K102" s="1765"/>
      <c r="L102" s="1765"/>
      <c r="M102" s="1823"/>
      <c r="N102" s="1811"/>
      <c r="O102" s="1811"/>
      <c r="P102" s="1811"/>
    </row>
    <row r="103" spans="1:16">
      <c r="A103" s="2565"/>
      <c r="B103" s="2566"/>
      <c r="C103" s="1738">
        <v>2019</v>
      </c>
      <c r="D103" s="1707"/>
      <c r="E103" s="1708"/>
      <c r="F103" s="1822"/>
      <c r="G103" s="1765"/>
      <c r="H103" s="1765"/>
      <c r="I103" s="1765"/>
      <c r="J103" s="1765"/>
      <c r="K103" s="1765"/>
      <c r="L103" s="1765"/>
      <c r="M103" s="1823"/>
      <c r="N103" s="1811"/>
      <c r="O103" s="1811"/>
      <c r="P103" s="1811"/>
    </row>
    <row r="104" spans="1:16">
      <c r="A104" s="2565"/>
      <c r="B104" s="2566"/>
      <c r="C104" s="1738">
        <v>2020</v>
      </c>
      <c r="D104" s="1707"/>
      <c r="E104" s="1708"/>
      <c r="F104" s="1822"/>
      <c r="G104" s="1765"/>
      <c r="H104" s="1765"/>
      <c r="I104" s="1765"/>
      <c r="J104" s="1765"/>
      <c r="K104" s="1765"/>
      <c r="L104" s="1765"/>
      <c r="M104" s="1823"/>
      <c r="N104" s="1811"/>
      <c r="O104" s="1811"/>
      <c r="P104" s="1811"/>
    </row>
    <row r="105" spans="1:16" ht="15.75" thickBot="1">
      <c r="A105" s="2567"/>
      <c r="B105" s="2568"/>
      <c r="C105" s="1767" t="s">
        <v>13</v>
      </c>
      <c r="D105" s="1788">
        <f>SUM(D100:D101)</f>
        <v>8</v>
      </c>
      <c r="E105" s="1788">
        <f>SUM(E100:E101)</f>
        <v>22</v>
      </c>
      <c r="F105" s="1788">
        <f t="shared" ref="F105:M105" si="1">SUM(F100:F101)</f>
        <v>2</v>
      </c>
      <c r="G105" s="1788">
        <f t="shared" si="1"/>
        <v>0</v>
      </c>
      <c r="H105" s="1788">
        <f t="shared" si="1"/>
        <v>0</v>
      </c>
      <c r="I105" s="1788">
        <f t="shared" si="1"/>
        <v>1</v>
      </c>
      <c r="J105" s="1788">
        <f t="shared" si="1"/>
        <v>2</v>
      </c>
      <c r="K105" s="1788">
        <f t="shared" si="1"/>
        <v>0</v>
      </c>
      <c r="L105" s="1788">
        <f t="shared" si="1"/>
        <v>0</v>
      </c>
      <c r="M105" s="1771">
        <f t="shared" si="1"/>
        <v>3</v>
      </c>
      <c r="N105" s="1811"/>
      <c r="O105" s="1811"/>
      <c r="P105" s="1811"/>
    </row>
    <row r="106" spans="1:16" ht="15.75" thickBot="1">
      <c r="A106" s="1824"/>
      <c r="B106" s="1824"/>
      <c r="C106" s="1743"/>
      <c r="D106" s="1676"/>
      <c r="E106" s="1676"/>
      <c r="H106" s="1825"/>
      <c r="I106" s="1825"/>
      <c r="J106" s="1825"/>
      <c r="K106" s="1825"/>
      <c r="L106" s="1825"/>
      <c r="M106" s="1825"/>
      <c r="N106" s="1825"/>
    </row>
    <row r="107" spans="1:16" ht="15" customHeight="1">
      <c r="A107" s="2609" t="s">
        <v>354</v>
      </c>
      <c r="B107" s="2611" t="s">
        <v>594</v>
      </c>
      <c r="C107" s="2619" t="s">
        <v>9</v>
      </c>
      <c r="D107" s="2621" t="s">
        <v>70</v>
      </c>
      <c r="E107" s="2616" t="s">
        <v>71</v>
      </c>
      <c r="F107" s="2617"/>
      <c r="G107" s="2617"/>
      <c r="H107" s="2617"/>
      <c r="I107" s="2617"/>
      <c r="J107" s="2617"/>
      <c r="K107" s="2617"/>
      <c r="L107" s="2618"/>
      <c r="M107" s="1825"/>
      <c r="N107" s="1825"/>
    </row>
    <row r="108" spans="1:16" ht="144.75" customHeight="1">
      <c r="A108" s="2610"/>
      <c r="B108" s="2612"/>
      <c r="C108" s="2620"/>
      <c r="D108" s="2622"/>
      <c r="E108" s="1814" t="s">
        <v>14</v>
      </c>
      <c r="F108" s="1815" t="s">
        <v>67</v>
      </c>
      <c r="G108" s="1816" t="s">
        <v>55</v>
      </c>
      <c r="H108" s="1817" t="s">
        <v>56</v>
      </c>
      <c r="I108" s="1817" t="s">
        <v>57</v>
      </c>
      <c r="J108" s="1818" t="s">
        <v>68</v>
      </c>
      <c r="K108" s="1816" t="s">
        <v>58</v>
      </c>
      <c r="L108" s="1819" t="s">
        <v>59</v>
      </c>
      <c r="M108" s="1825"/>
      <c r="N108" s="1825"/>
    </row>
    <row r="109" spans="1:16">
      <c r="A109" s="2565" t="s">
        <v>590</v>
      </c>
      <c r="B109" s="2566"/>
      <c r="C109" s="1737">
        <v>2014</v>
      </c>
      <c r="D109" s="1702"/>
      <c r="E109" s="1820"/>
      <c r="F109" s="1762"/>
      <c r="G109" s="1762"/>
      <c r="H109" s="1762"/>
      <c r="I109" s="1762"/>
      <c r="J109" s="1762"/>
      <c r="K109" s="1762"/>
      <c r="L109" s="1821"/>
      <c r="M109" s="1825"/>
      <c r="N109" s="1825"/>
    </row>
    <row r="110" spans="1:16">
      <c r="A110" s="2565"/>
      <c r="B110" s="2566"/>
      <c r="C110" s="1738">
        <v>2015</v>
      </c>
      <c r="D110" s="1708"/>
      <c r="E110" s="1822"/>
      <c r="F110" s="1765"/>
      <c r="G110" s="1765"/>
      <c r="H110" s="1765"/>
      <c r="I110" s="1765"/>
      <c r="J110" s="1765"/>
      <c r="K110" s="1765"/>
      <c r="L110" s="1823"/>
      <c r="M110" s="1825"/>
      <c r="N110" s="1825"/>
    </row>
    <row r="111" spans="1:16">
      <c r="A111" s="2565"/>
      <c r="B111" s="2566"/>
      <c r="C111" s="1738">
        <v>2016</v>
      </c>
      <c r="D111" s="1708">
        <v>1</v>
      </c>
      <c r="E111" s="1822">
        <v>0</v>
      </c>
      <c r="F111" s="1765">
        <v>0</v>
      </c>
      <c r="G111" s="1765">
        <v>0</v>
      </c>
      <c r="H111" s="1765">
        <v>0</v>
      </c>
      <c r="I111" s="1765">
        <v>1</v>
      </c>
      <c r="J111" s="1765">
        <v>0</v>
      </c>
      <c r="K111" s="1765">
        <v>0</v>
      </c>
      <c r="L111" s="1823">
        <v>0</v>
      </c>
      <c r="M111" s="1825"/>
      <c r="N111" s="1825"/>
    </row>
    <row r="112" spans="1:16">
      <c r="A112" s="2565"/>
      <c r="B112" s="2566"/>
      <c r="C112" s="1738">
        <v>2017</v>
      </c>
      <c r="D112" s="1708">
        <v>1</v>
      </c>
      <c r="E112" s="1822">
        <v>0</v>
      </c>
      <c r="F112" s="1765">
        <v>0</v>
      </c>
      <c r="G112" s="1765">
        <v>0</v>
      </c>
      <c r="H112" s="1765">
        <v>0</v>
      </c>
      <c r="I112" s="1765">
        <v>1</v>
      </c>
      <c r="J112" s="1765">
        <v>0</v>
      </c>
      <c r="K112" s="1765">
        <v>0</v>
      </c>
      <c r="L112" s="1823">
        <v>0</v>
      </c>
      <c r="M112" s="1825"/>
      <c r="N112" s="1825"/>
    </row>
    <row r="113" spans="1:14">
      <c r="A113" s="2565"/>
      <c r="B113" s="2566"/>
      <c r="C113" s="1738">
        <v>2018</v>
      </c>
      <c r="D113" s="1708"/>
      <c r="E113" s="1822"/>
      <c r="F113" s="1765"/>
      <c r="G113" s="1765"/>
      <c r="H113" s="1765"/>
      <c r="I113" s="1765"/>
      <c r="J113" s="1765"/>
      <c r="K113" s="1765"/>
      <c r="L113" s="1823"/>
      <c r="M113" s="1825"/>
      <c r="N113" s="1825"/>
    </row>
    <row r="114" spans="1:14">
      <c r="A114" s="2565"/>
      <c r="B114" s="2566"/>
      <c r="C114" s="1738">
        <v>2019</v>
      </c>
      <c r="D114" s="1708"/>
      <c r="E114" s="1822"/>
      <c r="F114" s="1765"/>
      <c r="G114" s="1765"/>
      <c r="H114" s="1765"/>
      <c r="I114" s="1765"/>
      <c r="J114" s="1765"/>
      <c r="K114" s="1765"/>
      <c r="L114" s="1823"/>
      <c r="M114" s="1825"/>
      <c r="N114" s="1825"/>
    </row>
    <row r="115" spans="1:14">
      <c r="A115" s="2565"/>
      <c r="B115" s="2566"/>
      <c r="C115" s="1738">
        <v>2020</v>
      </c>
      <c r="D115" s="1708"/>
      <c r="E115" s="1822"/>
      <c r="F115" s="1765"/>
      <c r="G115" s="1765"/>
      <c r="H115" s="1765"/>
      <c r="I115" s="1765"/>
      <c r="J115" s="1765"/>
      <c r="K115" s="1765"/>
      <c r="L115" s="1823"/>
      <c r="M115" s="1825"/>
      <c r="N115" s="1825"/>
    </row>
    <row r="116" spans="1:14" ht="15.75" thickBot="1">
      <c r="A116" s="2567"/>
      <c r="B116" s="2568"/>
      <c r="C116" s="1767" t="s">
        <v>13</v>
      </c>
      <c r="D116" s="1770">
        <v>2</v>
      </c>
      <c r="E116" s="1826">
        <v>0</v>
      </c>
      <c r="F116" s="1827">
        <v>0</v>
      </c>
      <c r="G116" s="1827">
        <v>0</v>
      </c>
      <c r="H116" s="1827">
        <v>0</v>
      </c>
      <c r="I116" s="1827">
        <v>2</v>
      </c>
      <c r="J116" s="1827"/>
      <c r="K116" s="1827">
        <v>0</v>
      </c>
      <c r="L116" s="1828">
        <v>0</v>
      </c>
      <c r="M116" s="1825"/>
      <c r="N116" s="1825"/>
    </row>
    <row r="117" spans="1:14" ht="21.75" thickBot="1">
      <c r="A117" s="1810"/>
      <c r="B117" s="1829"/>
      <c r="M117" s="1825"/>
      <c r="N117" s="1825"/>
    </row>
    <row r="118" spans="1:14" ht="15" customHeight="1">
      <c r="A118" s="2609" t="s">
        <v>72</v>
      </c>
      <c r="B118" s="2611" t="s">
        <v>594</v>
      </c>
      <c r="C118" s="2619" t="s">
        <v>9</v>
      </c>
      <c r="D118" s="2621" t="s">
        <v>73</v>
      </c>
      <c r="E118" s="2616" t="s">
        <v>71</v>
      </c>
      <c r="F118" s="2617"/>
      <c r="G118" s="2617"/>
      <c r="H118" s="2617"/>
      <c r="I118" s="2617"/>
      <c r="J118" s="2617"/>
      <c r="K118" s="2617"/>
      <c r="L118" s="2618"/>
      <c r="M118" s="1825"/>
      <c r="N118" s="1825"/>
    </row>
    <row r="119" spans="1:14" ht="144.75" customHeight="1">
      <c r="A119" s="2610"/>
      <c r="B119" s="2612"/>
      <c r="C119" s="2620"/>
      <c r="D119" s="2622"/>
      <c r="E119" s="1814" t="s">
        <v>14</v>
      </c>
      <c r="F119" s="1815" t="s">
        <v>67</v>
      </c>
      <c r="G119" s="1816" t="s">
        <v>55</v>
      </c>
      <c r="H119" s="1817" t="s">
        <v>56</v>
      </c>
      <c r="I119" s="1817" t="s">
        <v>57</v>
      </c>
      <c r="J119" s="1818" t="s">
        <v>68</v>
      </c>
      <c r="K119" s="1816" t="s">
        <v>58</v>
      </c>
      <c r="L119" s="1819" t="s">
        <v>59</v>
      </c>
      <c r="M119" s="1825"/>
      <c r="N119" s="1825"/>
    </row>
    <row r="120" spans="1:14">
      <c r="A120" s="2565" t="s">
        <v>590</v>
      </c>
      <c r="B120" s="2566"/>
      <c r="C120" s="1737">
        <v>2014</v>
      </c>
      <c r="D120" s="1702"/>
      <c r="E120" s="1820"/>
      <c r="F120" s="1762"/>
      <c r="G120" s="1762"/>
      <c r="H120" s="1762"/>
      <c r="I120" s="1762"/>
      <c r="J120" s="1762"/>
      <c r="K120" s="1762"/>
      <c r="L120" s="1821"/>
      <c r="M120" s="1825"/>
      <c r="N120" s="1825"/>
    </row>
    <row r="121" spans="1:14">
      <c r="A121" s="2565"/>
      <c r="B121" s="2566"/>
      <c r="C121" s="1738">
        <v>2015</v>
      </c>
      <c r="D121" s="1708"/>
      <c r="E121" s="1822"/>
      <c r="F121" s="1765"/>
      <c r="G121" s="1765"/>
      <c r="H121" s="1765"/>
      <c r="I121" s="1765"/>
      <c r="J121" s="1765"/>
      <c r="K121" s="1765"/>
      <c r="L121" s="1823"/>
      <c r="M121" s="1825"/>
      <c r="N121" s="1825"/>
    </row>
    <row r="122" spans="1:14">
      <c r="A122" s="2565"/>
      <c r="B122" s="2566"/>
      <c r="C122" s="1738">
        <v>2016</v>
      </c>
      <c r="D122" s="1707">
        <v>2</v>
      </c>
      <c r="E122" s="1822">
        <v>1</v>
      </c>
      <c r="F122" s="1765">
        <v>0</v>
      </c>
      <c r="G122" s="1765">
        <v>0</v>
      </c>
      <c r="H122" s="1765">
        <v>0</v>
      </c>
      <c r="I122" s="1765">
        <v>1</v>
      </c>
      <c r="J122" s="1765">
        <v>0</v>
      </c>
      <c r="K122" s="1765">
        <v>0</v>
      </c>
      <c r="L122" s="1823">
        <v>0</v>
      </c>
      <c r="M122" s="1825"/>
      <c r="N122" s="1825"/>
    </row>
    <row r="123" spans="1:14">
      <c r="A123" s="2565"/>
      <c r="B123" s="2566"/>
      <c r="C123" s="1738">
        <v>2017</v>
      </c>
      <c r="D123" s="1707">
        <v>0</v>
      </c>
      <c r="E123" s="1822">
        <v>0</v>
      </c>
      <c r="F123" s="1765">
        <v>0</v>
      </c>
      <c r="G123" s="1765">
        <v>0</v>
      </c>
      <c r="H123" s="1765">
        <v>0</v>
      </c>
      <c r="I123" s="1765">
        <v>0</v>
      </c>
      <c r="J123" s="1765">
        <v>0</v>
      </c>
      <c r="K123" s="1765">
        <v>0</v>
      </c>
      <c r="L123" s="1823">
        <v>0</v>
      </c>
      <c r="M123" s="1825"/>
      <c r="N123" s="1825"/>
    </row>
    <row r="124" spans="1:14">
      <c r="A124" s="2565"/>
      <c r="B124" s="2566"/>
      <c r="C124" s="1738">
        <v>2018</v>
      </c>
      <c r="D124" s="1708"/>
      <c r="E124" s="1822"/>
      <c r="F124" s="1765"/>
      <c r="G124" s="1765"/>
      <c r="H124" s="1765"/>
      <c r="I124" s="1765"/>
      <c r="J124" s="1765"/>
      <c r="K124" s="1765"/>
      <c r="L124" s="1823"/>
      <c r="M124" s="1825"/>
      <c r="N124" s="1825"/>
    </row>
    <row r="125" spans="1:14">
      <c r="A125" s="2565"/>
      <c r="B125" s="2566"/>
      <c r="C125" s="1738">
        <v>2019</v>
      </c>
      <c r="D125" s="1708"/>
      <c r="E125" s="1822"/>
      <c r="F125" s="1765"/>
      <c r="G125" s="1765"/>
      <c r="H125" s="1765"/>
      <c r="I125" s="1765"/>
      <c r="J125" s="1765"/>
      <c r="K125" s="1765"/>
      <c r="L125" s="1823"/>
      <c r="M125" s="1825"/>
      <c r="N125" s="1825"/>
    </row>
    <row r="126" spans="1:14">
      <c r="A126" s="2565"/>
      <c r="B126" s="2566"/>
      <c r="C126" s="1738">
        <v>2020</v>
      </c>
      <c r="D126" s="1708"/>
      <c r="E126" s="1822"/>
      <c r="F126" s="1765"/>
      <c r="G126" s="1765"/>
      <c r="H126" s="1765"/>
      <c r="I126" s="1765"/>
      <c r="J126" s="1765"/>
      <c r="K126" s="1765"/>
      <c r="L126" s="1823"/>
      <c r="M126" s="1825"/>
      <c r="N126" s="1825"/>
    </row>
    <row r="127" spans="1:14" ht="15.75" thickBot="1">
      <c r="A127" s="2567"/>
      <c r="B127" s="2568"/>
      <c r="C127" s="1767" t="s">
        <v>13</v>
      </c>
      <c r="D127" s="1770">
        <v>2</v>
      </c>
      <c r="E127" s="1826">
        <v>1</v>
      </c>
      <c r="F127" s="1827">
        <v>0</v>
      </c>
      <c r="G127" s="1827">
        <v>0</v>
      </c>
      <c r="H127" s="1827">
        <v>0</v>
      </c>
      <c r="I127" s="1827">
        <v>1</v>
      </c>
      <c r="J127" s="1827"/>
      <c r="K127" s="1827">
        <v>0</v>
      </c>
      <c r="L127" s="1828">
        <v>0</v>
      </c>
      <c r="M127" s="1825"/>
      <c r="N127" s="1825"/>
    </row>
    <row r="128" spans="1:14" ht="15.75" thickBot="1">
      <c r="A128" s="1824"/>
      <c r="B128" s="1824"/>
      <c r="C128" s="1743"/>
      <c r="D128" s="1676"/>
      <c r="E128" s="1676"/>
      <c r="H128" s="1825"/>
      <c r="I128" s="1825"/>
      <c r="J128" s="1825"/>
      <c r="K128" s="1825"/>
      <c r="L128" s="1825"/>
      <c r="M128" s="1825"/>
      <c r="N128" s="1825"/>
    </row>
    <row r="129" spans="1:16" ht="15" customHeight="1">
      <c r="A129" s="2609" t="s">
        <v>75</v>
      </c>
      <c r="B129" s="2611" t="s">
        <v>594</v>
      </c>
      <c r="C129" s="1830" t="s">
        <v>9</v>
      </c>
      <c r="D129" s="2613" t="s">
        <v>76</v>
      </c>
      <c r="E129" s="2614"/>
      <c r="F129" s="2614"/>
      <c r="G129" s="2615"/>
      <c r="H129" s="1825"/>
      <c r="I129" s="1825"/>
      <c r="J129" s="1825"/>
      <c r="K129" s="1825"/>
      <c r="L129" s="1825"/>
      <c r="M129" s="1825"/>
      <c r="N129" s="1825"/>
    </row>
    <row r="130" spans="1:16" ht="115.5" customHeight="1">
      <c r="A130" s="2610"/>
      <c r="B130" s="2612"/>
      <c r="C130" s="1831"/>
      <c r="D130" s="1812" t="s">
        <v>77</v>
      </c>
      <c r="E130" s="1813" t="s">
        <v>78</v>
      </c>
      <c r="F130" s="1813" t="s">
        <v>79</v>
      </c>
      <c r="G130" s="1832" t="s">
        <v>13</v>
      </c>
      <c r="H130" s="1825"/>
      <c r="I130" s="1825"/>
      <c r="J130" s="1825"/>
      <c r="K130" s="1825"/>
      <c r="L130" s="1825"/>
      <c r="M130" s="1825"/>
      <c r="N130" s="1825"/>
    </row>
    <row r="131" spans="1:16">
      <c r="A131" s="2565" t="s">
        <v>590</v>
      </c>
      <c r="B131" s="2566"/>
      <c r="C131" s="1737">
        <v>2015</v>
      </c>
      <c r="D131" s="1701"/>
      <c r="E131" s="1702"/>
      <c r="F131" s="1702"/>
      <c r="G131" s="1833">
        <v>0</v>
      </c>
      <c r="H131" s="1825"/>
      <c r="I131" s="1825"/>
      <c r="J131" s="1825"/>
      <c r="K131" s="1825"/>
      <c r="L131" s="1825"/>
      <c r="M131" s="1825"/>
      <c r="N131" s="1825"/>
    </row>
    <row r="132" spans="1:16">
      <c r="A132" s="2565"/>
      <c r="B132" s="2566"/>
      <c r="C132" s="1738">
        <v>2016</v>
      </c>
      <c r="D132" s="40">
        <v>190</v>
      </c>
      <c r="E132" s="41">
        <v>7</v>
      </c>
      <c r="F132" s="41">
        <v>85</v>
      </c>
      <c r="G132" s="1833">
        <f>SUM(D132:F132)</f>
        <v>282</v>
      </c>
      <c r="H132" s="1825"/>
      <c r="I132" s="1825"/>
      <c r="J132" s="1825"/>
      <c r="K132" s="1825"/>
      <c r="L132" s="1825"/>
      <c r="M132" s="1825"/>
      <c r="N132" s="1825"/>
    </row>
    <row r="133" spans="1:16">
      <c r="A133" s="2565"/>
      <c r="B133" s="2566"/>
      <c r="C133" s="1738">
        <v>2017</v>
      </c>
      <c r="D133" s="40">
        <v>137</v>
      </c>
      <c r="E133" s="41">
        <v>7</v>
      </c>
      <c r="F133" s="41"/>
      <c r="G133" s="1833">
        <f>SUM(D133:F133)</f>
        <v>144</v>
      </c>
      <c r="H133" s="1825"/>
      <c r="I133" s="1825"/>
      <c r="J133" s="1825"/>
      <c r="K133" s="1825"/>
      <c r="L133" s="1825"/>
      <c r="M133" s="1825"/>
      <c r="N133" s="1825"/>
    </row>
    <row r="134" spans="1:16">
      <c r="A134" s="2565"/>
      <c r="B134" s="2566"/>
      <c r="C134" s="1738">
        <v>2018</v>
      </c>
      <c r="D134" s="1707"/>
      <c r="E134" s="1708"/>
      <c r="F134" s="1708"/>
      <c r="G134" s="1833">
        <f t="shared" ref="G134:G136" si="2">SUM(D134:F134)</f>
        <v>0</v>
      </c>
      <c r="H134" s="1825"/>
      <c r="I134" s="1825"/>
      <c r="J134" s="1825"/>
      <c r="K134" s="1825"/>
      <c r="L134" s="1825"/>
      <c r="M134" s="1825"/>
      <c r="N134" s="1825"/>
    </row>
    <row r="135" spans="1:16">
      <c r="A135" s="2565"/>
      <c r="B135" s="2566"/>
      <c r="C135" s="1738">
        <v>2019</v>
      </c>
      <c r="D135" s="1707"/>
      <c r="E135" s="1708"/>
      <c r="F135" s="1708"/>
      <c r="G135" s="1833">
        <f t="shared" si="2"/>
        <v>0</v>
      </c>
      <c r="H135" s="1825"/>
      <c r="I135" s="1825"/>
      <c r="J135" s="1825"/>
      <c r="K135" s="1825"/>
      <c r="L135" s="1825"/>
      <c r="M135" s="1825"/>
      <c r="N135" s="1825"/>
    </row>
    <row r="136" spans="1:16">
      <c r="A136" s="2565"/>
      <c r="B136" s="2566"/>
      <c r="C136" s="1738">
        <v>2020</v>
      </c>
      <c r="D136" s="1707"/>
      <c r="E136" s="1708"/>
      <c r="F136" s="1708"/>
      <c r="G136" s="1833">
        <f t="shared" si="2"/>
        <v>0</v>
      </c>
      <c r="H136" s="1825"/>
      <c r="I136" s="1825"/>
      <c r="J136" s="1825"/>
      <c r="K136" s="1825"/>
      <c r="L136" s="1825"/>
      <c r="M136" s="1825"/>
      <c r="N136" s="1825"/>
    </row>
    <row r="137" spans="1:16" ht="15.75" thickBot="1">
      <c r="A137" s="2567"/>
      <c r="B137" s="2568"/>
      <c r="C137" s="1767" t="s">
        <v>13</v>
      </c>
      <c r="D137" s="1788">
        <f>SUM(D132:D133)</f>
        <v>327</v>
      </c>
      <c r="E137" s="1788">
        <f>SUM(E132:E133)</f>
        <v>14</v>
      </c>
      <c r="F137" s="1788">
        <f>F132</f>
        <v>85</v>
      </c>
      <c r="G137" s="1833">
        <f>SUM(D137:F137)</f>
        <v>426</v>
      </c>
      <c r="H137" s="1825"/>
      <c r="I137" s="1825"/>
      <c r="J137" s="1825"/>
      <c r="K137" s="1825"/>
      <c r="L137" s="1825"/>
      <c r="M137" s="1825"/>
      <c r="N137" s="1825"/>
    </row>
    <row r="138" spans="1:16">
      <c r="A138" s="1824"/>
      <c r="B138" s="1824"/>
      <c r="C138" s="1743"/>
      <c r="D138" s="1676"/>
      <c r="E138" s="1676"/>
      <c r="H138" s="1825"/>
      <c r="I138" s="1825"/>
      <c r="J138" s="1825"/>
      <c r="K138" s="1825"/>
      <c r="L138" s="1825"/>
      <c r="M138" s="1825"/>
      <c r="N138" s="1825"/>
    </row>
    <row r="139" spans="1:16">
      <c r="A139" s="1834"/>
      <c r="B139" s="1742"/>
      <c r="C139" s="1743"/>
      <c r="D139" s="1676"/>
      <c r="E139" s="1676"/>
      <c r="F139" s="1676"/>
      <c r="G139" s="1676"/>
      <c r="H139" s="1676"/>
      <c r="I139" s="1835"/>
      <c r="J139" s="1825"/>
      <c r="K139" s="1825"/>
      <c r="L139" s="1825"/>
      <c r="M139" s="1825"/>
      <c r="N139" s="1825"/>
      <c r="O139" s="1825"/>
      <c r="P139" s="1825"/>
    </row>
    <row r="140" spans="1:16" ht="21">
      <c r="A140" s="1836" t="s">
        <v>80</v>
      </c>
      <c r="B140" s="1836"/>
      <c r="C140" s="1837"/>
      <c r="D140" s="1837"/>
      <c r="E140" s="1837"/>
      <c r="F140" s="1837"/>
      <c r="G140" s="1837"/>
      <c r="H140" s="1837"/>
      <c r="I140" s="1837"/>
      <c r="J140" s="1837"/>
      <c r="K140" s="1837"/>
      <c r="L140" s="1837"/>
      <c r="M140" s="1837"/>
      <c r="N140" s="1837"/>
      <c r="O140" s="1809"/>
      <c r="P140" s="1809"/>
    </row>
    <row r="141" spans="1:16" ht="15.75" thickBot="1">
      <c r="A141" s="1838"/>
      <c r="B141" s="1742"/>
      <c r="C141" s="1790"/>
      <c r="D141" s="1740"/>
      <c r="E141" s="1740"/>
      <c r="F141" s="1740"/>
      <c r="G141" s="1740"/>
      <c r="H141" s="1740"/>
      <c r="I141" s="1811"/>
      <c r="J141" s="1811"/>
      <c r="K141" s="1811"/>
      <c r="L141" s="1811"/>
      <c r="M141" s="1811"/>
      <c r="N141" s="1811"/>
      <c r="O141" s="1811"/>
      <c r="P141" s="1811"/>
    </row>
    <row r="142" spans="1:16" ht="31.5" customHeight="1">
      <c r="A142" s="2595" t="s">
        <v>81</v>
      </c>
      <c r="B142" s="2597" t="s">
        <v>594</v>
      </c>
      <c r="C142" s="2606" t="s">
        <v>9</v>
      </c>
      <c r="D142" s="2592" t="s">
        <v>82</v>
      </c>
      <c r="E142" s="2593"/>
      <c r="F142" s="2593"/>
      <c r="G142" s="2593"/>
      <c r="H142" s="2593"/>
      <c r="I142" s="2608"/>
      <c r="J142" s="2592" t="s">
        <v>83</v>
      </c>
      <c r="K142" s="2593"/>
      <c r="L142" s="2593"/>
      <c r="M142" s="2593"/>
      <c r="N142" s="2594"/>
      <c r="O142" s="1811"/>
      <c r="P142" s="1811"/>
    </row>
    <row r="143" spans="1:16" ht="204.75" customHeight="1">
      <c r="A143" s="2596"/>
      <c r="B143" s="2598"/>
      <c r="C143" s="2607"/>
      <c r="D143" s="1839" t="s">
        <v>84</v>
      </c>
      <c r="E143" s="1840" t="s">
        <v>85</v>
      </c>
      <c r="F143" s="1841" t="s">
        <v>86</v>
      </c>
      <c r="G143" s="1841" t="s">
        <v>87</v>
      </c>
      <c r="H143" s="1841" t="s">
        <v>88</v>
      </c>
      <c r="I143" s="1842" t="s">
        <v>89</v>
      </c>
      <c r="J143" s="1843" t="s">
        <v>595</v>
      </c>
      <c r="K143" s="1844" t="s">
        <v>91</v>
      </c>
      <c r="L143" s="1843" t="s">
        <v>92</v>
      </c>
      <c r="M143" s="1844" t="s">
        <v>91</v>
      </c>
      <c r="N143" s="1845" t="s">
        <v>93</v>
      </c>
      <c r="O143" s="1811"/>
      <c r="P143" s="1811"/>
    </row>
    <row r="144" spans="1:16" ht="15.75" customHeight="1">
      <c r="A144" s="2565" t="s">
        <v>596</v>
      </c>
      <c r="B144" s="2566"/>
      <c r="C144" s="1737">
        <v>2014</v>
      </c>
      <c r="D144" s="1701"/>
      <c r="E144" s="1701"/>
      <c r="F144" s="1702"/>
      <c r="G144" s="1762"/>
      <c r="H144" s="1762"/>
      <c r="I144" s="1846">
        <v>0</v>
      </c>
      <c r="J144" s="1847"/>
      <c r="K144" s="1737"/>
      <c r="L144" s="1847"/>
      <c r="M144" s="1737"/>
      <c r="N144" s="1848"/>
      <c r="O144" s="1811"/>
      <c r="P144" s="1811"/>
    </row>
    <row r="145" spans="1:16">
      <c r="A145" s="2565"/>
      <c r="B145" s="2566"/>
      <c r="C145" s="1738">
        <v>2015</v>
      </c>
      <c r="D145" s="1707"/>
      <c r="E145" s="1707"/>
      <c r="F145" s="1708"/>
      <c r="G145" s="1765"/>
      <c r="H145" s="1765"/>
      <c r="I145" s="1846">
        <v>0</v>
      </c>
      <c r="J145" s="1849"/>
      <c r="K145" s="1738"/>
      <c r="L145" s="1849"/>
      <c r="M145" s="1738"/>
      <c r="N145" s="1850"/>
      <c r="O145" s="1811"/>
      <c r="P145" s="1811"/>
    </row>
    <row r="146" spans="1:16">
      <c r="A146" s="2565"/>
      <c r="B146" s="2566"/>
      <c r="C146" s="1738">
        <v>2016</v>
      </c>
      <c r="D146" s="1707">
        <v>4</v>
      </c>
      <c r="E146" s="1707">
        <f>1+7</f>
        <v>8</v>
      </c>
      <c r="F146" s="1708">
        <f>4+4</f>
        <v>8</v>
      </c>
      <c r="G146" s="1765">
        <f>12+8</f>
        <v>20</v>
      </c>
      <c r="H146" s="1765">
        <v>4</v>
      </c>
      <c r="I146" s="1846">
        <f>D146+F146+G146+H146</f>
        <v>36</v>
      </c>
      <c r="J146" s="1849">
        <v>32</v>
      </c>
      <c r="K146" s="1738">
        <v>5</v>
      </c>
      <c r="L146" s="1849">
        <v>1</v>
      </c>
      <c r="M146" s="1738">
        <v>0</v>
      </c>
      <c r="N146" s="1850">
        <v>0</v>
      </c>
      <c r="O146" s="1811"/>
      <c r="P146" s="1811"/>
    </row>
    <row r="147" spans="1:16">
      <c r="A147" s="2565"/>
      <c r="B147" s="2566"/>
      <c r="C147" s="1738">
        <v>2017</v>
      </c>
      <c r="D147" s="1707">
        <v>2</v>
      </c>
      <c r="E147" s="1707">
        <v>4</v>
      </c>
      <c r="F147" s="1708">
        <f>2+2</f>
        <v>4</v>
      </c>
      <c r="G147" s="1765">
        <f>1+4</f>
        <v>5</v>
      </c>
      <c r="H147" s="1765">
        <v>1</v>
      </c>
      <c r="I147" s="1846">
        <f t="shared" ref="I147:I151" si="3">D147+F147+G147+H147</f>
        <v>12</v>
      </c>
      <c r="J147" s="1849">
        <v>9</v>
      </c>
      <c r="K147" s="1738">
        <v>2</v>
      </c>
      <c r="L147" s="1849">
        <v>0</v>
      </c>
      <c r="M147" s="1738">
        <v>0</v>
      </c>
      <c r="N147" s="1850">
        <v>0</v>
      </c>
      <c r="O147" s="1811"/>
      <c r="P147" s="1811"/>
    </row>
    <row r="148" spans="1:16">
      <c r="A148" s="2565"/>
      <c r="B148" s="2566"/>
      <c r="C148" s="1738">
        <v>2018</v>
      </c>
      <c r="D148" s="1707"/>
      <c r="E148" s="1707"/>
      <c r="F148" s="1708"/>
      <c r="G148" s="1765"/>
      <c r="H148" s="1765"/>
      <c r="I148" s="1846">
        <f t="shared" si="3"/>
        <v>0</v>
      </c>
      <c r="J148" s="1849"/>
      <c r="K148" s="1738"/>
      <c r="L148" s="1849"/>
      <c r="M148" s="1738"/>
      <c r="N148" s="1850"/>
      <c r="O148" s="1811"/>
      <c r="P148" s="1811"/>
    </row>
    <row r="149" spans="1:16">
      <c r="A149" s="2565"/>
      <c r="B149" s="2566"/>
      <c r="C149" s="1738">
        <v>2019</v>
      </c>
      <c r="D149" s="1707"/>
      <c r="E149" s="1707"/>
      <c r="F149" s="1708"/>
      <c r="G149" s="1765"/>
      <c r="H149" s="1765"/>
      <c r="I149" s="1846">
        <f t="shared" si="3"/>
        <v>0</v>
      </c>
      <c r="J149" s="1849"/>
      <c r="K149" s="1738"/>
      <c r="L149" s="1849"/>
      <c r="M149" s="1738"/>
      <c r="N149" s="1850"/>
      <c r="O149" s="1811"/>
      <c r="P149" s="1811"/>
    </row>
    <row r="150" spans="1:16">
      <c r="A150" s="2565"/>
      <c r="B150" s="2566"/>
      <c r="C150" s="1738">
        <v>2020</v>
      </c>
      <c r="D150" s="1707"/>
      <c r="E150" s="1707"/>
      <c r="F150" s="1708"/>
      <c r="G150" s="1765"/>
      <c r="H150" s="1765"/>
      <c r="I150" s="1846">
        <f t="shared" si="3"/>
        <v>0</v>
      </c>
      <c r="J150" s="1849"/>
      <c r="K150" s="1738"/>
      <c r="L150" s="1849"/>
      <c r="M150" s="1738"/>
      <c r="N150" s="1850"/>
      <c r="O150" s="1811"/>
      <c r="P150" s="1811"/>
    </row>
    <row r="151" spans="1:16" ht="15.75" thickBot="1">
      <c r="A151" s="2567"/>
      <c r="B151" s="2568"/>
      <c r="C151" s="1767" t="s">
        <v>13</v>
      </c>
      <c r="D151" s="1788">
        <f>SUM(D146:D147)</f>
        <v>6</v>
      </c>
      <c r="E151" s="1788">
        <f t="shared" ref="E151:N151" si="4">SUM(E146:E147)</f>
        <v>12</v>
      </c>
      <c r="F151" s="1788">
        <f t="shared" si="4"/>
        <v>12</v>
      </c>
      <c r="G151" s="1788">
        <f t="shared" si="4"/>
        <v>25</v>
      </c>
      <c r="H151" s="1788">
        <f t="shared" si="4"/>
        <v>5</v>
      </c>
      <c r="I151" s="1788">
        <f t="shared" si="3"/>
        <v>48</v>
      </c>
      <c r="J151" s="1788">
        <f t="shared" si="4"/>
        <v>41</v>
      </c>
      <c r="K151" s="1788">
        <f t="shared" si="4"/>
        <v>7</v>
      </c>
      <c r="L151" s="1788">
        <f t="shared" si="4"/>
        <v>1</v>
      </c>
      <c r="M151" s="1788">
        <f t="shared" si="4"/>
        <v>0</v>
      </c>
      <c r="N151" s="1771">
        <f t="shared" si="4"/>
        <v>0</v>
      </c>
      <c r="O151" s="1811"/>
      <c r="P151" s="1811"/>
    </row>
    <row r="152" spans="1:16" ht="15.75" thickBot="1">
      <c r="B152" s="1851"/>
      <c r="O152" s="1811"/>
      <c r="P152" s="1811"/>
    </row>
    <row r="153" spans="1:16" ht="39" customHeight="1">
      <c r="A153" s="2595" t="s">
        <v>94</v>
      </c>
      <c r="B153" s="2597" t="s">
        <v>594</v>
      </c>
      <c r="C153" s="2599" t="s">
        <v>9</v>
      </c>
      <c r="D153" s="2601" t="s">
        <v>95</v>
      </c>
      <c r="E153" s="2602"/>
      <c r="F153" s="2602"/>
      <c r="G153" s="2603"/>
      <c r="H153" s="2604" t="s">
        <v>96</v>
      </c>
      <c r="I153" s="2602"/>
      <c r="J153" s="2605"/>
      <c r="K153" s="1699"/>
      <c r="L153" s="1699"/>
      <c r="M153" s="1699"/>
      <c r="N153" s="1699"/>
      <c r="O153" s="1811"/>
      <c r="P153" s="1811"/>
    </row>
    <row r="154" spans="1:16" ht="77.25" customHeight="1">
      <c r="A154" s="2596"/>
      <c r="B154" s="2598"/>
      <c r="C154" s="2600"/>
      <c r="D154" s="1852" t="s">
        <v>97</v>
      </c>
      <c r="E154" s="1853" t="s">
        <v>356</v>
      </c>
      <c r="F154" s="1854" t="s">
        <v>99</v>
      </c>
      <c r="G154" s="1855" t="s">
        <v>100</v>
      </c>
      <c r="H154" s="1852" t="s">
        <v>101</v>
      </c>
      <c r="I154" s="1853" t="s">
        <v>102</v>
      </c>
      <c r="J154" s="1856" t="s">
        <v>93</v>
      </c>
      <c r="K154" s="1699"/>
      <c r="L154" s="1699"/>
      <c r="M154" s="1699"/>
      <c r="N154" s="1699"/>
      <c r="O154" s="1811"/>
      <c r="P154" s="1811"/>
    </row>
    <row r="155" spans="1:16">
      <c r="A155" s="2565" t="s">
        <v>590</v>
      </c>
      <c r="B155" s="2566"/>
      <c r="C155" s="1857">
        <v>2014</v>
      </c>
      <c r="D155" s="1847"/>
      <c r="E155" s="1762"/>
      <c r="F155" s="1737"/>
      <c r="G155" s="1846">
        <v>0</v>
      </c>
      <c r="H155" s="1847"/>
      <c r="I155" s="1762"/>
      <c r="J155" s="1821"/>
      <c r="O155" s="1811"/>
      <c r="P155" s="1811"/>
    </row>
    <row r="156" spans="1:16">
      <c r="A156" s="2565"/>
      <c r="B156" s="2566"/>
      <c r="C156" s="1858">
        <v>2015</v>
      </c>
      <c r="D156" s="1849"/>
      <c r="E156" s="1765"/>
      <c r="F156" s="1738"/>
      <c r="G156" s="1846">
        <v>0</v>
      </c>
      <c r="H156" s="1849"/>
      <c r="I156" s="1765"/>
      <c r="J156" s="1823"/>
      <c r="O156" s="1811"/>
      <c r="P156" s="1811"/>
    </row>
    <row r="157" spans="1:16">
      <c r="A157" s="2565"/>
      <c r="B157" s="2566"/>
      <c r="C157" s="1858">
        <v>2016</v>
      </c>
      <c r="D157" s="214">
        <v>2</v>
      </c>
      <c r="E157" s="171"/>
      <c r="F157" s="215"/>
      <c r="G157" s="1846">
        <f>SUM(D157:F157)</f>
        <v>2</v>
      </c>
      <c r="H157" s="214">
        <v>2</v>
      </c>
      <c r="I157" s="1765">
        <v>0</v>
      </c>
      <c r="J157" s="1823">
        <v>0</v>
      </c>
      <c r="O157" s="1811"/>
      <c r="P157" s="1811"/>
    </row>
    <row r="158" spans="1:16">
      <c r="A158" s="2565"/>
      <c r="B158" s="2566"/>
      <c r="C158" s="1858">
        <v>2017</v>
      </c>
      <c r="D158" s="214">
        <v>1</v>
      </c>
      <c r="E158" s="171">
        <v>8</v>
      </c>
      <c r="F158" s="215">
        <v>4</v>
      </c>
      <c r="G158" s="1846">
        <f>SUM(D158:F158)</f>
        <v>13</v>
      </c>
      <c r="H158" s="214">
        <v>13</v>
      </c>
      <c r="I158" s="1765"/>
      <c r="J158" s="1823"/>
      <c r="O158" s="1811"/>
      <c r="P158" s="1811"/>
    </row>
    <row r="159" spans="1:16">
      <c r="A159" s="2565"/>
      <c r="B159" s="2566"/>
      <c r="C159" s="1858">
        <v>2018</v>
      </c>
      <c r="D159" s="1849"/>
      <c r="E159" s="1765"/>
      <c r="F159" s="1738"/>
      <c r="G159" s="1846">
        <v>0</v>
      </c>
      <c r="H159" s="1849"/>
      <c r="I159" s="1765"/>
      <c r="J159" s="1823"/>
      <c r="O159" s="1811"/>
      <c r="P159" s="1811"/>
    </row>
    <row r="160" spans="1:16">
      <c r="A160" s="2565"/>
      <c r="B160" s="2566"/>
      <c r="C160" s="1858">
        <v>2019</v>
      </c>
      <c r="D160" s="1849"/>
      <c r="E160" s="1765"/>
      <c r="F160" s="1738"/>
      <c r="G160" s="1846">
        <v>0</v>
      </c>
      <c r="H160" s="1849"/>
      <c r="I160" s="1765"/>
      <c r="J160" s="1823"/>
      <c r="O160" s="1811"/>
      <c r="P160" s="1811"/>
    </row>
    <row r="161" spans="1:18">
      <c r="A161" s="2565"/>
      <c r="B161" s="2566"/>
      <c r="C161" s="1858">
        <v>2020</v>
      </c>
      <c r="D161" s="1849"/>
      <c r="E161" s="1765"/>
      <c r="F161" s="1738"/>
      <c r="G161" s="1846">
        <v>0</v>
      </c>
      <c r="H161" s="1849"/>
      <c r="I161" s="1765"/>
      <c r="J161" s="1823"/>
      <c r="O161" s="1811"/>
      <c r="P161" s="1811"/>
    </row>
    <row r="162" spans="1:18" ht="15.75" thickBot="1">
      <c r="A162" s="2567"/>
      <c r="B162" s="2568"/>
      <c r="C162" s="1859" t="s">
        <v>13</v>
      </c>
      <c r="D162" s="1860">
        <f>SUM(D157:D158)</f>
        <v>3</v>
      </c>
      <c r="E162" s="1860">
        <f t="shared" ref="E162:J162" si="5">SUM(E157:E158)</f>
        <v>8</v>
      </c>
      <c r="F162" s="1860">
        <f t="shared" si="5"/>
        <v>4</v>
      </c>
      <c r="G162" s="1860">
        <f t="shared" si="5"/>
        <v>15</v>
      </c>
      <c r="H162" s="1860">
        <f t="shared" si="5"/>
        <v>15</v>
      </c>
      <c r="I162" s="1860">
        <f t="shared" si="5"/>
        <v>0</v>
      </c>
      <c r="J162" s="1828">
        <f t="shared" si="5"/>
        <v>0</v>
      </c>
    </row>
    <row r="163" spans="1:18" ht="15.75" thickBot="1">
      <c r="A163" s="1838"/>
      <c r="B163" s="1742"/>
      <c r="C163" s="1861"/>
      <c r="D163" s="1811"/>
      <c r="E163" s="1862"/>
      <c r="F163" s="1811"/>
      <c r="G163" s="1811"/>
      <c r="H163" s="1811"/>
      <c r="I163" s="1811"/>
      <c r="J163" s="1791"/>
      <c r="K163" s="1863"/>
    </row>
    <row r="164" spans="1:18" ht="120.75">
      <c r="A164" s="1864" t="s">
        <v>103</v>
      </c>
      <c r="B164" s="1865" t="s">
        <v>593</v>
      </c>
      <c r="C164" s="1866" t="s">
        <v>9</v>
      </c>
      <c r="D164" s="1867" t="s">
        <v>105</v>
      </c>
      <c r="E164" s="1867" t="s">
        <v>106</v>
      </c>
      <c r="F164" s="1868" t="s">
        <v>107</v>
      </c>
      <c r="G164" s="1867" t="s">
        <v>108</v>
      </c>
      <c r="H164" s="1867" t="s">
        <v>109</v>
      </c>
      <c r="I164" s="1869" t="s">
        <v>110</v>
      </c>
      <c r="J164" s="1870" t="s">
        <v>111</v>
      </c>
      <c r="K164" s="1870" t="s">
        <v>112</v>
      </c>
      <c r="L164" s="1871"/>
    </row>
    <row r="165" spans="1:18">
      <c r="A165" s="2238" t="s">
        <v>597</v>
      </c>
      <c r="B165" s="2127"/>
      <c r="C165" s="1872">
        <v>2014</v>
      </c>
      <c r="D165" s="1762"/>
      <c r="E165" s="1762"/>
      <c r="F165" s="1762"/>
      <c r="G165" s="1762"/>
      <c r="H165" s="1762"/>
      <c r="I165" s="1821"/>
      <c r="J165" s="1873">
        <v>0</v>
      </c>
      <c r="K165" s="1874">
        <v>0</v>
      </c>
      <c r="L165" s="1871"/>
    </row>
    <row r="166" spans="1:18">
      <c r="A166" s="2239"/>
      <c r="B166" s="2068"/>
      <c r="C166" s="1875">
        <v>2015</v>
      </c>
      <c r="D166" s="1876"/>
      <c r="E166" s="1876"/>
      <c r="F166" s="1876"/>
      <c r="G166" s="1876"/>
      <c r="H166" s="1876"/>
      <c r="I166" s="1877"/>
      <c r="J166" s="1878">
        <v>0</v>
      </c>
      <c r="K166" s="1879">
        <v>0</v>
      </c>
      <c r="L166" s="1871"/>
    </row>
    <row r="167" spans="1:18">
      <c r="A167" s="2239"/>
      <c r="B167" s="2068"/>
      <c r="C167" s="1875">
        <v>2016</v>
      </c>
      <c r="D167" s="252">
        <v>13</v>
      </c>
      <c r="E167" s="252">
        <v>15</v>
      </c>
      <c r="F167" s="252">
        <v>1</v>
      </c>
      <c r="G167" s="252">
        <v>3</v>
      </c>
      <c r="H167" s="252">
        <v>6</v>
      </c>
      <c r="I167" s="253">
        <v>5</v>
      </c>
      <c r="J167" s="1664">
        <f>SUM(D167,F167,H167)</f>
        <v>20</v>
      </c>
      <c r="K167" s="255">
        <f>SUM(E167,G167,I167)</f>
        <v>23</v>
      </c>
    </row>
    <row r="168" spans="1:18">
      <c r="A168" s="2239"/>
      <c r="B168" s="2068"/>
      <c r="C168" s="1875">
        <v>2017</v>
      </c>
      <c r="D168" s="252">
        <v>5</v>
      </c>
      <c r="E168" s="158">
        <v>7</v>
      </c>
      <c r="F168" s="252"/>
      <c r="G168" s="252"/>
      <c r="H168" s="252"/>
      <c r="I168" s="253">
        <v>2</v>
      </c>
      <c r="J168" s="1664">
        <f>SUM(D168,F168,H168)</f>
        <v>5</v>
      </c>
      <c r="K168" s="255">
        <f>SUM(E168,G168,I168)</f>
        <v>9</v>
      </c>
    </row>
    <row r="169" spans="1:18">
      <c r="A169" s="2239"/>
      <c r="B169" s="2068"/>
      <c r="C169" s="1880">
        <v>2018</v>
      </c>
      <c r="D169" s="1876"/>
      <c r="E169" s="1876"/>
      <c r="F169" s="1876"/>
      <c r="G169" s="1881"/>
      <c r="H169" s="1876"/>
      <c r="I169" s="1877"/>
      <c r="J169" s="1878">
        <v>0</v>
      </c>
      <c r="K169" s="1879">
        <v>0</v>
      </c>
      <c r="L169" s="1871"/>
    </row>
    <row r="170" spans="1:18">
      <c r="A170" s="2239"/>
      <c r="B170" s="2068"/>
      <c r="C170" s="1875">
        <v>2019</v>
      </c>
      <c r="D170" s="1811"/>
      <c r="E170" s="1876"/>
      <c r="F170" s="1876"/>
      <c r="G170" s="1876"/>
      <c r="H170" s="1881"/>
      <c r="I170" s="1877"/>
      <c r="J170" s="1878">
        <v>0</v>
      </c>
      <c r="K170" s="1879">
        <v>0</v>
      </c>
      <c r="L170" s="1871"/>
    </row>
    <row r="171" spans="1:18">
      <c r="A171" s="2239"/>
      <c r="B171" s="2068"/>
      <c r="C171" s="1880">
        <v>2020</v>
      </c>
      <c r="D171" s="1876"/>
      <c r="E171" s="1876"/>
      <c r="F171" s="1876"/>
      <c r="G171" s="1876"/>
      <c r="H171" s="1876"/>
      <c r="I171" s="1877"/>
      <c r="J171" s="1878">
        <v>0</v>
      </c>
      <c r="K171" s="1879">
        <v>0</v>
      </c>
      <c r="L171" s="1871"/>
    </row>
    <row r="172" spans="1:18" ht="15.75" thickBot="1">
      <c r="A172" s="2240"/>
      <c r="B172" s="2173"/>
      <c r="C172" s="1882" t="s">
        <v>13</v>
      </c>
      <c r="D172" s="174">
        <f>SUM(D165:D171)</f>
        <v>18</v>
      </c>
      <c r="E172" s="174">
        <f t="shared" ref="E172:I172" si="6">SUM(E165:E171)</f>
        <v>22</v>
      </c>
      <c r="F172" s="174">
        <f t="shared" si="6"/>
        <v>1</v>
      </c>
      <c r="G172" s="174">
        <f t="shared" si="6"/>
        <v>3</v>
      </c>
      <c r="H172" s="174">
        <f t="shared" si="6"/>
        <v>6</v>
      </c>
      <c r="I172" s="259">
        <f t="shared" si="6"/>
        <v>7</v>
      </c>
      <c r="J172" s="260">
        <f>SUM(J165:J171)</f>
        <v>25</v>
      </c>
      <c r="K172" s="218">
        <f>SUM(K165:K171)</f>
        <v>32</v>
      </c>
      <c r="L172" s="1871"/>
    </row>
    <row r="173" spans="1:18">
      <c r="A173" s="1838"/>
      <c r="B173" s="1742"/>
      <c r="C173" s="1743"/>
      <c r="D173" s="1676"/>
      <c r="E173" s="1676"/>
      <c r="F173" s="1676"/>
      <c r="G173" s="1825"/>
      <c r="H173" s="1825"/>
      <c r="I173" s="1825"/>
      <c r="J173" s="1825"/>
      <c r="K173" s="1825"/>
      <c r="L173" s="1825"/>
      <c r="M173" s="1825"/>
      <c r="N173" s="1825"/>
      <c r="O173" s="1825"/>
      <c r="P173" s="1825"/>
      <c r="Q173" s="1825"/>
      <c r="R173" s="1835"/>
    </row>
    <row r="174" spans="1:18" ht="21">
      <c r="A174" s="1883" t="s">
        <v>114</v>
      </c>
      <c r="B174" s="1883"/>
      <c r="C174" s="1884"/>
      <c r="D174" s="1884"/>
      <c r="E174" s="1884"/>
      <c r="F174" s="1884"/>
      <c r="G174" s="1884"/>
      <c r="H174" s="1884"/>
      <c r="I174" s="1884"/>
      <c r="J174" s="1884"/>
      <c r="K174" s="1884"/>
      <c r="L174" s="1884"/>
      <c r="M174" s="1884"/>
      <c r="N174" s="1884"/>
      <c r="O174" s="1884"/>
    </row>
    <row r="175" spans="1:18" ht="21.75" thickBot="1">
      <c r="A175" s="1810"/>
      <c r="B175" s="1810"/>
    </row>
    <row r="176" spans="1:18" s="1699" customFormat="1" ht="15.75" customHeight="1" thickBot="1">
      <c r="A176" s="2588" t="s">
        <v>115</v>
      </c>
      <c r="B176" s="2577" t="s">
        <v>598</v>
      </c>
      <c r="C176" s="2590" t="s">
        <v>9</v>
      </c>
      <c r="D176" s="2586" t="s">
        <v>126</v>
      </c>
      <c r="E176" s="2582"/>
      <c r="F176" s="2582"/>
      <c r="G176" s="2587"/>
      <c r="H176" s="1885"/>
      <c r="I176" s="2572" t="s">
        <v>118</v>
      </c>
      <c r="J176" s="2573"/>
      <c r="K176" s="2573"/>
      <c r="L176" s="2573"/>
      <c r="M176" s="2573"/>
      <c r="N176" s="2573"/>
      <c r="O176" s="2574"/>
    </row>
    <row r="177" spans="1:16" ht="243" customHeight="1">
      <c r="A177" s="2589"/>
      <c r="B177" s="2578"/>
      <c r="C177" s="2591"/>
      <c r="D177" s="1886" t="s">
        <v>119</v>
      </c>
      <c r="E177" s="1887" t="s">
        <v>120</v>
      </c>
      <c r="F177" s="1887" t="s">
        <v>121</v>
      </c>
      <c r="G177" s="1888" t="s">
        <v>122</v>
      </c>
      <c r="H177" s="1889" t="s">
        <v>123</v>
      </c>
      <c r="I177" s="1890" t="s">
        <v>350</v>
      </c>
      <c r="J177" s="1891" t="s">
        <v>54</v>
      </c>
      <c r="K177" s="1891" t="s">
        <v>55</v>
      </c>
      <c r="L177" s="1891" t="s">
        <v>56</v>
      </c>
      <c r="M177" s="1891" t="s">
        <v>57</v>
      </c>
      <c r="N177" s="1891" t="s">
        <v>58</v>
      </c>
      <c r="O177" s="1892" t="s">
        <v>59</v>
      </c>
    </row>
    <row r="178" spans="1:16" ht="15" customHeight="1">
      <c r="A178" s="2565" t="s">
        <v>599</v>
      </c>
      <c r="B178" s="2566"/>
      <c r="C178" s="1737">
        <v>2014</v>
      </c>
      <c r="D178" s="1701"/>
      <c r="E178" s="1702"/>
      <c r="F178" s="1702"/>
      <c r="G178" s="1893">
        <v>0</v>
      </c>
      <c r="H178" s="1804"/>
      <c r="I178" s="1804"/>
      <c r="J178" s="1702"/>
      <c r="K178" s="1702"/>
      <c r="L178" s="1702"/>
      <c r="M178" s="1702"/>
      <c r="N178" s="1702"/>
      <c r="O178" s="1705"/>
    </row>
    <row r="179" spans="1:16">
      <c r="A179" s="2565"/>
      <c r="B179" s="2566"/>
      <c r="C179" s="1738">
        <v>2015</v>
      </c>
      <c r="D179" s="1707"/>
      <c r="E179" s="1708"/>
      <c r="F179" s="1708"/>
      <c r="G179" s="1893">
        <v>0</v>
      </c>
      <c r="H179" s="1805"/>
      <c r="I179" s="1766"/>
      <c r="J179" s="1708"/>
      <c r="K179" s="1708"/>
      <c r="L179" s="1708"/>
      <c r="M179" s="1708"/>
      <c r="N179" s="1708"/>
      <c r="O179" s="1752"/>
    </row>
    <row r="180" spans="1:16">
      <c r="A180" s="2565"/>
      <c r="B180" s="2566"/>
      <c r="C180" s="1738">
        <v>2016</v>
      </c>
      <c r="D180" s="1707">
        <f>30+1</f>
        <v>31</v>
      </c>
      <c r="E180" s="1708">
        <v>1</v>
      </c>
      <c r="F180" s="1708">
        <v>5</v>
      </c>
      <c r="G180" s="1893">
        <v>37</v>
      </c>
      <c r="H180" s="1805">
        <v>51</v>
      </c>
      <c r="I180" s="1766">
        <v>1</v>
      </c>
      <c r="J180" s="1708">
        <v>1</v>
      </c>
      <c r="K180" s="1708">
        <v>12</v>
      </c>
      <c r="L180" s="1708">
        <v>11</v>
      </c>
      <c r="M180" s="1708">
        <v>0</v>
      </c>
      <c r="N180" s="1708">
        <v>0</v>
      </c>
      <c r="O180" s="1752">
        <v>12</v>
      </c>
      <c r="P180" s="1672">
        <v>0</v>
      </c>
    </row>
    <row r="181" spans="1:16">
      <c r="A181" s="2565"/>
      <c r="B181" s="2566"/>
      <c r="C181" s="1738">
        <v>2017</v>
      </c>
      <c r="D181" s="1707">
        <f>1+1</f>
        <v>2</v>
      </c>
      <c r="E181" s="1708">
        <v>0</v>
      </c>
      <c r="F181" s="1708">
        <v>0</v>
      </c>
      <c r="G181" s="1893">
        <v>2</v>
      </c>
      <c r="H181" s="1805">
        <v>2</v>
      </c>
      <c r="I181" s="1766">
        <v>0</v>
      </c>
      <c r="J181" s="1708">
        <v>0</v>
      </c>
      <c r="K181" s="1708">
        <v>1</v>
      </c>
      <c r="L181" s="1708">
        <v>0</v>
      </c>
      <c r="M181" s="1708">
        <v>0</v>
      </c>
      <c r="N181" s="1708">
        <v>0</v>
      </c>
      <c r="O181" s="1752">
        <v>1</v>
      </c>
      <c r="P181" s="1672">
        <v>0</v>
      </c>
    </row>
    <row r="182" spans="1:16">
      <c r="A182" s="2565"/>
      <c r="B182" s="2566"/>
      <c r="C182" s="1738">
        <v>2018</v>
      </c>
      <c r="D182" s="1707"/>
      <c r="E182" s="1708"/>
      <c r="F182" s="1708"/>
      <c r="G182" s="1893">
        <v>0</v>
      </c>
      <c r="H182" s="1805"/>
      <c r="I182" s="1766"/>
      <c r="J182" s="1708"/>
      <c r="K182" s="1708"/>
      <c r="L182" s="1708"/>
      <c r="M182" s="1708"/>
      <c r="N182" s="1708"/>
      <c r="O182" s="1752"/>
    </row>
    <row r="183" spans="1:16">
      <c r="A183" s="2565"/>
      <c r="B183" s="2566"/>
      <c r="C183" s="1738">
        <v>2019</v>
      </c>
      <c r="D183" s="1707"/>
      <c r="E183" s="1708"/>
      <c r="F183" s="1708"/>
      <c r="G183" s="1893">
        <v>0</v>
      </c>
      <c r="H183" s="1805"/>
      <c r="I183" s="1766"/>
      <c r="J183" s="1708"/>
      <c r="K183" s="1708"/>
      <c r="L183" s="1708"/>
      <c r="M183" s="1708"/>
      <c r="N183" s="1708"/>
      <c r="O183" s="1752"/>
    </row>
    <row r="184" spans="1:16">
      <c r="A184" s="2565"/>
      <c r="B184" s="2566"/>
      <c r="C184" s="1738">
        <v>2020</v>
      </c>
      <c r="D184" s="1707"/>
      <c r="E184" s="1708"/>
      <c r="F184" s="1708"/>
      <c r="G184" s="1893">
        <v>0</v>
      </c>
      <c r="H184" s="1805"/>
      <c r="I184" s="1766"/>
      <c r="J184" s="1708"/>
      <c r="K184" s="1708"/>
      <c r="L184" s="1708"/>
      <c r="M184" s="1708"/>
      <c r="N184" s="1708"/>
      <c r="O184" s="1752"/>
    </row>
    <row r="185" spans="1:16" ht="15.75" thickBot="1">
      <c r="A185" s="2567"/>
      <c r="B185" s="2568"/>
      <c r="C185" s="1767" t="s">
        <v>13</v>
      </c>
      <c r="D185" s="1788">
        <f>SUM(D180:D184)</f>
        <v>33</v>
      </c>
      <c r="E185" s="1788">
        <f t="shared" ref="E185:O185" si="7">SUM(E180:E184)</f>
        <v>1</v>
      </c>
      <c r="F185" s="1788">
        <f t="shared" si="7"/>
        <v>5</v>
      </c>
      <c r="G185" s="1788">
        <f t="shared" si="7"/>
        <v>39</v>
      </c>
      <c r="H185" s="1788">
        <f t="shared" si="7"/>
        <v>53</v>
      </c>
      <c r="I185" s="1788">
        <f t="shared" si="7"/>
        <v>1</v>
      </c>
      <c r="J185" s="1788">
        <f t="shared" si="7"/>
        <v>1</v>
      </c>
      <c r="K185" s="1788">
        <f t="shared" si="7"/>
        <v>13</v>
      </c>
      <c r="L185" s="1788">
        <f t="shared" si="7"/>
        <v>11</v>
      </c>
      <c r="M185" s="1788">
        <f t="shared" si="7"/>
        <v>0</v>
      </c>
      <c r="N185" s="1788">
        <f t="shared" si="7"/>
        <v>0</v>
      </c>
      <c r="O185" s="1771">
        <f t="shared" si="7"/>
        <v>13</v>
      </c>
    </row>
    <row r="186" spans="1:16" ht="15.75" thickBot="1"/>
    <row r="187" spans="1:16" ht="15" customHeight="1">
      <c r="A187" s="2575" t="s">
        <v>125</v>
      </c>
      <c r="B187" s="2577" t="s">
        <v>598</v>
      </c>
      <c r="C187" s="2579" t="s">
        <v>9</v>
      </c>
      <c r="D187" s="2581" t="s">
        <v>126</v>
      </c>
      <c r="E187" s="2582"/>
      <c r="F187" s="2582"/>
      <c r="G187" s="2583"/>
      <c r="H187" s="2584" t="s">
        <v>127</v>
      </c>
      <c r="I187" s="2582"/>
      <c r="J187" s="2582"/>
      <c r="K187" s="2582"/>
      <c r="L187" s="2585"/>
    </row>
    <row r="188" spans="1:16" ht="153.75" customHeight="1">
      <c r="A188" s="2576"/>
      <c r="B188" s="2578"/>
      <c r="C188" s="2580"/>
      <c r="D188" s="1894" t="s">
        <v>128</v>
      </c>
      <c r="E188" s="1894" t="s">
        <v>129</v>
      </c>
      <c r="F188" s="1894" t="s">
        <v>130</v>
      </c>
      <c r="G188" s="1895" t="s">
        <v>13</v>
      </c>
      <c r="H188" s="1896" t="s">
        <v>131</v>
      </c>
      <c r="I188" s="1894" t="s">
        <v>132</v>
      </c>
      <c r="J188" s="1894" t="s">
        <v>133</v>
      </c>
      <c r="K188" s="1894" t="s">
        <v>360</v>
      </c>
      <c r="L188" s="1897" t="s">
        <v>135</v>
      </c>
    </row>
    <row r="189" spans="1:16" ht="15" customHeight="1">
      <c r="A189" s="2563" t="s">
        <v>600</v>
      </c>
      <c r="B189" s="2564"/>
      <c r="C189" s="1898">
        <v>2014</v>
      </c>
      <c r="D189" s="1784"/>
      <c r="E189" s="1764"/>
      <c r="F189" s="1764"/>
      <c r="G189" s="1899">
        <v>0</v>
      </c>
      <c r="H189" s="1763"/>
      <c r="I189" s="1764"/>
      <c r="J189" s="1764"/>
      <c r="K189" s="1764"/>
      <c r="L189" s="1785"/>
    </row>
    <row r="190" spans="1:16">
      <c r="A190" s="2565"/>
      <c r="B190" s="2566"/>
      <c r="C190" s="1738">
        <v>2015</v>
      </c>
      <c r="D190" s="1707"/>
      <c r="E190" s="1708"/>
      <c r="F190" s="1708"/>
      <c r="G190" s="1899">
        <v>0</v>
      </c>
      <c r="H190" s="1766"/>
      <c r="I190" s="1708"/>
      <c r="J190" s="1708"/>
      <c r="K190" s="1708"/>
      <c r="L190" s="1752"/>
    </row>
    <row r="191" spans="1:16">
      <c r="A191" s="2565"/>
      <c r="B191" s="2566"/>
      <c r="C191" s="1738">
        <v>2016</v>
      </c>
      <c r="D191" s="1707">
        <v>3753</v>
      </c>
      <c r="E191" s="1708">
        <v>34</v>
      </c>
      <c r="F191" s="1708">
        <v>61</v>
      </c>
      <c r="G191" s="1899">
        <f>SUM(D191:F191)</f>
        <v>3848</v>
      </c>
      <c r="H191" s="1766">
        <v>106</v>
      </c>
      <c r="I191" s="1708">
        <v>388</v>
      </c>
      <c r="J191" s="1708">
        <v>2148</v>
      </c>
      <c r="K191" s="1708">
        <v>65</v>
      </c>
      <c r="L191" s="1752">
        <v>1141</v>
      </c>
    </row>
    <row r="192" spans="1:16">
      <c r="A192" s="2565"/>
      <c r="B192" s="2566"/>
      <c r="C192" s="1738">
        <v>2017</v>
      </c>
      <c r="D192" s="1707">
        <f>78+80</f>
        <v>158</v>
      </c>
      <c r="E192" s="1708">
        <v>0</v>
      </c>
      <c r="F192" s="1708">
        <v>0</v>
      </c>
      <c r="G192" s="1899">
        <f t="shared" ref="G192:G196" si="8">SUM(D192:F192)</f>
        <v>158</v>
      </c>
      <c r="H192" s="1766">
        <v>17</v>
      </c>
      <c r="I192" s="1708">
        <v>0</v>
      </c>
      <c r="J192" s="1708">
        <v>11</v>
      </c>
      <c r="K192" s="1708">
        <v>80</v>
      </c>
      <c r="L192" s="1752">
        <v>50</v>
      </c>
    </row>
    <row r="193" spans="1:12">
      <c r="A193" s="2565"/>
      <c r="B193" s="2566"/>
      <c r="C193" s="1738">
        <v>2018</v>
      </c>
      <c r="D193" s="1707"/>
      <c r="E193" s="1708"/>
      <c r="F193" s="1708"/>
      <c r="G193" s="1899">
        <f t="shared" si="8"/>
        <v>0</v>
      </c>
      <c r="H193" s="1766"/>
      <c r="I193" s="1708"/>
      <c r="J193" s="1708"/>
      <c r="K193" s="1708"/>
      <c r="L193" s="1752"/>
    </row>
    <row r="194" spans="1:12">
      <c r="A194" s="2565"/>
      <c r="B194" s="2566"/>
      <c r="C194" s="1738">
        <v>2019</v>
      </c>
      <c r="D194" s="1707"/>
      <c r="E194" s="1708"/>
      <c r="F194" s="1708"/>
      <c r="G194" s="1899">
        <f t="shared" si="8"/>
        <v>0</v>
      </c>
      <c r="H194" s="1766"/>
      <c r="I194" s="1708"/>
      <c r="J194" s="1708"/>
      <c r="K194" s="1708"/>
      <c r="L194" s="1752"/>
    </row>
    <row r="195" spans="1:12">
      <c r="A195" s="2565"/>
      <c r="B195" s="2566"/>
      <c r="C195" s="1738">
        <v>2020</v>
      </c>
      <c r="D195" s="1707"/>
      <c r="E195" s="1708"/>
      <c r="F195" s="1708"/>
      <c r="G195" s="1899">
        <f t="shared" si="8"/>
        <v>0</v>
      </c>
      <c r="H195" s="1766"/>
      <c r="I195" s="1708"/>
      <c r="J195" s="1708"/>
      <c r="K195" s="1708"/>
      <c r="L195" s="1752"/>
    </row>
    <row r="196" spans="1:12" ht="15.75" thickBot="1">
      <c r="A196" s="2567"/>
      <c r="B196" s="2568"/>
      <c r="C196" s="1767" t="s">
        <v>13</v>
      </c>
      <c r="D196" s="1788">
        <f>SUM(D191:D192)</f>
        <v>3911</v>
      </c>
      <c r="E196" s="1788">
        <f t="shared" ref="E196:L196" si="9">SUM(E191:E192)</f>
        <v>34</v>
      </c>
      <c r="F196" s="1788">
        <f t="shared" si="9"/>
        <v>61</v>
      </c>
      <c r="G196" s="1788">
        <f t="shared" si="8"/>
        <v>4006</v>
      </c>
      <c r="H196" s="1788">
        <f t="shared" si="9"/>
        <v>123</v>
      </c>
      <c r="I196" s="1788">
        <f t="shared" si="9"/>
        <v>388</v>
      </c>
      <c r="J196" s="1788">
        <f t="shared" si="9"/>
        <v>2159</v>
      </c>
      <c r="K196" s="1788">
        <f t="shared" si="9"/>
        <v>145</v>
      </c>
      <c r="L196" s="1771">
        <f t="shared" si="9"/>
        <v>1191</v>
      </c>
    </row>
    <row r="199" spans="1:12" ht="21">
      <c r="A199" s="1900" t="s">
        <v>601</v>
      </c>
      <c r="B199" s="1900"/>
      <c r="C199" s="1901"/>
      <c r="D199" s="1901"/>
      <c r="E199" s="1901"/>
      <c r="F199" s="1901"/>
      <c r="G199" s="1901"/>
      <c r="H199" s="1901"/>
      <c r="I199" s="1901"/>
      <c r="J199" s="1901"/>
      <c r="K199" s="1901"/>
      <c r="L199" s="1901"/>
    </row>
    <row r="200" spans="1:12" ht="15.75" thickBot="1">
      <c r="A200" s="1902"/>
      <c r="B200" s="1902"/>
      <c r="C200" s="1901"/>
      <c r="D200" s="1901"/>
      <c r="E200" s="1901"/>
      <c r="F200" s="1901"/>
      <c r="G200" s="1901"/>
      <c r="H200" s="1901"/>
      <c r="I200" s="1901"/>
      <c r="J200" s="1901"/>
      <c r="K200" s="1901"/>
      <c r="L200" s="1901"/>
    </row>
    <row r="201" spans="1:12" s="1699" customFormat="1" ht="141.75">
      <c r="A201" s="1903" t="s">
        <v>362</v>
      </c>
      <c r="B201" s="1904" t="s">
        <v>598</v>
      </c>
      <c r="C201" s="1905" t="s">
        <v>9</v>
      </c>
      <c r="D201" s="1906" t="s">
        <v>139</v>
      </c>
      <c r="E201" s="1907" t="s">
        <v>140</v>
      </c>
      <c r="F201" s="1907" t="s">
        <v>141</v>
      </c>
      <c r="G201" s="1905" t="s">
        <v>142</v>
      </c>
      <c r="H201" s="1908" t="s">
        <v>143</v>
      </c>
      <c r="I201" s="1909" t="s">
        <v>144</v>
      </c>
      <c r="J201" s="1910" t="s">
        <v>145</v>
      </c>
      <c r="K201" s="1907" t="s">
        <v>146</v>
      </c>
      <c r="L201" s="1911" t="s">
        <v>147</v>
      </c>
    </row>
    <row r="202" spans="1:12">
      <c r="A202" s="2565"/>
      <c r="B202" s="2566"/>
      <c r="C202" s="1737">
        <v>2014</v>
      </c>
      <c r="D202" s="1701"/>
      <c r="E202" s="1702"/>
      <c r="F202" s="1702"/>
      <c r="G202" s="1700"/>
      <c r="H202" s="1912"/>
      <c r="I202" s="1913"/>
      <c r="J202" s="1914"/>
      <c r="K202" s="1702"/>
      <c r="L202" s="1705"/>
    </row>
    <row r="203" spans="1:12">
      <c r="A203" s="2565"/>
      <c r="B203" s="2566"/>
      <c r="C203" s="1738">
        <v>2015</v>
      </c>
      <c r="D203" s="1707"/>
      <c r="E203" s="1708"/>
      <c r="F203" s="1708"/>
      <c r="G203" s="1706"/>
      <c r="H203" s="1915"/>
      <c r="I203" s="1916"/>
      <c r="J203" s="1917"/>
      <c r="K203" s="1708"/>
      <c r="L203" s="1752"/>
    </row>
    <row r="204" spans="1:12">
      <c r="A204" s="2565"/>
      <c r="B204" s="2566"/>
      <c r="C204" s="1738">
        <v>2016</v>
      </c>
      <c r="D204" s="40">
        <v>3</v>
      </c>
      <c r="E204" s="41">
        <v>12</v>
      </c>
      <c r="F204" s="41"/>
      <c r="G204" s="39"/>
      <c r="H204" s="306">
        <v>21</v>
      </c>
      <c r="I204" s="307">
        <v>0</v>
      </c>
      <c r="J204" s="308">
        <v>2</v>
      </c>
      <c r="K204" s="41">
        <v>10</v>
      </c>
      <c r="L204" s="86"/>
    </row>
    <row r="205" spans="1:12">
      <c r="A205" s="2565"/>
      <c r="B205" s="2566"/>
      <c r="C205" s="1738">
        <v>2017</v>
      </c>
      <c r="D205" s="40">
        <v>1</v>
      </c>
      <c r="E205" s="41">
        <v>50</v>
      </c>
      <c r="F205" s="41">
        <v>27</v>
      </c>
      <c r="G205" s="39"/>
      <c r="H205" s="306">
        <v>26</v>
      </c>
      <c r="I205" s="307">
        <v>1</v>
      </c>
      <c r="J205" s="308"/>
      <c r="K205" s="41"/>
      <c r="L205" s="86"/>
    </row>
    <row r="206" spans="1:12">
      <c r="A206" s="2565"/>
      <c r="B206" s="2566"/>
      <c r="C206" s="1738">
        <v>2018</v>
      </c>
      <c r="D206" s="1707"/>
      <c r="E206" s="1708"/>
      <c r="F206" s="1708"/>
      <c r="G206" s="1706"/>
      <c r="H206" s="1915"/>
      <c r="I206" s="1916"/>
      <c r="J206" s="1917"/>
      <c r="K206" s="1708"/>
      <c r="L206" s="1752"/>
    </row>
    <row r="207" spans="1:12">
      <c r="A207" s="2565"/>
      <c r="B207" s="2566"/>
      <c r="C207" s="1738">
        <v>2019</v>
      </c>
      <c r="D207" s="1707"/>
      <c r="E207" s="1708"/>
      <c r="F207" s="1708"/>
      <c r="G207" s="1706"/>
      <c r="H207" s="1915"/>
      <c r="I207" s="1916"/>
      <c r="J207" s="1917"/>
      <c r="K207" s="1708"/>
      <c r="L207" s="1752"/>
    </row>
    <row r="208" spans="1:12">
      <c r="A208" s="2565"/>
      <c r="B208" s="2566"/>
      <c r="C208" s="1738">
        <v>2020</v>
      </c>
      <c r="D208" s="1918"/>
      <c r="E208" s="1919"/>
      <c r="F208" s="1919"/>
      <c r="G208" s="1920"/>
      <c r="H208" s="1921"/>
      <c r="I208" s="1922"/>
      <c r="J208" s="1923"/>
      <c r="K208" s="1919"/>
      <c r="L208" s="1924"/>
    </row>
    <row r="209" spans="1:12" ht="15.75" thickBot="1">
      <c r="A209" s="2567"/>
      <c r="B209" s="2568"/>
      <c r="C209" s="1767" t="s">
        <v>13</v>
      </c>
      <c r="D209" s="132">
        <f>SUM(D202:D208)</f>
        <v>4</v>
      </c>
      <c r="E209" s="132">
        <f t="shared" ref="E209:L209" si="10">SUM(E202:E208)</f>
        <v>62</v>
      </c>
      <c r="F209" s="132">
        <f t="shared" si="10"/>
        <v>27</v>
      </c>
      <c r="G209" s="132">
        <f t="shared" si="10"/>
        <v>0</v>
      </c>
      <c r="H209" s="132">
        <f t="shared" si="10"/>
        <v>47</v>
      </c>
      <c r="I209" s="132">
        <f t="shared" si="10"/>
        <v>1</v>
      </c>
      <c r="J209" s="132">
        <f t="shared" si="10"/>
        <v>2</v>
      </c>
      <c r="K209" s="132">
        <f t="shared" si="10"/>
        <v>10</v>
      </c>
      <c r="L209" s="110">
        <f t="shared" si="10"/>
        <v>0</v>
      </c>
    </row>
    <row r="212" spans="1:12" ht="37.5">
      <c r="A212" s="1925" t="s">
        <v>363</v>
      </c>
      <c r="B212" s="1926" t="s">
        <v>602</v>
      </c>
      <c r="C212" s="1927">
        <v>2014</v>
      </c>
      <c r="D212" s="1928">
        <v>2015</v>
      </c>
      <c r="E212" s="1928">
        <v>2016</v>
      </c>
      <c r="F212" s="1928">
        <v>2017</v>
      </c>
      <c r="G212" s="1928">
        <v>2018</v>
      </c>
      <c r="H212" s="1928">
        <v>2019</v>
      </c>
      <c r="I212" s="1929">
        <v>2020</v>
      </c>
    </row>
    <row r="213" spans="1:12" ht="15.75" customHeight="1">
      <c r="A213" s="1672" t="s">
        <v>150</v>
      </c>
      <c r="B213" s="2569" t="s">
        <v>603</v>
      </c>
      <c r="C213" s="1737"/>
      <c r="D213" s="1765"/>
      <c r="E213" s="1930">
        <f>SUM(E214:E217)</f>
        <v>3608993.3400000003</v>
      </c>
      <c r="F213" s="1930">
        <f>SUM(F214:F217)</f>
        <v>1070197.3500000001</v>
      </c>
      <c r="G213" s="1765"/>
      <c r="H213" s="1765"/>
      <c r="I213" s="1823"/>
      <c r="K213" s="1931"/>
    </row>
    <row r="214" spans="1:12">
      <c r="A214" s="1672" t="s">
        <v>153</v>
      </c>
      <c r="B214" s="2570"/>
      <c r="C214" s="1737"/>
      <c r="D214" s="1765"/>
      <c r="E214" s="1932">
        <f>1545780.26+375</f>
        <v>1546155.26</v>
      </c>
      <c r="F214" s="1930">
        <f>872945.27+1000</f>
        <v>873945.27</v>
      </c>
      <c r="G214" s="1765"/>
      <c r="H214" s="1765"/>
      <c r="I214" s="1823"/>
    </row>
    <row r="215" spans="1:12">
      <c r="A215" s="1672" t="s">
        <v>155</v>
      </c>
      <c r="B215" s="2570"/>
      <c r="C215" s="1737"/>
      <c r="D215" s="1765"/>
      <c r="E215" s="1930">
        <v>0</v>
      </c>
      <c r="F215" s="1930">
        <v>0</v>
      </c>
      <c r="G215" s="1765"/>
      <c r="H215" s="1765"/>
      <c r="I215" s="1823"/>
    </row>
    <row r="216" spans="1:12">
      <c r="A216" s="1672" t="s">
        <v>157</v>
      </c>
      <c r="B216" s="2570"/>
      <c r="C216" s="1737"/>
      <c r="D216" s="1765"/>
      <c r="E216" s="1930">
        <f>1023943.39-1874.7</f>
        <v>1022068.6900000001</v>
      </c>
      <c r="F216" s="1930">
        <v>60000</v>
      </c>
      <c r="G216" s="1765"/>
      <c r="H216" s="1765"/>
      <c r="I216" s="1823"/>
    </row>
    <row r="217" spans="1:12">
      <c r="A217" s="1672" t="s">
        <v>158</v>
      </c>
      <c r="B217" s="2570"/>
      <c r="C217" s="1737"/>
      <c r="D217" s="1765"/>
      <c r="E217" s="1930">
        <f>898014.25+142755.14</f>
        <v>1040769.39</v>
      </c>
      <c r="F217" s="1930">
        <f>25475.93+1760+109016.15</f>
        <v>136252.07999999999</v>
      </c>
      <c r="G217" s="1765"/>
      <c r="H217" s="1765"/>
      <c r="I217" s="1823"/>
    </row>
    <row r="218" spans="1:12" ht="45">
      <c r="A218" s="1728" t="s">
        <v>159</v>
      </c>
      <c r="B218" s="2570"/>
      <c r="C218" s="1737"/>
      <c r="D218" s="1765"/>
      <c r="E218" s="1930">
        <f>2549826.39176422+1396343.88</f>
        <v>3946170.2717642197</v>
      </c>
      <c r="F218" s="1930">
        <f>1709789.88-1760+820222.96</f>
        <v>2528252.84</v>
      </c>
      <c r="G218" s="1765"/>
      <c r="H218" s="1765"/>
      <c r="I218" s="1823"/>
    </row>
    <row r="219" spans="1:12" ht="15.75" thickBot="1">
      <c r="A219" s="1933"/>
      <c r="B219" s="2571"/>
      <c r="C219" s="1711" t="s">
        <v>13</v>
      </c>
      <c r="D219" s="1934">
        <v>0</v>
      </c>
      <c r="E219" s="1935">
        <f>SUM(E214:E218)</f>
        <v>7555163.6117642205</v>
      </c>
      <c r="F219" s="1935">
        <f>SUM(F214:F218)</f>
        <v>3598450.19</v>
      </c>
      <c r="G219" s="1934">
        <v>0</v>
      </c>
      <c r="H219" s="1934">
        <v>0</v>
      </c>
      <c r="I219" s="1936">
        <v>0</v>
      </c>
    </row>
    <row r="221" spans="1:12">
      <c r="D221" s="1672" t="s">
        <v>604</v>
      </c>
      <c r="E221" s="1931">
        <v>3380304.03</v>
      </c>
      <c r="F221" s="1931">
        <v>935427.27</v>
      </c>
    </row>
    <row r="222" spans="1:12">
      <c r="D222" s="1672" t="s">
        <v>605</v>
      </c>
      <c r="E222" s="1931">
        <f>E219-E221</f>
        <v>4174859.5817642207</v>
      </c>
      <c r="F222" s="1931">
        <f>F219-F221</f>
        <v>2663022.92</v>
      </c>
    </row>
    <row r="223" spans="1:12">
      <c r="D223" s="1672" t="s">
        <v>606</v>
      </c>
      <c r="E223" s="1931">
        <f>E218</f>
        <v>3946170.2717642197</v>
      </c>
      <c r="F223" s="1931">
        <f>F218</f>
        <v>2528252.84</v>
      </c>
    </row>
    <row r="224" spans="1:12">
      <c r="D224" s="1672" t="s">
        <v>607</v>
      </c>
      <c r="E224" s="1931">
        <f>E222-E223</f>
        <v>228689.31000000099</v>
      </c>
      <c r="F224" s="1931">
        <f>F222-F223</f>
        <v>134770.08000000007</v>
      </c>
    </row>
    <row r="225" spans="1:6">
      <c r="E225" s="1931"/>
      <c r="F225" s="1931"/>
    </row>
    <row r="226" spans="1:6">
      <c r="E226" s="1931"/>
    </row>
    <row r="227" spans="1:6">
      <c r="A227" s="1699"/>
      <c r="E227" s="1931"/>
    </row>
    <row r="228" spans="1:6">
      <c r="E228" s="1937"/>
    </row>
    <row r="229" spans="1:6">
      <c r="E229" s="1931"/>
    </row>
    <row r="230" spans="1:6">
      <c r="E230" s="1931"/>
    </row>
    <row r="234" spans="1:6">
      <c r="E234" s="1931"/>
    </row>
    <row r="235" spans="1:6">
      <c r="D235" s="1931"/>
    </row>
    <row r="236" spans="1:6">
      <c r="D236" s="1931"/>
    </row>
    <row r="237" spans="1:6">
      <c r="D237" s="1931"/>
    </row>
    <row r="238" spans="1:6">
      <c r="D238" s="1931"/>
    </row>
    <row r="239" spans="1:6">
      <c r="D239" s="1931"/>
    </row>
    <row r="240" spans="1:6">
      <c r="D240" s="1931"/>
    </row>
    <row r="241" spans="4:4">
      <c r="D241" s="1931"/>
    </row>
    <row r="242" spans="4:4">
      <c r="D242" s="1931"/>
    </row>
    <row r="243" spans="4:4">
      <c r="D243" s="1931"/>
    </row>
    <row r="244" spans="4:4">
      <c r="D244" s="1931"/>
    </row>
    <row r="245" spans="4:4">
      <c r="D245" s="1931"/>
    </row>
    <row r="246" spans="4:4">
      <c r="D246" s="1931"/>
    </row>
  </sheetData>
  <mergeCells count="65">
    <mergeCell ref="D26:G26"/>
    <mergeCell ref="A3:E3"/>
    <mergeCell ref="F3:O3"/>
    <mergeCell ref="A4:O10"/>
    <mergeCell ref="D15:G15"/>
    <mergeCell ref="A17:B24"/>
    <mergeCell ref="A28:B35"/>
    <mergeCell ref="A40:B47"/>
    <mergeCell ref="A50:B58"/>
    <mergeCell ref="A60:A61"/>
    <mergeCell ref="C60:C61"/>
    <mergeCell ref="E60:L60"/>
    <mergeCell ref="A62:B69"/>
    <mergeCell ref="A72:B79"/>
    <mergeCell ref="A85:B92"/>
    <mergeCell ref="A96:A97"/>
    <mergeCell ref="B96:B97"/>
    <mergeCell ref="C96:C97"/>
    <mergeCell ref="D96:E96"/>
    <mergeCell ref="F96:M96"/>
    <mergeCell ref="D60:D61"/>
    <mergeCell ref="E118:L118"/>
    <mergeCell ref="A98:B105"/>
    <mergeCell ref="A107:A108"/>
    <mergeCell ref="B107:B108"/>
    <mergeCell ref="C107:C108"/>
    <mergeCell ref="D107:D108"/>
    <mergeCell ref="E107:L107"/>
    <mergeCell ref="A109:B116"/>
    <mergeCell ref="A118:A119"/>
    <mergeCell ref="B118:B119"/>
    <mergeCell ref="C118:C119"/>
    <mergeCell ref="D118:D119"/>
    <mergeCell ref="A120:B127"/>
    <mergeCell ref="A129:A130"/>
    <mergeCell ref="B129:B130"/>
    <mergeCell ref="D129:G129"/>
    <mergeCell ref="A131:B137"/>
    <mergeCell ref="J142:N142"/>
    <mergeCell ref="A144:B151"/>
    <mergeCell ref="A153:A154"/>
    <mergeCell ref="B153:B154"/>
    <mergeCell ref="C153:C154"/>
    <mergeCell ref="D153:G153"/>
    <mergeCell ref="H153:J153"/>
    <mergeCell ref="A142:A143"/>
    <mergeCell ref="B142:B143"/>
    <mergeCell ref="C142:C143"/>
    <mergeCell ref="D142:I142"/>
    <mergeCell ref="A155:B162"/>
    <mergeCell ref="A165:B172"/>
    <mergeCell ref="A176:A177"/>
    <mergeCell ref="B176:B177"/>
    <mergeCell ref="C176:C177"/>
    <mergeCell ref="A189:B196"/>
    <mergeCell ref="A202:B209"/>
    <mergeCell ref="B213:B219"/>
    <mergeCell ref="I176:O176"/>
    <mergeCell ref="A178:B185"/>
    <mergeCell ref="A187:A188"/>
    <mergeCell ref="B187:B188"/>
    <mergeCell ref="C187:C188"/>
    <mergeCell ref="D187:G187"/>
    <mergeCell ref="H187:L187"/>
    <mergeCell ref="D176:G17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Y228"/>
  <sheetViews>
    <sheetView topLeftCell="D169" workbookViewId="0">
      <selection activeCell="I185" sqref="I185:O18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506</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544" customFormat="1" ht="144.75"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114" t="s">
        <v>507</v>
      </c>
      <c r="B17" s="2115"/>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114"/>
      <c r="B18" s="2115"/>
      <c r="C18" s="39">
        <v>2015</v>
      </c>
      <c r="D18" s="40"/>
      <c r="E18" s="41"/>
      <c r="F18" s="41"/>
      <c r="G18" s="35"/>
      <c r="H18" s="42"/>
      <c r="I18" s="41"/>
      <c r="J18" s="41"/>
      <c r="K18" s="41"/>
      <c r="L18" s="41"/>
      <c r="M18" s="41"/>
      <c r="N18" s="41"/>
      <c r="O18" s="43"/>
      <c r="P18" s="38"/>
      <c r="Q18" s="38"/>
      <c r="R18" s="38"/>
      <c r="S18" s="38"/>
      <c r="T18" s="38"/>
      <c r="U18" s="38"/>
      <c r="V18" s="38"/>
      <c r="W18" s="38"/>
      <c r="X18" s="38"/>
      <c r="Y18" s="38"/>
    </row>
    <row r="19" spans="1:25">
      <c r="A19" s="2114"/>
      <c r="B19" s="2115"/>
      <c r="C19" s="39">
        <v>2016</v>
      </c>
      <c r="D19" s="40">
        <v>47</v>
      </c>
      <c r="E19" s="41">
        <v>5</v>
      </c>
      <c r="F19" s="41">
        <v>5</v>
      </c>
      <c r="G19" s="35">
        <f>SUM(D19:F19)</f>
        <v>57</v>
      </c>
      <c r="H19" s="42">
        <v>1</v>
      </c>
      <c r="I19" s="41">
        <v>8</v>
      </c>
      <c r="J19" s="41">
        <v>3</v>
      </c>
      <c r="K19" s="41">
        <v>34</v>
      </c>
      <c r="L19" s="41">
        <v>4</v>
      </c>
      <c r="M19" s="41"/>
      <c r="N19" s="41">
        <v>1</v>
      </c>
      <c r="O19" s="43">
        <v>6</v>
      </c>
      <c r="P19" s="38"/>
      <c r="Q19" s="38"/>
      <c r="R19" s="38"/>
      <c r="S19" s="38"/>
      <c r="T19" s="38"/>
      <c r="U19" s="38"/>
      <c r="V19" s="38"/>
      <c r="W19" s="38"/>
      <c r="X19" s="38"/>
      <c r="Y19" s="38"/>
    </row>
    <row r="20" spans="1:25">
      <c r="A20" s="2114"/>
      <c r="B20" s="2115"/>
      <c r="C20" s="39">
        <v>2017</v>
      </c>
      <c r="D20" s="40">
        <v>14</v>
      </c>
      <c r="E20" s="41">
        <v>1</v>
      </c>
      <c r="F20" s="41">
        <v>2</v>
      </c>
      <c r="G20" s="35">
        <f t="shared" si="0"/>
        <v>17</v>
      </c>
      <c r="H20" s="42"/>
      <c r="I20" s="41">
        <v>1</v>
      </c>
      <c r="J20" s="41">
        <v>6</v>
      </c>
      <c r="L20" s="41">
        <v>4</v>
      </c>
      <c r="M20" s="41"/>
      <c r="N20" s="41"/>
      <c r="O20" s="41">
        <v>6</v>
      </c>
      <c r="P20" s="38"/>
      <c r="Q20" s="38"/>
      <c r="R20" s="38"/>
      <c r="S20" s="38"/>
      <c r="T20" s="38"/>
      <c r="U20" s="38"/>
      <c r="V20" s="38"/>
      <c r="W20" s="38"/>
      <c r="X20" s="38"/>
      <c r="Y20" s="38"/>
    </row>
    <row r="21" spans="1:25">
      <c r="A21" s="2114"/>
      <c r="B21" s="2115"/>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114"/>
      <c r="B22" s="2115"/>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114"/>
      <c r="B23" s="2115"/>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78.5" customHeight="1" thickBot="1">
      <c r="A24" s="2116"/>
      <c r="B24" s="2117"/>
      <c r="C24" s="45" t="s">
        <v>13</v>
      </c>
      <c r="D24" s="46">
        <f>SUM(D17:D23)</f>
        <v>61</v>
      </c>
      <c r="E24" s="47">
        <f>SUM(E17:E23)</f>
        <v>6</v>
      </c>
      <c r="F24" s="47">
        <f>SUM(F17:F23)</f>
        <v>7</v>
      </c>
      <c r="G24" s="48">
        <f>SUM(D24:F24)</f>
        <v>74</v>
      </c>
      <c r="H24" s="49">
        <f>SUM(H17:H23)</f>
        <v>1</v>
      </c>
      <c r="I24" s="50">
        <f>SUM(I17:I23)</f>
        <v>9</v>
      </c>
      <c r="J24" s="50">
        <f t="shared" ref="J24:N24" si="1">SUM(J17:J23)</f>
        <v>9</v>
      </c>
      <c r="K24" s="50">
        <f t="shared" si="1"/>
        <v>34</v>
      </c>
      <c r="L24" s="50">
        <f t="shared" si="1"/>
        <v>8</v>
      </c>
      <c r="M24" s="50">
        <f t="shared" si="1"/>
        <v>0</v>
      </c>
      <c r="N24" s="50">
        <f t="shared" si="1"/>
        <v>1</v>
      </c>
      <c r="O24" s="51">
        <f>SUM(O17:O23)</f>
        <v>12</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544" customFormat="1" ht="93" customHeight="1">
      <c r="A27" s="470"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118" t="s">
        <v>608</v>
      </c>
      <c r="B28" s="2068"/>
      <c r="C28" s="58">
        <v>2014</v>
      </c>
      <c r="D28" s="36"/>
      <c r="E28" s="34"/>
      <c r="F28" s="34"/>
      <c r="G28" s="59">
        <f>SUM(D28:F28)</f>
        <v>0</v>
      </c>
      <c r="H28" s="38"/>
      <c r="I28" s="38"/>
      <c r="J28" s="38"/>
      <c r="K28" s="38"/>
      <c r="L28" s="38"/>
      <c r="M28" s="38"/>
      <c r="N28" s="38"/>
      <c r="O28" s="38"/>
      <c r="P28" s="38"/>
      <c r="Q28" s="8"/>
    </row>
    <row r="29" spans="1:25">
      <c r="A29" s="2119"/>
      <c r="B29" s="2068"/>
      <c r="C29" s="60">
        <v>2015</v>
      </c>
      <c r="D29" s="335"/>
      <c r="E29" s="1482"/>
      <c r="F29" s="1482"/>
      <c r="G29" s="336"/>
      <c r="H29" s="38"/>
      <c r="I29" s="38"/>
      <c r="J29" s="38"/>
      <c r="K29" s="38"/>
      <c r="L29" s="38"/>
      <c r="M29" s="38"/>
      <c r="N29" s="38"/>
      <c r="O29" s="38"/>
      <c r="P29" s="38"/>
      <c r="Q29" s="8"/>
    </row>
    <row r="30" spans="1:25">
      <c r="A30" s="2119"/>
      <c r="B30" s="2068"/>
      <c r="C30" s="60">
        <v>2016</v>
      </c>
      <c r="D30" s="335">
        <v>36894</v>
      </c>
      <c r="E30" s="1482">
        <v>5589</v>
      </c>
      <c r="F30" s="1482">
        <v>400127</v>
      </c>
      <c r="G30" s="336">
        <f t="shared" ref="G30:G35" si="2">SUM(D30:F30)</f>
        <v>442610</v>
      </c>
      <c r="H30" s="38"/>
      <c r="I30" s="38"/>
      <c r="J30" s="38"/>
      <c r="K30" s="38"/>
      <c r="L30" s="38"/>
      <c r="M30" s="38"/>
      <c r="N30" s="38"/>
      <c r="O30" s="38"/>
      <c r="P30" s="38"/>
      <c r="Q30" s="8"/>
    </row>
    <row r="31" spans="1:25">
      <c r="A31" s="2119"/>
      <c r="B31" s="2068"/>
      <c r="C31" s="60">
        <v>2017</v>
      </c>
      <c r="D31" s="335">
        <v>1794</v>
      </c>
      <c r="E31" s="1482">
        <v>811</v>
      </c>
      <c r="F31" s="1482">
        <v>65</v>
      </c>
      <c r="G31" s="336">
        <f t="shared" si="2"/>
        <v>2670</v>
      </c>
      <c r="H31" s="38"/>
      <c r="I31" s="38"/>
      <c r="J31" s="38"/>
      <c r="K31" s="38"/>
      <c r="L31" s="38"/>
      <c r="M31" s="38"/>
      <c r="N31" s="38"/>
      <c r="O31" s="38"/>
      <c r="P31" s="38"/>
      <c r="Q31" s="8"/>
    </row>
    <row r="32" spans="1:25">
      <c r="A32" s="2119"/>
      <c r="B32" s="2068"/>
      <c r="C32" s="60">
        <v>2018</v>
      </c>
      <c r="D32" s="335"/>
      <c r="E32" s="1482"/>
      <c r="F32" s="1482"/>
      <c r="G32" s="336">
        <f>SUM(D32:F32)</f>
        <v>0</v>
      </c>
      <c r="H32" s="38"/>
      <c r="I32" s="38"/>
      <c r="J32" s="38"/>
      <c r="K32" s="38"/>
      <c r="L32" s="38"/>
      <c r="M32" s="38"/>
      <c r="N32" s="38"/>
      <c r="O32" s="38"/>
      <c r="P32" s="38"/>
      <c r="Q32" s="8"/>
    </row>
    <row r="33" spans="1:17">
      <c r="A33" s="2119"/>
      <c r="B33" s="2068"/>
      <c r="C33" s="61">
        <v>2019</v>
      </c>
      <c r="D33" s="335"/>
      <c r="E33" s="1482"/>
      <c r="F33" s="1482"/>
      <c r="G33" s="336">
        <f t="shared" si="2"/>
        <v>0</v>
      </c>
      <c r="H33" s="38"/>
      <c r="I33" s="38"/>
      <c r="J33" s="38"/>
      <c r="K33" s="38"/>
      <c r="L33" s="38"/>
      <c r="M33" s="38"/>
      <c r="N33" s="38"/>
      <c r="O33" s="38"/>
      <c r="P33" s="38"/>
      <c r="Q33" s="8"/>
    </row>
    <row r="34" spans="1:17">
      <c r="A34" s="2119"/>
      <c r="B34" s="2068"/>
      <c r="C34" s="60">
        <v>2020</v>
      </c>
      <c r="D34" s="335"/>
      <c r="E34" s="1482"/>
      <c r="F34" s="1482"/>
      <c r="G34" s="336">
        <f t="shared" si="2"/>
        <v>0</v>
      </c>
      <c r="H34" s="38"/>
      <c r="I34" s="38"/>
      <c r="J34" s="38"/>
      <c r="K34" s="38"/>
      <c r="L34" s="38"/>
      <c r="M34" s="38"/>
      <c r="N34" s="38"/>
      <c r="O34" s="38"/>
      <c r="P34" s="38"/>
      <c r="Q34" s="8"/>
    </row>
    <row r="35" spans="1:17" ht="20.25" customHeight="1" thickBot="1">
      <c r="A35" s="2070"/>
      <c r="B35" s="2071"/>
      <c r="C35" s="62" t="s">
        <v>13</v>
      </c>
      <c r="D35" s="337">
        <f>SUM(D28:D34)</f>
        <v>38688</v>
      </c>
      <c r="E35" s="338">
        <f>SUM(E28:E34)</f>
        <v>6400</v>
      </c>
      <c r="F35" s="338">
        <f>SUM(F28:F34)</f>
        <v>400192</v>
      </c>
      <c r="G35" s="339">
        <f t="shared" si="2"/>
        <v>445280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118" t="s">
        <v>508</v>
      </c>
      <c r="B40" s="2068"/>
      <c r="C40" s="73">
        <v>2014</v>
      </c>
      <c r="D40" s="33"/>
      <c r="E40" s="32"/>
      <c r="F40" s="8"/>
      <c r="G40" s="38"/>
      <c r="H40" s="38"/>
    </row>
    <row r="41" spans="1:17">
      <c r="A41" s="2119"/>
      <c r="B41" s="2068"/>
      <c r="C41" s="74">
        <v>2015</v>
      </c>
      <c r="D41" s="434"/>
      <c r="E41" s="589"/>
      <c r="F41" s="8"/>
      <c r="G41" s="38"/>
      <c r="H41" s="38"/>
    </row>
    <row r="42" spans="1:17">
      <c r="A42" s="2119"/>
      <c r="B42" s="2068"/>
      <c r="C42" s="74">
        <v>2016</v>
      </c>
      <c r="D42" s="434">
        <v>344243</v>
      </c>
      <c r="E42" s="589">
        <v>33907</v>
      </c>
      <c r="F42" s="8"/>
      <c r="G42" s="38"/>
      <c r="H42" s="38"/>
    </row>
    <row r="43" spans="1:17">
      <c r="A43" s="2119"/>
      <c r="B43" s="2068"/>
      <c r="C43" s="74">
        <v>2017</v>
      </c>
      <c r="D43" s="434">
        <v>65652</v>
      </c>
      <c r="E43" s="589">
        <v>8126</v>
      </c>
      <c r="F43" s="8"/>
      <c r="G43" s="38"/>
      <c r="H43" s="38"/>
    </row>
    <row r="44" spans="1:17">
      <c r="A44" s="2119"/>
      <c r="B44" s="2068"/>
      <c r="C44" s="74">
        <v>2018</v>
      </c>
      <c r="D44" s="434"/>
      <c r="E44" s="589"/>
      <c r="F44" s="8"/>
      <c r="G44" s="38"/>
      <c r="H44" s="38"/>
    </row>
    <row r="45" spans="1:17">
      <c r="A45" s="2119"/>
      <c r="B45" s="2068"/>
      <c r="C45" s="74">
        <v>2019</v>
      </c>
      <c r="D45" s="434"/>
      <c r="E45" s="589"/>
      <c r="F45" s="8"/>
      <c r="G45" s="38"/>
      <c r="H45" s="38"/>
    </row>
    <row r="46" spans="1:17">
      <c r="A46" s="2119"/>
      <c r="B46" s="2068"/>
      <c r="C46" s="74">
        <v>2020</v>
      </c>
      <c r="D46" s="434"/>
      <c r="E46" s="589"/>
      <c r="F46" s="8"/>
      <c r="G46" s="38"/>
      <c r="H46" s="38"/>
    </row>
    <row r="47" spans="1:17" ht="15.75" thickBot="1">
      <c r="A47" s="2070"/>
      <c r="B47" s="2071"/>
      <c r="C47" s="45" t="s">
        <v>13</v>
      </c>
      <c r="D47" s="344">
        <f>SUM(D40:D46)</f>
        <v>409895</v>
      </c>
      <c r="E47" s="345">
        <f>SUM(E40:E46)</f>
        <v>42033</v>
      </c>
      <c r="F47" s="77"/>
      <c r="G47" s="38"/>
      <c r="H47" s="38"/>
    </row>
    <row r="48" spans="1:17" s="38" customFormat="1" ht="15.75" thickBot="1">
      <c r="A48" s="78" t="s">
        <v>509</v>
      </c>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118"/>
      <c r="B51" s="2026"/>
      <c r="C51" s="74">
        <v>2014</v>
      </c>
      <c r="D51" s="40"/>
      <c r="E51" s="41"/>
      <c r="F51" s="41"/>
      <c r="G51" s="41"/>
      <c r="H51" s="41"/>
      <c r="I51" s="41"/>
      <c r="J51" s="41"/>
      <c r="K51" s="86"/>
    </row>
    <row r="52" spans="1:15">
      <c r="A52" s="2118"/>
      <c r="B52" s="2026"/>
      <c r="C52" s="74">
        <v>2015</v>
      </c>
      <c r="D52" s="40"/>
      <c r="E52" s="41"/>
      <c r="F52" s="41"/>
      <c r="G52" s="41"/>
      <c r="H52" s="41"/>
      <c r="I52" s="41"/>
      <c r="J52" s="41"/>
      <c r="K52" s="86"/>
    </row>
    <row r="53" spans="1:15">
      <c r="A53" s="2118"/>
      <c r="B53" s="2026"/>
      <c r="C53" s="74">
        <v>2016</v>
      </c>
      <c r="D53" s="40">
        <v>1</v>
      </c>
      <c r="E53" s="41"/>
      <c r="F53" s="41"/>
      <c r="G53" s="1482">
        <v>10500</v>
      </c>
      <c r="H53" s="1482"/>
      <c r="I53" s="1482"/>
      <c r="J53" s="1482">
        <v>748</v>
      </c>
      <c r="K53" s="1545">
        <v>72408</v>
      </c>
    </row>
    <row r="54" spans="1:15">
      <c r="A54" s="2118"/>
      <c r="B54" s="2026"/>
      <c r="C54" s="74">
        <v>2017</v>
      </c>
      <c r="D54" s="40"/>
      <c r="E54" s="41"/>
      <c r="F54" s="41"/>
      <c r="G54" s="41"/>
      <c r="H54" s="41"/>
      <c r="I54" s="41"/>
      <c r="J54" s="41"/>
      <c r="K54" s="86"/>
    </row>
    <row r="55" spans="1:15">
      <c r="A55" s="2118"/>
      <c r="B55" s="2026"/>
      <c r="C55" s="74">
        <v>2018</v>
      </c>
      <c r="D55" s="40"/>
      <c r="E55" s="41"/>
      <c r="F55" s="41"/>
      <c r="G55" s="41"/>
      <c r="H55" s="41"/>
      <c r="I55" s="41"/>
      <c r="J55" s="41"/>
      <c r="K55" s="86"/>
    </row>
    <row r="56" spans="1:15">
      <c r="A56" s="2118"/>
      <c r="B56" s="2026"/>
      <c r="C56" s="74">
        <v>2019</v>
      </c>
      <c r="D56" s="40"/>
      <c r="E56" s="41"/>
      <c r="F56" s="41"/>
      <c r="G56" s="41"/>
      <c r="H56" s="41"/>
      <c r="I56" s="41"/>
      <c r="J56" s="41"/>
      <c r="K56" s="86"/>
    </row>
    <row r="57" spans="1:15">
      <c r="A57" s="2118"/>
      <c r="B57" s="2026"/>
      <c r="C57" s="74">
        <v>2020</v>
      </c>
      <c r="D57" s="40"/>
      <c r="E57" s="41"/>
      <c r="F57" s="41"/>
      <c r="G57" s="41"/>
      <c r="H57" s="41"/>
      <c r="I57" s="41"/>
      <c r="J57" s="41"/>
      <c r="K57" s="87"/>
    </row>
    <row r="58" spans="1:15" ht="20.25" customHeight="1" thickBot="1">
      <c r="A58" s="2027"/>
      <c r="B58" s="2028"/>
      <c r="C58" s="45" t="s">
        <v>13</v>
      </c>
      <c r="D58" s="46">
        <f>SUM(D51:D57)</f>
        <v>1</v>
      </c>
      <c r="E58" s="47">
        <f>SUM(E51:E57)</f>
        <v>0</v>
      </c>
      <c r="F58" s="47">
        <f>SUM(F51:F57)</f>
        <v>0</v>
      </c>
      <c r="G58" s="47">
        <f>SUM(G51:G57)</f>
        <v>10500</v>
      </c>
      <c r="H58" s="47">
        <f>SUM(H51:H57)</f>
        <v>0</v>
      </c>
      <c r="I58" s="47">
        <f t="shared" ref="I58" si="3">SUM(I51:I57)</f>
        <v>0</v>
      </c>
      <c r="J58" s="47">
        <f>SUM(J51:J57)</f>
        <v>748</v>
      </c>
      <c r="K58" s="51">
        <f>SUM(K50:K56)</f>
        <v>72408</v>
      </c>
    </row>
    <row r="59" spans="1:15" ht="15.75" thickBot="1"/>
    <row r="60" spans="1:15" ht="21" customHeight="1">
      <c r="A60" s="2029" t="s">
        <v>41</v>
      </c>
      <c r="B60" s="360"/>
      <c r="C60" s="2031" t="s">
        <v>9</v>
      </c>
      <c r="D60" s="1993" t="s">
        <v>42</v>
      </c>
      <c r="E60" s="89" t="s">
        <v>6</v>
      </c>
      <c r="F60" s="90"/>
      <c r="G60" s="90"/>
      <c r="H60" s="90"/>
      <c r="I60" s="90"/>
      <c r="J60" s="90"/>
      <c r="K60" s="90"/>
      <c r="L60" s="91"/>
    </row>
    <row r="61" spans="1:15" ht="149.2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120" t="s">
        <v>510</v>
      </c>
      <c r="B62" s="2039"/>
      <c r="C62" s="99">
        <v>2014</v>
      </c>
      <c r="D62" s="100"/>
      <c r="E62" s="101"/>
      <c r="F62" s="102"/>
      <c r="G62" s="102"/>
      <c r="H62" s="102"/>
      <c r="I62" s="102"/>
      <c r="J62" s="102"/>
      <c r="K62" s="102"/>
      <c r="L62" s="37"/>
      <c r="M62" s="8"/>
      <c r="N62" s="8"/>
      <c r="O62" s="8"/>
    </row>
    <row r="63" spans="1:15">
      <c r="A63" s="2121"/>
      <c r="B63" s="2039"/>
      <c r="C63" s="103">
        <v>2015</v>
      </c>
      <c r="D63" s="104"/>
      <c r="E63" s="105"/>
      <c r="F63" s="41"/>
      <c r="G63" s="41"/>
      <c r="H63" s="41"/>
      <c r="I63" s="41"/>
      <c r="J63" s="41"/>
      <c r="K63" s="41"/>
      <c r="L63" s="86"/>
      <c r="M63" s="8"/>
      <c r="N63" s="8"/>
      <c r="O63" s="8"/>
    </row>
    <row r="64" spans="1:15">
      <c r="A64" s="2121"/>
      <c r="B64" s="2039"/>
      <c r="C64" s="103">
        <v>2016</v>
      </c>
      <c r="D64" s="104">
        <v>8</v>
      </c>
      <c r="E64" s="105"/>
      <c r="F64" s="41">
        <v>3</v>
      </c>
      <c r="G64" s="41">
        <f>3</f>
        <v>3</v>
      </c>
      <c r="H64" s="41"/>
      <c r="I64" s="41"/>
      <c r="J64" s="41"/>
      <c r="K64" s="41">
        <v>1</v>
      </c>
      <c r="L64" s="86">
        <v>1</v>
      </c>
      <c r="M64" s="8"/>
      <c r="N64" s="8"/>
      <c r="O64" s="8"/>
    </row>
    <row r="65" spans="1:20">
      <c r="A65" s="2121"/>
      <c r="B65" s="2039"/>
      <c r="C65" s="103">
        <v>2017</v>
      </c>
      <c r="D65" s="104"/>
      <c r="E65" s="105"/>
      <c r="F65" s="41"/>
      <c r="G65" s="41"/>
      <c r="H65" s="41"/>
      <c r="I65" s="41"/>
      <c r="J65" s="41"/>
      <c r="K65" s="41"/>
      <c r="L65" s="86"/>
      <c r="M65" s="8"/>
      <c r="N65" s="8"/>
      <c r="O65" s="8"/>
    </row>
    <row r="66" spans="1:20">
      <c r="A66" s="2121"/>
      <c r="B66" s="2039"/>
      <c r="C66" s="103">
        <v>2018</v>
      </c>
      <c r="D66" s="104"/>
      <c r="E66" s="105"/>
      <c r="F66" s="41"/>
      <c r="G66" s="41"/>
      <c r="H66" s="41"/>
      <c r="I66" s="41"/>
      <c r="J66" s="41"/>
      <c r="K66" s="41"/>
      <c r="L66" s="86"/>
      <c r="M66" s="8"/>
      <c r="N66" s="8"/>
      <c r="O66" s="8"/>
    </row>
    <row r="67" spans="1:20" ht="17.25" customHeight="1">
      <c r="A67" s="2121"/>
      <c r="B67" s="2039"/>
      <c r="C67" s="103">
        <v>2019</v>
      </c>
      <c r="D67" s="104"/>
      <c r="E67" s="105"/>
      <c r="F67" s="41"/>
      <c r="G67" s="41"/>
      <c r="H67" s="41"/>
      <c r="I67" s="41"/>
      <c r="J67" s="41"/>
      <c r="K67" s="41"/>
      <c r="L67" s="86"/>
      <c r="M67" s="8"/>
      <c r="N67" s="8"/>
      <c r="O67" s="8"/>
    </row>
    <row r="68" spans="1:20" ht="16.5" customHeight="1">
      <c r="A68" s="2121"/>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8</v>
      </c>
      <c r="E69" s="108">
        <f>SUM(E62:E68)</f>
        <v>0</v>
      </c>
      <c r="F69" s="109">
        <f t="shared" ref="F69:I69" si="4">SUM(F62:F68)</f>
        <v>3</v>
      </c>
      <c r="G69" s="109">
        <f t="shared" si="4"/>
        <v>3</v>
      </c>
      <c r="H69" s="109">
        <f t="shared" si="4"/>
        <v>0</v>
      </c>
      <c r="I69" s="109">
        <f t="shared" si="4"/>
        <v>0</v>
      </c>
      <c r="J69" s="109"/>
      <c r="K69" s="109">
        <f>SUM(K62:K68)</f>
        <v>1</v>
      </c>
      <c r="L69" s="110">
        <f>SUM(L62:L68)</f>
        <v>1</v>
      </c>
      <c r="M69" s="77"/>
      <c r="N69" s="77"/>
      <c r="O69" s="77"/>
    </row>
    <row r="70" spans="1:20" ht="20.25" customHeight="1" thickBot="1">
      <c r="A70" s="111"/>
      <c r="B70" s="112"/>
      <c r="C70" s="113"/>
      <c r="D70" s="114"/>
      <c r="E70" s="114"/>
      <c r="F70" s="114"/>
      <c r="G70" s="114"/>
      <c r="H70" s="113"/>
      <c r="I70" s="115"/>
      <c r="J70" s="115"/>
      <c r="K70" s="115"/>
      <c r="L70" s="115"/>
      <c r="M70" s="115"/>
      <c r="N70" s="115"/>
      <c r="O70" s="115"/>
      <c r="P70" s="1544"/>
      <c r="Q70" s="1544"/>
      <c r="R70" s="1544"/>
      <c r="S70" s="1544"/>
      <c r="T70" s="1544"/>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511</v>
      </c>
    </row>
    <row r="72" spans="1:20" ht="15" customHeight="1">
      <c r="A72" s="2118" t="s">
        <v>512</v>
      </c>
      <c r="B72" s="2039"/>
      <c r="C72" s="73">
        <v>2014</v>
      </c>
      <c r="D72" s="124"/>
      <c r="E72" s="124"/>
      <c r="F72" s="124"/>
      <c r="G72" s="125">
        <f>SUM(D72:F72)</f>
        <v>0</v>
      </c>
      <c r="H72" s="33"/>
      <c r="I72" s="126"/>
      <c r="J72" s="102"/>
      <c r="K72" s="102"/>
      <c r="L72" s="102"/>
      <c r="M72" s="102"/>
      <c r="N72" s="102"/>
      <c r="O72" s="127"/>
    </row>
    <row r="73" spans="1:20">
      <c r="A73" s="2119"/>
      <c r="B73" s="2039"/>
      <c r="C73" s="74">
        <v>2015</v>
      </c>
      <c r="D73" s="128"/>
      <c r="E73" s="128"/>
      <c r="F73" s="128"/>
      <c r="G73" s="125"/>
      <c r="H73" s="40"/>
      <c r="I73" s="40"/>
      <c r="J73" s="41"/>
      <c r="K73" s="41"/>
      <c r="L73" s="41"/>
      <c r="M73" s="41"/>
      <c r="N73" s="41"/>
      <c r="O73" s="86"/>
    </row>
    <row r="74" spans="1:20">
      <c r="A74" s="2119"/>
      <c r="B74" s="2039"/>
      <c r="C74" s="74">
        <v>2016</v>
      </c>
      <c r="D74" s="128">
        <v>10</v>
      </c>
      <c r="E74" s="369">
        <v>4</v>
      </c>
      <c r="F74" s="128"/>
      <c r="G74" s="125">
        <f t="shared" ref="G74:G78" si="5">SUM(D74:F74)</f>
        <v>14</v>
      </c>
      <c r="H74" s="40"/>
      <c r="I74" s="40">
        <v>1</v>
      </c>
      <c r="J74" s="41"/>
      <c r="K74" s="41"/>
      <c r="L74" s="41">
        <v>1</v>
      </c>
      <c r="M74" s="41"/>
      <c r="N74" s="41"/>
      <c r="O74" s="86">
        <v>12</v>
      </c>
    </row>
    <row r="75" spans="1:20">
      <c r="A75" s="2119"/>
      <c r="B75" s="2039"/>
      <c r="C75" s="74">
        <v>2017</v>
      </c>
      <c r="D75" s="128"/>
      <c r="E75" s="128"/>
      <c r="F75" s="128"/>
      <c r="G75" s="125">
        <f t="shared" si="5"/>
        <v>0</v>
      </c>
      <c r="H75" s="40"/>
      <c r="I75" s="40"/>
      <c r="J75" s="41"/>
      <c r="K75" s="41"/>
      <c r="L75" s="41"/>
      <c r="M75" s="41"/>
      <c r="N75" s="41"/>
      <c r="O75" s="86"/>
    </row>
    <row r="76" spans="1:20">
      <c r="A76" s="2119"/>
      <c r="B76" s="2039"/>
      <c r="C76" s="74">
        <v>2018</v>
      </c>
      <c r="D76" s="128"/>
      <c r="E76" s="128"/>
      <c r="F76" s="128"/>
      <c r="G76" s="125">
        <f t="shared" si="5"/>
        <v>0</v>
      </c>
      <c r="H76" s="40"/>
      <c r="I76" s="40"/>
      <c r="J76" s="41"/>
      <c r="K76" s="41"/>
      <c r="L76" s="41"/>
      <c r="M76" s="41"/>
      <c r="N76" s="41"/>
      <c r="O76" s="86"/>
    </row>
    <row r="77" spans="1:20" ht="15.75" customHeight="1">
      <c r="A77" s="2119"/>
      <c r="B77" s="2039"/>
      <c r="C77" s="74">
        <v>2019</v>
      </c>
      <c r="D77" s="128"/>
      <c r="E77" s="128"/>
      <c r="F77" s="128"/>
      <c r="G77" s="125">
        <f t="shared" si="5"/>
        <v>0</v>
      </c>
      <c r="H77" s="40"/>
      <c r="I77" s="40"/>
      <c r="J77" s="41"/>
      <c r="K77" s="41"/>
      <c r="L77" s="41"/>
      <c r="M77" s="41"/>
      <c r="N77" s="41"/>
      <c r="O77" s="86"/>
    </row>
    <row r="78" spans="1:20" ht="17.25" customHeight="1">
      <c r="A78" s="211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10</v>
      </c>
      <c r="E79" s="107">
        <f>SUM(E72:E78)</f>
        <v>4</v>
      </c>
      <c r="F79" s="107">
        <f>SUM(F72:F78)</f>
        <v>0</v>
      </c>
      <c r="G79" s="130">
        <f>SUM(G72:G78)</f>
        <v>14</v>
      </c>
      <c r="H79" s="131">
        <v>0</v>
      </c>
      <c r="I79" s="132">
        <f t="shared" ref="I79:O79" si="6">SUM(I72:I78)</f>
        <v>1</v>
      </c>
      <c r="J79" s="109">
        <f t="shared" si="6"/>
        <v>0</v>
      </c>
      <c r="K79" s="109">
        <f t="shared" si="6"/>
        <v>0</v>
      </c>
      <c r="L79" s="109">
        <f t="shared" si="6"/>
        <v>1</v>
      </c>
      <c r="M79" s="109">
        <f t="shared" si="6"/>
        <v>0</v>
      </c>
      <c r="N79" s="109">
        <f t="shared" si="6"/>
        <v>0</v>
      </c>
      <c r="O79" s="110">
        <f t="shared" si="6"/>
        <v>12</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544" customFormat="1" ht="150"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123"/>
      <c r="B85" s="2039"/>
      <c r="C85" s="73">
        <v>2014</v>
      </c>
      <c r="D85" s="147"/>
      <c r="E85" s="148"/>
      <c r="F85" s="34"/>
      <c r="G85" s="34"/>
      <c r="H85" s="34"/>
      <c r="I85" s="34"/>
      <c r="J85" s="34"/>
      <c r="K85" s="37"/>
    </row>
    <row r="86" spans="1:16">
      <c r="A86" s="2124"/>
      <c r="B86" s="2039"/>
      <c r="C86" s="74">
        <v>2015</v>
      </c>
      <c r="D86" s="149"/>
      <c r="E86" s="105"/>
      <c r="F86" s="41"/>
      <c r="G86" s="41"/>
      <c r="H86" s="41"/>
      <c r="I86" s="41"/>
      <c r="J86" s="41"/>
      <c r="K86" s="86"/>
    </row>
    <row r="87" spans="1:16">
      <c r="A87" s="2124"/>
      <c r="B87" s="2039"/>
      <c r="C87" s="74">
        <v>2016</v>
      </c>
      <c r="D87" s="149">
        <v>2</v>
      </c>
      <c r="E87" s="105"/>
      <c r="F87" s="41">
        <v>1</v>
      </c>
      <c r="H87" s="41">
        <v>1</v>
      </c>
      <c r="I87" s="41"/>
      <c r="J87" s="41"/>
      <c r="K87" s="86"/>
    </row>
    <row r="88" spans="1:16">
      <c r="A88" s="2124"/>
      <c r="B88" s="2039"/>
      <c r="C88" s="74">
        <v>2017</v>
      </c>
      <c r="D88" s="149"/>
      <c r="E88" s="105"/>
      <c r="F88" s="41"/>
      <c r="G88" s="41"/>
      <c r="H88" s="41"/>
      <c r="I88" s="41"/>
      <c r="J88" s="41"/>
      <c r="K88" s="86"/>
    </row>
    <row r="89" spans="1:16">
      <c r="A89" s="2124"/>
      <c r="B89" s="2039"/>
      <c r="C89" s="74">
        <v>2018</v>
      </c>
      <c r="D89" s="149"/>
      <c r="E89" s="105"/>
      <c r="F89" s="41"/>
      <c r="G89" s="41"/>
      <c r="H89" s="41"/>
      <c r="I89" s="41"/>
      <c r="J89" s="41"/>
      <c r="K89" s="86"/>
    </row>
    <row r="90" spans="1:16">
      <c r="A90" s="2124"/>
      <c r="B90" s="2039"/>
      <c r="C90" s="74">
        <v>2019</v>
      </c>
      <c r="D90" s="149"/>
      <c r="E90" s="105"/>
      <c r="F90" s="41"/>
      <c r="G90" s="41"/>
      <c r="H90" s="41"/>
      <c r="I90" s="41"/>
      <c r="J90" s="41"/>
      <c r="K90" s="86"/>
    </row>
    <row r="91" spans="1:16">
      <c r="A91" s="2124"/>
      <c r="B91" s="2039"/>
      <c r="C91" s="74">
        <v>2020</v>
      </c>
      <c r="D91" s="149"/>
      <c r="E91" s="105"/>
      <c r="F91" s="41"/>
      <c r="G91" s="41"/>
      <c r="H91" s="41"/>
      <c r="I91" s="41"/>
      <c r="J91" s="41"/>
      <c r="K91" s="86"/>
    </row>
    <row r="92" spans="1:16" ht="18" customHeight="1" thickBot="1">
      <c r="A92" s="2041"/>
      <c r="B92" s="2042"/>
      <c r="C92" s="129" t="s">
        <v>13</v>
      </c>
      <c r="D92" s="150">
        <f t="shared" ref="D92:I92" si="7">SUM(D85:D91)</f>
        <v>2</v>
      </c>
      <c r="E92" s="108">
        <f t="shared" si="7"/>
        <v>0</v>
      </c>
      <c r="F92" s="109">
        <f t="shared" si="7"/>
        <v>1</v>
      </c>
      <c r="G92" s="109">
        <f t="shared" si="7"/>
        <v>0</v>
      </c>
      <c r="H92" s="109">
        <f t="shared" si="7"/>
        <v>1</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120" t="s">
        <v>513</v>
      </c>
      <c r="B98" s="2039"/>
      <c r="C98" s="99">
        <v>2014</v>
      </c>
      <c r="D98" s="33"/>
      <c r="E98" s="34"/>
      <c r="F98" s="167"/>
      <c r="G98" s="168"/>
      <c r="H98" s="168"/>
      <c r="I98" s="168"/>
      <c r="J98" s="168"/>
      <c r="K98" s="168"/>
      <c r="L98" s="168"/>
      <c r="M98" s="169"/>
      <c r="N98" s="158"/>
      <c r="O98" s="158"/>
      <c r="P98" s="158"/>
    </row>
    <row r="99" spans="1:16" ht="16.5" customHeight="1">
      <c r="A99" s="2121"/>
      <c r="B99" s="2039"/>
      <c r="C99" s="103">
        <v>2015</v>
      </c>
      <c r="D99" s="40"/>
      <c r="E99" s="41"/>
      <c r="F99" s="170"/>
      <c r="G99" s="171"/>
      <c r="H99" s="171"/>
      <c r="I99" s="171"/>
      <c r="J99" s="171"/>
      <c r="K99" s="171"/>
      <c r="L99" s="171"/>
      <c r="M99" s="172"/>
      <c r="N99" s="158"/>
      <c r="O99" s="158"/>
      <c r="P99" s="158"/>
    </row>
    <row r="100" spans="1:16" ht="16.5" customHeight="1">
      <c r="A100" s="2121"/>
      <c r="B100" s="2039"/>
      <c r="C100" s="103">
        <v>2016</v>
      </c>
      <c r="D100" s="40">
        <v>1</v>
      </c>
      <c r="E100" s="41">
        <v>7</v>
      </c>
      <c r="F100" s="170"/>
      <c r="G100" s="171"/>
      <c r="H100" s="171"/>
      <c r="I100" s="171"/>
      <c r="J100" s="171"/>
      <c r="K100" s="171"/>
      <c r="L100" s="171"/>
      <c r="M100" s="172">
        <v>1</v>
      </c>
      <c r="N100" s="158"/>
      <c r="O100" s="158"/>
      <c r="P100" s="158"/>
    </row>
    <row r="101" spans="1:16" ht="16.5" customHeight="1">
      <c r="A101" s="2121"/>
      <c r="B101" s="2039"/>
      <c r="C101" s="103">
        <v>2017</v>
      </c>
      <c r="D101" s="40">
        <v>1</v>
      </c>
      <c r="E101" s="41">
        <v>3</v>
      </c>
      <c r="F101" s="170"/>
      <c r="G101" s="171"/>
      <c r="H101" s="171"/>
      <c r="I101" s="171"/>
      <c r="J101" s="171"/>
      <c r="K101" s="171"/>
      <c r="L101" s="171"/>
      <c r="M101" s="172">
        <v>1</v>
      </c>
      <c r="N101" s="158"/>
      <c r="O101" s="158"/>
      <c r="P101" s="158"/>
    </row>
    <row r="102" spans="1:16" ht="15.75" customHeight="1">
      <c r="A102" s="2121"/>
      <c r="B102" s="2039"/>
      <c r="C102" s="103">
        <v>2018</v>
      </c>
      <c r="D102" s="40"/>
      <c r="E102" s="41"/>
      <c r="F102" s="170"/>
      <c r="G102" s="171"/>
      <c r="H102" s="171"/>
      <c r="I102" s="171"/>
      <c r="J102" s="171"/>
      <c r="K102" s="171"/>
      <c r="L102" s="171"/>
      <c r="M102" s="172"/>
      <c r="N102" s="158"/>
      <c r="O102" s="158"/>
      <c r="P102" s="158"/>
    </row>
    <row r="103" spans="1:16" ht="14.25" customHeight="1">
      <c r="A103" s="2121"/>
      <c r="B103" s="2039"/>
      <c r="C103" s="103">
        <v>2019</v>
      </c>
      <c r="D103" s="40"/>
      <c r="E103" s="41"/>
      <c r="F103" s="170"/>
      <c r="G103" s="171"/>
      <c r="H103" s="171"/>
      <c r="I103" s="171"/>
      <c r="J103" s="171"/>
      <c r="K103" s="171"/>
      <c r="L103" s="171"/>
      <c r="M103" s="172"/>
      <c r="N103" s="158"/>
      <c r="O103" s="158"/>
      <c r="P103" s="158"/>
    </row>
    <row r="104" spans="1:16" ht="14.25" customHeight="1">
      <c r="A104" s="2121"/>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10</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120"/>
      <c r="B109" s="2039"/>
      <c r="C109" s="99">
        <v>2014</v>
      </c>
      <c r="D109" s="34"/>
      <c r="E109" s="167"/>
      <c r="F109" s="168"/>
      <c r="G109" s="168"/>
      <c r="H109" s="168"/>
      <c r="I109" s="168"/>
      <c r="J109" s="168"/>
      <c r="K109" s="168"/>
      <c r="L109" s="169"/>
      <c r="M109" s="178"/>
      <c r="N109" s="178"/>
    </row>
    <row r="110" spans="1:16">
      <c r="A110" s="2121"/>
      <c r="B110" s="2039"/>
      <c r="C110" s="103">
        <v>2015</v>
      </c>
      <c r="D110" s="41"/>
      <c r="E110" s="170"/>
      <c r="F110" s="171"/>
      <c r="G110" s="171"/>
      <c r="H110" s="171"/>
      <c r="I110" s="171"/>
      <c r="J110" s="171"/>
      <c r="K110" s="171"/>
      <c r="L110" s="172"/>
      <c r="M110" s="178"/>
      <c r="N110" s="178"/>
    </row>
    <row r="111" spans="1:16">
      <c r="A111" s="2121"/>
      <c r="B111" s="2039"/>
      <c r="C111" s="103">
        <v>2016</v>
      </c>
      <c r="D111" s="41"/>
      <c r="E111" s="170"/>
      <c r="F111" s="171"/>
      <c r="G111" s="171"/>
      <c r="H111" s="171"/>
      <c r="I111" s="171"/>
      <c r="J111" s="171"/>
      <c r="K111" s="171"/>
      <c r="L111" s="172"/>
      <c r="M111" s="178"/>
      <c r="N111" s="178"/>
    </row>
    <row r="112" spans="1:16">
      <c r="A112" s="2121"/>
      <c r="B112" s="2039"/>
      <c r="C112" s="103">
        <v>2017</v>
      </c>
      <c r="D112" s="41"/>
      <c r="E112" s="170"/>
      <c r="F112" s="171"/>
      <c r="G112" s="171"/>
      <c r="H112" s="171"/>
      <c r="I112" s="171"/>
      <c r="J112" s="171"/>
      <c r="K112" s="171"/>
      <c r="L112" s="172"/>
      <c r="M112" s="178"/>
      <c r="N112" s="178"/>
    </row>
    <row r="113" spans="1:14">
      <c r="A113" s="2121"/>
      <c r="B113" s="2039"/>
      <c r="C113" s="103">
        <v>2018</v>
      </c>
      <c r="D113" s="41"/>
      <c r="E113" s="170"/>
      <c r="F113" s="171"/>
      <c r="G113" s="171"/>
      <c r="H113" s="171"/>
      <c r="I113" s="171"/>
      <c r="J113" s="171"/>
      <c r="K113" s="171"/>
      <c r="L113" s="172"/>
      <c r="M113" s="178"/>
      <c r="N113" s="178"/>
    </row>
    <row r="114" spans="1:14">
      <c r="A114" s="2121"/>
      <c r="B114" s="2039"/>
      <c r="C114" s="103">
        <v>2019</v>
      </c>
      <c r="D114" s="41"/>
      <c r="E114" s="170"/>
      <c r="F114" s="171"/>
      <c r="G114" s="171"/>
      <c r="H114" s="171"/>
      <c r="I114" s="171"/>
      <c r="J114" s="171"/>
      <c r="K114" s="171"/>
      <c r="L114" s="172"/>
      <c r="M114" s="178"/>
      <c r="N114" s="178"/>
    </row>
    <row r="115" spans="1:14">
      <c r="A115" s="2121"/>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120"/>
      <c r="B120" s="2039"/>
      <c r="C120" s="99">
        <v>2014</v>
      </c>
      <c r="D120" s="34"/>
      <c r="E120" s="167"/>
      <c r="F120" s="168"/>
      <c r="G120" s="168"/>
      <c r="H120" s="168"/>
      <c r="I120" s="168"/>
      <c r="J120" s="168"/>
      <c r="K120" s="168"/>
      <c r="L120" s="169"/>
      <c r="M120" s="178"/>
      <c r="N120" s="178"/>
    </row>
    <row r="121" spans="1:14">
      <c r="A121" s="2121"/>
      <c r="B121" s="2039"/>
      <c r="C121" s="103">
        <v>2015</v>
      </c>
      <c r="D121" s="41"/>
      <c r="E121" s="170"/>
      <c r="F121" s="171"/>
      <c r="G121" s="171"/>
      <c r="H121" s="171"/>
      <c r="I121" s="171"/>
      <c r="J121" s="171"/>
      <c r="K121" s="171"/>
      <c r="L121" s="172"/>
      <c r="M121" s="178"/>
      <c r="N121" s="178"/>
    </row>
    <row r="122" spans="1:14">
      <c r="A122" s="2121"/>
      <c r="B122" s="2039"/>
      <c r="C122" s="103">
        <v>2016</v>
      </c>
      <c r="D122" s="41"/>
      <c r="E122" s="170"/>
      <c r="F122" s="171"/>
      <c r="G122" s="171"/>
      <c r="H122" s="171"/>
      <c r="I122" s="171"/>
      <c r="J122" s="171"/>
      <c r="K122" s="171"/>
      <c r="L122" s="172"/>
      <c r="M122" s="178"/>
      <c r="N122" s="178"/>
    </row>
    <row r="123" spans="1:14">
      <c r="A123" s="2121"/>
      <c r="B123" s="2039"/>
      <c r="C123" s="103">
        <v>2017</v>
      </c>
      <c r="D123" s="41"/>
      <c r="E123" s="170"/>
      <c r="F123" s="171"/>
      <c r="G123" s="171"/>
      <c r="H123" s="171"/>
      <c r="I123" s="171"/>
      <c r="J123" s="171"/>
      <c r="K123" s="171"/>
      <c r="L123" s="172"/>
      <c r="M123" s="178"/>
      <c r="N123" s="178"/>
    </row>
    <row r="124" spans="1:14">
      <c r="A124" s="2121"/>
      <c r="B124" s="2039"/>
      <c r="C124" s="103">
        <v>2018</v>
      </c>
      <c r="D124" s="41"/>
      <c r="E124" s="170"/>
      <c r="F124" s="171"/>
      <c r="G124" s="171"/>
      <c r="H124" s="171"/>
      <c r="I124" s="171"/>
      <c r="J124" s="171"/>
      <c r="K124" s="171"/>
      <c r="L124" s="172"/>
      <c r="M124" s="178"/>
      <c r="N124" s="178"/>
    </row>
    <row r="125" spans="1:14">
      <c r="A125" s="2121"/>
      <c r="B125" s="2039"/>
      <c r="C125" s="103">
        <v>2019</v>
      </c>
      <c r="D125" s="41"/>
      <c r="E125" s="170"/>
      <c r="F125" s="171"/>
      <c r="G125" s="171"/>
      <c r="H125" s="171"/>
      <c r="I125" s="171"/>
      <c r="J125" s="171"/>
      <c r="K125" s="171"/>
      <c r="L125" s="172"/>
      <c r="M125" s="178"/>
      <c r="N125" s="178"/>
    </row>
    <row r="126" spans="1:14">
      <c r="A126" s="2121"/>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542" t="s">
        <v>9</v>
      </c>
      <c r="D129" s="182" t="s">
        <v>76</v>
      </c>
      <c r="E129" s="183"/>
      <c r="F129" s="183"/>
      <c r="G129" s="184"/>
      <c r="H129" s="178"/>
      <c r="I129" s="178"/>
      <c r="J129" s="178"/>
      <c r="K129" s="178"/>
      <c r="L129" s="178"/>
      <c r="M129" s="178"/>
      <c r="N129" s="178"/>
    </row>
    <row r="130" spans="1:16" ht="77.25" customHeight="1">
      <c r="A130" s="2044"/>
      <c r="B130" s="2046"/>
      <c r="C130" s="1543"/>
      <c r="D130" s="159" t="s">
        <v>77</v>
      </c>
      <c r="E130" s="186" t="s">
        <v>78</v>
      </c>
      <c r="F130" s="160" t="s">
        <v>79</v>
      </c>
      <c r="G130" s="187" t="s">
        <v>13</v>
      </c>
      <c r="H130" s="178"/>
      <c r="I130" s="178"/>
      <c r="J130" s="178"/>
      <c r="K130" s="178"/>
      <c r="L130" s="178"/>
      <c r="M130" s="178"/>
      <c r="N130" s="178"/>
    </row>
    <row r="131" spans="1:16" ht="15" customHeight="1">
      <c r="A131" s="2118"/>
      <c r="B131" s="2068"/>
      <c r="C131" s="99">
        <v>2015</v>
      </c>
      <c r="D131" s="33"/>
      <c r="E131" s="34"/>
      <c r="F131" s="34"/>
      <c r="G131" s="191"/>
      <c r="H131" s="178"/>
      <c r="I131" s="178"/>
      <c r="J131" s="178"/>
      <c r="K131" s="178"/>
      <c r="L131" s="178"/>
      <c r="M131" s="178"/>
      <c r="N131" s="178"/>
    </row>
    <row r="132" spans="1:16">
      <c r="A132" s="2119"/>
      <c r="B132" s="2068"/>
      <c r="C132" s="103">
        <v>2016</v>
      </c>
      <c r="D132" s="40">
        <f>18*7</f>
        <v>126</v>
      </c>
      <c r="E132" s="41"/>
      <c r="F132" s="41"/>
      <c r="G132" s="191">
        <f>D132</f>
        <v>126</v>
      </c>
      <c r="H132" s="178"/>
      <c r="I132" s="178"/>
      <c r="J132" s="178"/>
      <c r="K132" s="178"/>
      <c r="L132" s="178"/>
      <c r="M132" s="178"/>
      <c r="N132" s="178"/>
    </row>
    <row r="133" spans="1:16">
      <c r="A133" s="2119"/>
      <c r="B133" s="2068"/>
      <c r="C133" s="103">
        <v>2017</v>
      </c>
      <c r="D133" s="40">
        <v>51</v>
      </c>
      <c r="E133" s="41"/>
      <c r="F133" s="41"/>
      <c r="G133" s="191">
        <f t="shared" ref="G133:G136" si="11">SUM(D133:F133)</f>
        <v>51</v>
      </c>
      <c r="H133" s="178"/>
      <c r="I133" s="178"/>
      <c r="J133" s="178"/>
      <c r="K133" s="178"/>
      <c r="L133" s="178"/>
      <c r="M133" s="178"/>
      <c r="N133" s="178"/>
    </row>
    <row r="134" spans="1:16">
      <c r="A134" s="2119"/>
      <c r="B134" s="2068"/>
      <c r="C134" s="103">
        <v>2018</v>
      </c>
      <c r="D134" s="40"/>
      <c r="E134" s="41"/>
      <c r="F134" s="41"/>
      <c r="G134" s="191">
        <f t="shared" si="11"/>
        <v>0</v>
      </c>
      <c r="H134" s="178"/>
      <c r="I134" s="178"/>
      <c r="J134" s="178"/>
      <c r="K134" s="178"/>
      <c r="L134" s="178"/>
      <c r="M134" s="178"/>
      <c r="N134" s="178"/>
    </row>
    <row r="135" spans="1:16">
      <c r="A135" s="2119"/>
      <c r="B135" s="2068"/>
      <c r="C135" s="103">
        <v>2019</v>
      </c>
      <c r="D135" s="40"/>
      <c r="E135" s="41"/>
      <c r="F135" s="41"/>
      <c r="G135" s="191">
        <f t="shared" si="11"/>
        <v>0</v>
      </c>
      <c r="H135" s="178"/>
      <c r="I135" s="178"/>
      <c r="J135" s="178"/>
      <c r="K135" s="178"/>
      <c r="L135" s="178"/>
      <c r="M135" s="178"/>
      <c r="N135" s="178"/>
    </row>
    <row r="136" spans="1:16">
      <c r="A136" s="211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177</v>
      </c>
      <c r="E137" s="132">
        <f t="shared" ref="E137:F137" si="12">SUM(E131:E136)</f>
        <v>0</v>
      </c>
      <c r="F137" s="132">
        <f t="shared" si="12"/>
        <v>0</v>
      </c>
      <c r="G137" s="192">
        <f>SUM(G131:G136)</f>
        <v>177</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120"/>
      <c r="B144" s="2039"/>
      <c r="C144" s="99">
        <v>2014</v>
      </c>
      <c r="D144" s="33"/>
      <c r="E144" s="33"/>
      <c r="F144" s="34"/>
      <c r="G144" s="168"/>
      <c r="H144" s="168"/>
      <c r="I144" s="210">
        <f>D144+F144+G144+H144</f>
        <v>0</v>
      </c>
      <c r="J144" s="211"/>
      <c r="K144" s="212"/>
      <c r="L144" s="211"/>
      <c r="M144" s="212"/>
      <c r="N144" s="213"/>
      <c r="O144" s="158"/>
      <c r="P144" s="158"/>
    </row>
    <row r="145" spans="1:16" ht="19.5" customHeight="1">
      <c r="A145" s="2121"/>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121"/>
      <c r="B146" s="2039"/>
      <c r="C146" s="103">
        <v>2016</v>
      </c>
      <c r="D146" s="40"/>
      <c r="E146" s="40"/>
      <c r="F146" s="41"/>
      <c r="G146" s="171"/>
      <c r="H146" s="171"/>
      <c r="I146" s="210">
        <f t="shared" si="13"/>
        <v>0</v>
      </c>
      <c r="J146" s="214"/>
      <c r="K146" s="215"/>
      <c r="L146" s="214"/>
      <c r="M146" s="215"/>
      <c r="N146" s="216"/>
      <c r="O146" s="158"/>
      <c r="P146" s="158"/>
    </row>
    <row r="147" spans="1:16" ht="17.25" customHeight="1">
      <c r="A147" s="2121"/>
      <c r="B147" s="2039"/>
      <c r="C147" s="103">
        <v>2017</v>
      </c>
      <c r="D147" s="40"/>
      <c r="E147" s="40"/>
      <c r="F147" s="41"/>
      <c r="G147" s="171"/>
      <c r="H147" s="171"/>
      <c r="I147" s="210">
        <f t="shared" si="13"/>
        <v>0</v>
      </c>
      <c r="J147" s="214"/>
      <c r="K147" s="215"/>
      <c r="L147" s="214"/>
      <c r="M147" s="215"/>
      <c r="N147" s="216"/>
      <c r="O147" s="158"/>
      <c r="P147" s="158"/>
    </row>
    <row r="148" spans="1:16" ht="19.5" customHeight="1">
      <c r="A148" s="2121"/>
      <c r="B148" s="2039"/>
      <c r="C148" s="103">
        <v>2018</v>
      </c>
      <c r="D148" s="40"/>
      <c r="E148" s="40"/>
      <c r="F148" s="41"/>
      <c r="G148" s="171"/>
      <c r="H148" s="171"/>
      <c r="I148" s="210">
        <f t="shared" si="13"/>
        <v>0</v>
      </c>
      <c r="J148" s="214"/>
      <c r="K148" s="215"/>
      <c r="L148" s="214"/>
      <c r="M148" s="215"/>
      <c r="N148" s="216"/>
      <c r="O148" s="158"/>
      <c r="P148" s="158"/>
    </row>
    <row r="149" spans="1:16" ht="19.5" customHeight="1">
      <c r="A149" s="2121"/>
      <c r="B149" s="2039"/>
      <c r="C149" s="103">
        <v>2019</v>
      </c>
      <c r="D149" s="40"/>
      <c r="E149" s="40"/>
      <c r="F149" s="41"/>
      <c r="G149" s="171"/>
      <c r="H149" s="171"/>
      <c r="I149" s="210">
        <f t="shared" si="13"/>
        <v>0</v>
      </c>
      <c r="J149" s="214"/>
      <c r="K149" s="215"/>
      <c r="L149" s="214"/>
      <c r="M149" s="215"/>
      <c r="N149" s="216"/>
      <c r="O149" s="158"/>
      <c r="P149" s="158"/>
    </row>
    <row r="150" spans="1:16" ht="18.75" customHeight="1">
      <c r="A150" s="2121"/>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1544"/>
      <c r="L153" s="1544"/>
      <c r="M153" s="1544"/>
      <c r="N153" s="1544"/>
      <c r="O153" s="158"/>
      <c r="P153" s="158"/>
    </row>
    <row r="154" spans="1:16" ht="49.5" customHeight="1">
      <c r="A154" s="2125"/>
      <c r="B154" s="2075"/>
      <c r="C154" s="2082"/>
      <c r="D154" s="225" t="s">
        <v>97</v>
      </c>
      <c r="E154" s="226" t="s">
        <v>98</v>
      </c>
      <c r="F154" s="227" t="s">
        <v>99</v>
      </c>
      <c r="G154" s="228" t="s">
        <v>100</v>
      </c>
      <c r="H154" s="225" t="s">
        <v>101</v>
      </c>
      <c r="I154" s="226" t="s">
        <v>102</v>
      </c>
      <c r="J154" s="229" t="s">
        <v>93</v>
      </c>
      <c r="K154" s="1544"/>
      <c r="L154" s="1544"/>
      <c r="M154" s="1544"/>
      <c r="N154" s="1544"/>
      <c r="O154" s="158"/>
      <c r="P154" s="158"/>
    </row>
    <row r="155" spans="1:16" ht="18.75" customHeight="1">
      <c r="A155" s="2120"/>
      <c r="B155" s="2039"/>
      <c r="C155" s="230">
        <v>2014</v>
      </c>
      <c r="D155" s="211"/>
      <c r="E155" s="168"/>
      <c r="F155" s="212"/>
      <c r="G155" s="210">
        <f>SUM(D155:F155)</f>
        <v>0</v>
      </c>
      <c r="H155" s="211"/>
      <c r="I155" s="168"/>
      <c r="J155" s="169"/>
      <c r="O155" s="158"/>
      <c r="P155" s="158"/>
    </row>
    <row r="156" spans="1:16" ht="19.5" customHeight="1">
      <c r="A156" s="2121"/>
      <c r="B156" s="2039"/>
      <c r="C156" s="231">
        <v>2015</v>
      </c>
      <c r="D156" s="214"/>
      <c r="E156" s="171"/>
      <c r="F156" s="215"/>
      <c r="G156" s="210">
        <f t="shared" ref="G156:G161" si="15">SUM(D156:F156)</f>
        <v>0</v>
      </c>
      <c r="H156" s="214"/>
      <c r="I156" s="171"/>
      <c r="J156" s="172"/>
      <c r="O156" s="158"/>
      <c r="P156" s="158"/>
    </row>
    <row r="157" spans="1:16" ht="17.25" customHeight="1">
      <c r="A157" s="2121"/>
      <c r="B157" s="2039"/>
      <c r="C157" s="231">
        <v>2016</v>
      </c>
      <c r="D157" s="214"/>
      <c r="E157" s="171"/>
      <c r="F157" s="215"/>
      <c r="G157" s="210">
        <f t="shared" si="15"/>
        <v>0</v>
      </c>
      <c r="H157" s="214"/>
      <c r="I157" s="171"/>
      <c r="J157" s="172"/>
      <c r="O157" s="158"/>
      <c r="P157" s="158"/>
    </row>
    <row r="158" spans="1:16" ht="15" customHeight="1">
      <c r="A158" s="2121"/>
      <c r="B158" s="2039"/>
      <c r="C158" s="231">
        <v>2017</v>
      </c>
      <c r="D158" s="214"/>
      <c r="E158" s="171"/>
      <c r="F158" s="215"/>
      <c r="G158" s="210">
        <f t="shared" si="15"/>
        <v>0</v>
      </c>
      <c r="H158" s="214"/>
      <c r="I158" s="171"/>
      <c r="J158" s="172"/>
      <c r="O158" s="158"/>
      <c r="P158" s="158"/>
    </row>
    <row r="159" spans="1:16" ht="19.5" customHeight="1">
      <c r="A159" s="2121"/>
      <c r="B159" s="2039"/>
      <c r="C159" s="231">
        <v>2018</v>
      </c>
      <c r="D159" s="214"/>
      <c r="E159" s="171"/>
      <c r="F159" s="215"/>
      <c r="G159" s="210">
        <f t="shared" si="15"/>
        <v>0</v>
      </c>
      <c r="H159" s="214"/>
      <c r="I159" s="171"/>
      <c r="J159" s="172"/>
      <c r="O159" s="158"/>
      <c r="P159" s="158"/>
    </row>
    <row r="160" spans="1:16" ht="15" customHeight="1">
      <c r="A160" s="2121"/>
      <c r="B160" s="2039"/>
      <c r="C160" s="231">
        <v>2019</v>
      </c>
      <c r="D160" s="214"/>
      <c r="E160" s="171"/>
      <c r="F160" s="215"/>
      <c r="G160" s="210">
        <f t="shared" si="15"/>
        <v>0</v>
      </c>
      <c r="H160" s="214"/>
      <c r="I160" s="171"/>
      <c r="J160" s="172"/>
      <c r="O160" s="158"/>
      <c r="P160" s="158"/>
    </row>
    <row r="161" spans="1:18" ht="17.25" customHeight="1">
      <c r="A161" s="2121"/>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473"/>
    </row>
    <row r="165" spans="1:18" ht="15.75" customHeight="1">
      <c r="A165" s="2094"/>
      <c r="B165" s="2024"/>
      <c r="C165" s="248">
        <v>2014</v>
      </c>
      <c r="D165" s="168"/>
      <c r="E165" s="168"/>
      <c r="F165" s="168"/>
      <c r="G165" s="168"/>
      <c r="H165" s="168"/>
      <c r="I165" s="169"/>
      <c r="J165" s="476">
        <f>SUM(D165,F165,H165)</f>
        <v>0</v>
      </c>
      <c r="K165" s="250">
        <f>SUM(E165,G165,I165)</f>
        <v>0</v>
      </c>
      <c r="L165" s="473"/>
    </row>
    <row r="166" spans="1:18">
      <c r="A166" s="2095"/>
      <c r="B166" s="2026"/>
      <c r="C166" s="251">
        <v>2015</v>
      </c>
      <c r="D166" s="252"/>
      <c r="E166" s="252"/>
      <c r="F166" s="252"/>
      <c r="G166" s="252"/>
      <c r="H166" s="252"/>
      <c r="I166" s="253"/>
      <c r="J166" s="477">
        <f t="shared" ref="J166:K171" si="17">SUM(D166,F166,H166)</f>
        <v>0</v>
      </c>
      <c r="K166" s="255">
        <f t="shared" si="17"/>
        <v>0</v>
      </c>
      <c r="L166" s="473"/>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473"/>
    </row>
    <row r="170" spans="1:18">
      <c r="A170" s="2095"/>
      <c r="B170" s="2026"/>
      <c r="C170" s="251">
        <v>2019</v>
      </c>
      <c r="D170" s="158"/>
      <c r="E170" s="252"/>
      <c r="F170" s="252"/>
      <c r="G170" s="252"/>
      <c r="H170" s="257"/>
      <c r="I170" s="253"/>
      <c r="J170" s="477">
        <f t="shared" si="17"/>
        <v>0</v>
      </c>
      <c r="K170" s="255">
        <f t="shared" si="17"/>
        <v>0</v>
      </c>
      <c r="L170" s="473"/>
    </row>
    <row r="171" spans="1:18">
      <c r="A171" s="2095"/>
      <c r="B171" s="2026"/>
      <c r="C171" s="256">
        <v>2020</v>
      </c>
      <c r="D171" s="252"/>
      <c r="E171" s="252"/>
      <c r="F171" s="252"/>
      <c r="G171" s="252"/>
      <c r="H171" s="252"/>
      <c r="I171" s="253"/>
      <c r="J171" s="477">
        <f t="shared" si="17"/>
        <v>0</v>
      </c>
      <c r="K171" s="255">
        <f t="shared" si="17"/>
        <v>0</v>
      </c>
      <c r="L171" s="473"/>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473"/>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544"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544" customFormat="1" ht="144.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121" t="s">
        <v>514</v>
      </c>
      <c r="B178" s="2039"/>
      <c r="C178" s="99">
        <v>2014</v>
      </c>
      <c r="D178" s="33"/>
      <c r="E178" s="34"/>
      <c r="F178" s="34"/>
      <c r="G178" s="278">
        <f>SUM(D178:F178)</f>
        <v>0</v>
      </c>
      <c r="H178" s="148"/>
      <c r="I178" s="148"/>
      <c r="J178" s="34"/>
      <c r="K178" s="34"/>
      <c r="L178" s="34"/>
      <c r="M178" s="34"/>
      <c r="N178" s="34"/>
      <c r="O178" s="37"/>
    </row>
    <row r="179" spans="1:15">
      <c r="A179" s="2121"/>
      <c r="B179" s="2039"/>
      <c r="C179" s="103">
        <v>2015</v>
      </c>
      <c r="D179" s="40"/>
      <c r="E179" s="41"/>
      <c r="F179" s="41"/>
      <c r="G179" s="278"/>
      <c r="H179" s="279"/>
      <c r="I179" s="105"/>
      <c r="J179" s="41"/>
      <c r="K179" s="41"/>
      <c r="L179" s="41"/>
      <c r="M179" s="41"/>
      <c r="N179" s="41"/>
      <c r="O179" s="86"/>
    </row>
    <row r="180" spans="1:15">
      <c r="A180" s="2121"/>
      <c r="B180" s="2039"/>
      <c r="C180" s="103">
        <v>2016</v>
      </c>
      <c r="D180" s="40">
        <v>77</v>
      </c>
      <c r="E180" s="41">
        <v>4</v>
      </c>
      <c r="F180" s="41">
        <v>1</v>
      </c>
      <c r="G180" s="278">
        <f>SUM(D180:F180)</f>
        <v>82</v>
      </c>
      <c r="H180" s="279">
        <v>89</v>
      </c>
      <c r="I180" s="105"/>
      <c r="J180" s="41">
        <v>25</v>
      </c>
      <c r="K180" s="41">
        <f>3+4+1+2+1</f>
        <v>11</v>
      </c>
      <c r="L180" s="41">
        <v>33</v>
      </c>
      <c r="M180" s="41">
        <v>6</v>
      </c>
      <c r="N180" s="41"/>
      <c r="O180" s="86">
        <v>7</v>
      </c>
    </row>
    <row r="181" spans="1:15">
      <c r="A181" s="2121"/>
      <c r="B181" s="2039"/>
      <c r="C181" s="103">
        <v>2017</v>
      </c>
      <c r="D181" s="40">
        <v>6</v>
      </c>
      <c r="E181" s="41">
        <v>2</v>
      </c>
      <c r="F181" s="41"/>
      <c r="G181" s="278">
        <f t="shared" ref="G181:G184" si="19">SUM(D181:F181)</f>
        <v>8</v>
      </c>
      <c r="H181" s="279">
        <v>6</v>
      </c>
      <c r="I181" s="105"/>
      <c r="J181" s="41">
        <v>1</v>
      </c>
      <c r="K181" s="41">
        <v>5</v>
      </c>
      <c r="L181" s="41"/>
      <c r="M181" s="41"/>
      <c r="N181" s="41"/>
      <c r="O181" s="86">
        <v>2</v>
      </c>
    </row>
    <row r="182" spans="1:15">
      <c r="A182" s="2121"/>
      <c r="B182" s="2039"/>
      <c r="C182" s="103">
        <v>2018</v>
      </c>
      <c r="D182" s="40"/>
      <c r="E182" s="41"/>
      <c r="F182" s="41"/>
      <c r="G182" s="278">
        <f t="shared" si="19"/>
        <v>0</v>
      </c>
      <c r="H182" s="279"/>
      <c r="I182" s="105"/>
      <c r="J182" s="41"/>
      <c r="K182" s="41"/>
      <c r="L182" s="41"/>
      <c r="M182" s="41"/>
      <c r="N182" s="41"/>
      <c r="O182" s="86"/>
    </row>
    <row r="183" spans="1:15">
      <c r="A183" s="2121"/>
      <c r="B183" s="2039"/>
      <c r="C183" s="103">
        <v>2019</v>
      </c>
      <c r="D183" s="40"/>
      <c r="E183" s="41"/>
      <c r="F183" s="41"/>
      <c r="G183" s="278">
        <f t="shared" si="19"/>
        <v>0</v>
      </c>
      <c r="H183" s="279"/>
      <c r="I183" s="105"/>
      <c r="J183" s="41"/>
      <c r="K183" s="41"/>
      <c r="L183" s="41"/>
      <c r="M183" s="41"/>
      <c r="N183" s="41"/>
      <c r="O183" s="86"/>
    </row>
    <row r="184" spans="1:15">
      <c r="A184" s="2121"/>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83</v>
      </c>
      <c r="E185" s="109">
        <f>SUM(E178:E184)</f>
        <v>6</v>
      </c>
      <c r="F185" s="109">
        <f>SUM(F178:F184)</f>
        <v>1</v>
      </c>
      <c r="G185" s="217">
        <f t="shared" ref="G185:O185" si="20">SUM(G178:G184)</f>
        <v>90</v>
      </c>
      <c r="H185" s="280">
        <f t="shared" si="20"/>
        <v>95</v>
      </c>
      <c r="I185" s="108">
        <f t="shared" si="20"/>
        <v>0</v>
      </c>
      <c r="J185" s="109">
        <f t="shared" si="20"/>
        <v>26</v>
      </c>
      <c r="K185" s="109">
        <f t="shared" si="20"/>
        <v>16</v>
      </c>
      <c r="L185" s="109">
        <f t="shared" si="20"/>
        <v>33</v>
      </c>
      <c r="M185" s="109">
        <f t="shared" si="20"/>
        <v>6</v>
      </c>
      <c r="N185" s="109">
        <f t="shared" si="20"/>
        <v>0</v>
      </c>
      <c r="O185" s="110">
        <f t="shared" si="20"/>
        <v>9</v>
      </c>
    </row>
    <row r="186" spans="1:15" ht="33" customHeight="1" thickBot="1">
      <c r="A186" t="s">
        <v>515</v>
      </c>
    </row>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102" customHeight="1">
      <c r="A188" s="2110"/>
      <c r="B188" s="2100"/>
      <c r="C188" s="2111"/>
      <c r="D188" s="281" t="s">
        <v>128</v>
      </c>
      <c r="E188" s="281" t="s">
        <v>129</v>
      </c>
      <c r="F188" s="281" t="s">
        <v>130</v>
      </c>
      <c r="G188" s="282" t="s">
        <v>13</v>
      </c>
      <c r="H188" s="283" t="s">
        <v>131</v>
      </c>
      <c r="I188" s="281" t="s">
        <v>132</v>
      </c>
      <c r="J188" s="281" t="s">
        <v>133</v>
      </c>
      <c r="K188" s="281" t="s">
        <v>134</v>
      </c>
      <c r="L188" s="284" t="s">
        <v>135</v>
      </c>
      <c r="M188" s="72"/>
    </row>
    <row r="189" spans="1:15" ht="15" customHeight="1">
      <c r="A189" s="2126" t="s">
        <v>516</v>
      </c>
      <c r="B189" s="2127"/>
      <c r="C189" s="285">
        <v>2014</v>
      </c>
      <c r="D189" s="126"/>
      <c r="E189" s="102"/>
      <c r="F189" s="102"/>
      <c r="G189" s="286">
        <f>SUM(D189:F189)</f>
        <v>0</v>
      </c>
      <c r="H189" s="101"/>
      <c r="I189" s="102"/>
      <c r="J189" s="102"/>
      <c r="K189" s="102"/>
      <c r="L189" s="127"/>
    </row>
    <row r="190" spans="1:15">
      <c r="A190" s="2128"/>
      <c r="B190" s="2068"/>
      <c r="C190" s="74">
        <v>2015</v>
      </c>
      <c r="D190" s="40"/>
      <c r="E190" s="41"/>
      <c r="F190" s="41"/>
      <c r="G190" s="286"/>
      <c r="H190" s="105"/>
      <c r="I190" s="41"/>
      <c r="J190" s="41"/>
      <c r="K190" s="41"/>
      <c r="L190" s="86"/>
    </row>
    <row r="191" spans="1:15">
      <c r="A191" s="2128"/>
      <c r="B191" s="2068"/>
      <c r="C191" s="74">
        <v>2016</v>
      </c>
      <c r="D191" s="434">
        <v>3775</v>
      </c>
      <c r="E191" s="1482">
        <v>111</v>
      </c>
      <c r="F191" s="1482">
        <v>100</v>
      </c>
      <c r="G191" s="1546">
        <f t="shared" ref="G191:G195" si="21">SUM(D191:F191)</f>
        <v>3986</v>
      </c>
      <c r="H191" s="105"/>
      <c r="I191" s="41">
        <v>218</v>
      </c>
      <c r="J191" s="41">
        <v>24</v>
      </c>
      <c r="K191" s="41">
        <v>2529</v>
      </c>
      <c r="L191" s="1545">
        <f>G191-I191-J191-K191</f>
        <v>1215</v>
      </c>
    </row>
    <row r="192" spans="1:15">
      <c r="A192" s="2128"/>
      <c r="B192" s="2068"/>
      <c r="C192" s="74">
        <v>2017</v>
      </c>
      <c r="D192" s="434">
        <v>513</v>
      </c>
      <c r="E192" s="1482">
        <v>65</v>
      </c>
      <c r="F192" s="1482"/>
      <c r="G192" s="1546">
        <f>SUM(D192:F192)</f>
        <v>578</v>
      </c>
      <c r="H192" s="105"/>
      <c r="I192" s="41"/>
      <c r="J192" s="41"/>
      <c r="K192" s="41">
        <v>457</v>
      </c>
      <c r="L192" s="86">
        <v>121</v>
      </c>
    </row>
    <row r="193" spans="1:14">
      <c r="A193" s="2128"/>
      <c r="B193" s="2068"/>
      <c r="C193" s="74">
        <v>2018</v>
      </c>
      <c r="D193" s="434"/>
      <c r="E193" s="1482"/>
      <c r="F193" s="1482"/>
      <c r="G193" s="1546">
        <f t="shared" si="21"/>
        <v>0</v>
      </c>
      <c r="H193" s="105"/>
      <c r="I193" s="41"/>
      <c r="J193" s="41"/>
      <c r="K193" s="41"/>
      <c r="L193" s="86"/>
    </row>
    <row r="194" spans="1:14">
      <c r="A194" s="2128"/>
      <c r="B194" s="2068"/>
      <c r="C194" s="74">
        <v>2019</v>
      </c>
      <c r="D194" s="434"/>
      <c r="E194" s="1482"/>
      <c r="F194" s="1482"/>
      <c r="G194" s="1546">
        <f t="shared" si="21"/>
        <v>0</v>
      </c>
      <c r="H194" s="105"/>
      <c r="I194" s="41"/>
      <c r="J194" s="41"/>
      <c r="K194" s="41"/>
      <c r="L194" s="86"/>
    </row>
    <row r="195" spans="1:14">
      <c r="A195" s="2128"/>
      <c r="B195" s="2068"/>
      <c r="C195" s="74">
        <v>2020</v>
      </c>
      <c r="D195" s="434"/>
      <c r="E195" s="1482"/>
      <c r="F195" s="1482"/>
      <c r="G195" s="1546">
        <f t="shared" si="21"/>
        <v>0</v>
      </c>
      <c r="H195" s="105"/>
      <c r="I195" s="41"/>
      <c r="J195" s="41"/>
      <c r="K195" s="41"/>
      <c r="L195" s="86"/>
    </row>
    <row r="196" spans="1:14" ht="15.75" thickBot="1">
      <c r="A196" s="2129"/>
      <c r="B196" s="2071"/>
      <c r="C196" s="129" t="s">
        <v>13</v>
      </c>
      <c r="D196" s="1547">
        <f t="shared" ref="D196:L196" si="22">SUM(D189:D195)</f>
        <v>4288</v>
      </c>
      <c r="E196" s="1548">
        <f t="shared" si="22"/>
        <v>176</v>
      </c>
      <c r="F196" s="1548">
        <f t="shared" si="22"/>
        <v>100</v>
      </c>
      <c r="G196" s="1549">
        <f t="shared" si="22"/>
        <v>4564</v>
      </c>
      <c r="H196" s="108">
        <f t="shared" si="22"/>
        <v>0</v>
      </c>
      <c r="I196" s="109">
        <f t="shared" si="22"/>
        <v>218</v>
      </c>
      <c r="J196" s="109">
        <f t="shared" si="22"/>
        <v>24</v>
      </c>
      <c r="K196" s="109">
        <f t="shared" si="22"/>
        <v>2986</v>
      </c>
      <c r="L196" s="110">
        <f t="shared" si="22"/>
        <v>1336</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544"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119"/>
      <c r="B202" s="2068"/>
      <c r="C202" s="73">
        <v>2014</v>
      </c>
      <c r="D202" s="33"/>
      <c r="E202" s="34"/>
      <c r="F202" s="34"/>
      <c r="G202" s="32"/>
      <c r="H202" s="303"/>
      <c r="I202" s="304"/>
      <c r="J202" s="305"/>
      <c r="K202" s="34"/>
      <c r="L202" s="37"/>
    </row>
    <row r="203" spans="1:14">
      <c r="A203" s="2119"/>
      <c r="B203" s="2068"/>
      <c r="C203" s="74">
        <v>2015</v>
      </c>
      <c r="D203" s="40"/>
      <c r="E203" s="41"/>
      <c r="F203" s="41"/>
      <c r="G203" s="39"/>
      <c r="H203" s="306"/>
      <c r="I203" s="307"/>
      <c r="J203" s="308"/>
      <c r="K203" s="41"/>
      <c r="L203" s="86"/>
    </row>
    <row r="204" spans="1:14">
      <c r="A204" s="2119"/>
      <c r="B204" s="2068"/>
      <c r="C204" s="74">
        <v>2016</v>
      </c>
      <c r="D204" s="40"/>
      <c r="E204" s="41"/>
      <c r="F204" s="41"/>
      <c r="G204" s="39"/>
      <c r="H204" s="306"/>
      <c r="I204" s="307"/>
      <c r="J204" s="308">
        <v>1</v>
      </c>
      <c r="K204" s="41">
        <v>40</v>
      </c>
      <c r="L204" s="86"/>
    </row>
    <row r="205" spans="1:14">
      <c r="A205" s="2119"/>
      <c r="B205" s="2068"/>
      <c r="C205" s="74">
        <v>2017</v>
      </c>
      <c r="D205" s="40"/>
      <c r="E205" s="41"/>
      <c r="F205" s="41"/>
      <c r="G205" s="39"/>
      <c r="H205" s="306"/>
      <c r="I205" s="307"/>
      <c r="J205" s="308"/>
      <c r="K205" s="41"/>
      <c r="L205" s="86"/>
    </row>
    <row r="206" spans="1:14">
      <c r="A206" s="2119"/>
      <c r="B206" s="2068"/>
      <c r="C206" s="74">
        <v>2018</v>
      </c>
      <c r="D206" s="40"/>
      <c r="E206" s="41"/>
      <c r="F206" s="41"/>
      <c r="G206" s="39"/>
      <c r="H206" s="306"/>
      <c r="I206" s="307"/>
      <c r="J206" s="308"/>
      <c r="K206" s="41"/>
      <c r="L206" s="86"/>
    </row>
    <row r="207" spans="1:14">
      <c r="A207" s="2119"/>
      <c r="B207" s="2068"/>
      <c r="C207" s="74">
        <v>2019</v>
      </c>
      <c r="D207" s="40"/>
      <c r="E207" s="41"/>
      <c r="F207" s="41"/>
      <c r="G207" s="39"/>
      <c r="H207" s="306"/>
      <c r="I207" s="307"/>
      <c r="J207" s="308"/>
      <c r="K207" s="41"/>
      <c r="L207" s="86"/>
    </row>
    <row r="208" spans="1:14">
      <c r="A208" s="211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1</v>
      </c>
      <c r="K209" s="132">
        <f t="shared" si="23"/>
        <v>40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30" t="s">
        <v>517</v>
      </c>
      <c r="C213" s="73"/>
      <c r="D213" s="326"/>
      <c r="E213" s="326">
        <v>1345013.46</v>
      </c>
      <c r="F213" s="560">
        <v>112038.61</v>
      </c>
      <c r="G213" s="128"/>
      <c r="H213" s="128"/>
      <c r="I213" s="327"/>
    </row>
    <row r="214" spans="1:12">
      <c r="A214" t="s">
        <v>153</v>
      </c>
      <c r="B214" s="2131"/>
      <c r="C214" s="73"/>
      <c r="D214" s="326"/>
      <c r="E214" s="326">
        <f>E213-E215-E216-E217</f>
        <v>721349.03999999992</v>
      </c>
      <c r="F214" s="560">
        <v>93903.94</v>
      </c>
      <c r="G214" s="128"/>
      <c r="H214" s="128"/>
      <c r="I214" s="327"/>
    </row>
    <row r="215" spans="1:12">
      <c r="A215" t="s">
        <v>155</v>
      </c>
      <c r="B215" s="2131"/>
      <c r="C215" s="73"/>
      <c r="D215" s="326"/>
      <c r="E215" s="326">
        <v>36918.61</v>
      </c>
      <c r="F215" s="560">
        <v>0</v>
      </c>
      <c r="G215" s="128"/>
      <c r="H215" s="128"/>
      <c r="I215" s="327"/>
    </row>
    <row r="216" spans="1:12">
      <c r="A216" t="s">
        <v>157</v>
      </c>
      <c r="B216" s="2131"/>
      <c r="C216" s="73"/>
      <c r="D216" s="326"/>
      <c r="E216" s="326">
        <f>84570+9041+6100+17195.4+18735+9225+10000+7500+5000+9450</f>
        <v>176816.4</v>
      </c>
      <c r="F216" s="560"/>
      <c r="G216" s="128"/>
      <c r="H216" s="128"/>
      <c r="I216" s="327"/>
    </row>
    <row r="217" spans="1:12">
      <c r="A217" t="s">
        <v>158</v>
      </c>
      <c r="B217" s="2131"/>
      <c r="C217" s="73"/>
      <c r="D217" s="326"/>
      <c r="E217" s="326">
        <f>79880+29384.15+5000+19935+27600+7360+46233.93+38203.06+15069.69+39708.39+20931.4+29640+10530.95+40452.84</f>
        <v>409929.41000000003</v>
      </c>
      <c r="F217" s="560">
        <v>18134.669999999998</v>
      </c>
      <c r="G217" s="128"/>
      <c r="H217" s="128"/>
      <c r="I217" s="327"/>
    </row>
    <row r="218" spans="1:12" ht="30">
      <c r="A218" s="1544" t="s">
        <v>159</v>
      </c>
      <c r="B218" s="2131"/>
      <c r="C218" s="73"/>
      <c r="D218" s="326"/>
      <c r="E218" s="326">
        <v>289750.45</v>
      </c>
      <c r="F218" s="560">
        <v>133183.06</v>
      </c>
      <c r="G218" s="128"/>
      <c r="H218" s="128"/>
      <c r="I218" s="327"/>
    </row>
    <row r="219" spans="1:12" ht="15.75" thickBot="1">
      <c r="A219" s="349"/>
      <c r="B219" s="2132"/>
      <c r="C219" s="45" t="s">
        <v>13</v>
      </c>
      <c r="D219" s="331"/>
      <c r="E219" s="331">
        <v>1634763.91</v>
      </c>
      <c r="F219" s="1550">
        <f>F213+F218</f>
        <v>245221.66999999998</v>
      </c>
      <c r="G219" s="333">
        <f t="shared" ref="G219:I219" si="24">SUM(G214:G218)</f>
        <v>0</v>
      </c>
      <c r="H219" s="333">
        <f t="shared" si="24"/>
        <v>0</v>
      </c>
      <c r="I219" s="333">
        <f t="shared" si="24"/>
        <v>0</v>
      </c>
    </row>
    <row r="221" spans="1:12">
      <c r="A221" t="s">
        <v>518</v>
      </c>
      <c r="D221" s="1551"/>
      <c r="E221" s="325"/>
    </row>
    <row r="222" spans="1:12">
      <c r="D222" s="325"/>
      <c r="E222" s="325"/>
    </row>
    <row r="223" spans="1:12">
      <c r="D223" s="325"/>
      <c r="E223" s="325"/>
    </row>
    <row r="224" spans="1:12">
      <c r="D224" s="325"/>
      <c r="E224" s="325"/>
    </row>
    <row r="225" spans="1:5">
      <c r="D225" s="325"/>
      <c r="E225" s="325"/>
    </row>
    <row r="227" spans="1:5">
      <c r="A227" s="1544"/>
    </row>
    <row r="228" spans="1:5">
      <c r="D228" s="325"/>
      <c r="E228" s="325"/>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Y228"/>
  <sheetViews>
    <sheetView topLeftCell="B169" workbookViewId="0">
      <selection activeCell="F214" sqref="F214:F2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1</v>
      </c>
      <c r="C1" s="1996"/>
      <c r="D1" s="1996"/>
      <c r="E1" s="1996"/>
      <c r="F1" s="1996"/>
    </row>
    <row r="2" spans="1:25" s="2" customFormat="1" ht="20.100000000000001" customHeight="1" thickBot="1"/>
    <row r="3" spans="1:25" s="5" customFormat="1" ht="20.100000000000001" customHeight="1">
      <c r="A3" s="3" t="s">
        <v>2</v>
      </c>
      <c r="B3" s="4"/>
      <c r="C3" s="4"/>
      <c r="D3" s="4"/>
      <c r="E3" s="4"/>
      <c r="F3" s="2680"/>
      <c r="G3" s="2680"/>
      <c r="H3" s="2680"/>
      <c r="I3" s="2680"/>
      <c r="J3" s="2680"/>
      <c r="K3" s="2680"/>
      <c r="L3" s="2680"/>
      <c r="M3" s="2680"/>
      <c r="N3" s="2680"/>
      <c r="O3" s="2681"/>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19.5"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9"/>
      <c r="B15" s="10"/>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20"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t="s">
        <v>22</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c r="E19" s="41">
        <v>8</v>
      </c>
      <c r="F19" s="41">
        <v>3</v>
      </c>
      <c r="G19" s="35">
        <f t="shared" si="0"/>
        <v>11</v>
      </c>
      <c r="H19" s="42">
        <v>11</v>
      </c>
      <c r="I19" s="41"/>
      <c r="J19" s="41"/>
      <c r="K19" s="41"/>
      <c r="L19" s="41"/>
      <c r="M19" s="41"/>
      <c r="N19" s="41"/>
      <c r="O19" s="43"/>
      <c r="P19" s="38"/>
      <c r="Q19" s="38"/>
      <c r="R19" s="38"/>
      <c r="S19" s="38"/>
      <c r="T19" s="38"/>
      <c r="U19" s="38"/>
      <c r="V19" s="38"/>
      <c r="W19" s="38"/>
      <c r="X19" s="38"/>
      <c r="Y19" s="38"/>
    </row>
    <row r="20" spans="1:25">
      <c r="A20" s="2654"/>
      <c r="B20" s="2068"/>
      <c r="C20" s="39">
        <v>2017</v>
      </c>
      <c r="D20" s="40"/>
      <c r="E20" s="41"/>
      <c r="F20" s="41">
        <v>1</v>
      </c>
      <c r="G20" s="35">
        <f t="shared" si="0"/>
        <v>1</v>
      </c>
      <c r="H20" s="42">
        <v>1</v>
      </c>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04.25" customHeight="1" thickBot="1">
      <c r="A24" s="2070"/>
      <c r="B24" s="2071"/>
      <c r="C24" s="45" t="s">
        <v>13</v>
      </c>
      <c r="D24" s="46">
        <f>SUM(D17:D23)</f>
        <v>0</v>
      </c>
      <c r="E24" s="47">
        <f>SUM(E17:E23)</f>
        <v>8</v>
      </c>
      <c r="F24" s="47">
        <f>SUM(F17:F23)</f>
        <v>4</v>
      </c>
      <c r="G24" s="48">
        <f>SUM(D24:F24)</f>
        <v>12</v>
      </c>
      <c r="H24" s="49">
        <f>SUM(H17:H23)</f>
        <v>12</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9"/>
      <c r="B26" s="10"/>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t="s">
        <v>24</v>
      </c>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1"/>
      <c r="F29" s="41"/>
      <c r="G29" s="59"/>
      <c r="H29" s="38"/>
      <c r="I29" s="38"/>
      <c r="J29" s="38"/>
      <c r="K29" s="38"/>
      <c r="L29" s="38"/>
      <c r="M29" s="38"/>
      <c r="N29" s="38"/>
      <c r="O29" s="38"/>
      <c r="P29" s="38"/>
      <c r="Q29" s="8"/>
    </row>
    <row r="30" spans="1:25">
      <c r="A30" s="2654"/>
      <c r="B30" s="2068"/>
      <c r="C30" s="60">
        <v>2016</v>
      </c>
      <c r="D30" s="42"/>
      <c r="E30" s="41">
        <v>1219</v>
      </c>
      <c r="F30" s="41">
        <v>71330</v>
      </c>
      <c r="G30" s="59">
        <f t="shared" ref="G30:G35" si="2">SUM(D30:F30)</f>
        <v>72549</v>
      </c>
      <c r="H30" s="38"/>
      <c r="I30" s="38"/>
      <c r="J30" s="38"/>
      <c r="K30" s="38"/>
      <c r="L30" s="38"/>
      <c r="M30" s="38"/>
      <c r="N30" s="38"/>
      <c r="O30" s="38"/>
      <c r="P30" s="38"/>
      <c r="Q30" s="8"/>
    </row>
    <row r="31" spans="1:25">
      <c r="A31" s="2654"/>
      <c r="B31" s="2068"/>
      <c r="C31" s="60">
        <v>2017</v>
      </c>
      <c r="D31" s="42"/>
      <c r="E31" s="41"/>
      <c r="F31" s="41">
        <v>71250</v>
      </c>
      <c r="G31" s="59">
        <f t="shared" si="2"/>
        <v>71250</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149.25" customHeight="1" thickBot="1">
      <c r="A35" s="2070"/>
      <c r="B35" s="2071"/>
      <c r="C35" s="62" t="s">
        <v>13</v>
      </c>
      <c r="D35" s="49">
        <f>SUM(D28:D34)</f>
        <v>0</v>
      </c>
      <c r="E35" s="47">
        <f>SUM(E28:E34)</f>
        <v>1219</v>
      </c>
      <c r="F35" s="47">
        <f>SUM(F28:F34)</f>
        <v>142580</v>
      </c>
      <c r="G35" s="51">
        <f t="shared" si="2"/>
        <v>143799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67" t="s">
        <v>26</v>
      </c>
      <c r="B39" s="68" t="s">
        <v>8</v>
      </c>
      <c r="C39" s="69" t="s">
        <v>9</v>
      </c>
      <c r="D39" s="70" t="s">
        <v>27</v>
      </c>
      <c r="E39" s="71" t="s">
        <v>28</v>
      </c>
      <c r="F39" s="72"/>
      <c r="G39" s="30"/>
      <c r="H39" s="30"/>
    </row>
    <row r="40" spans="1:17">
      <c r="A40" s="2674" t="s">
        <v>29</v>
      </c>
      <c r="B40" s="2068"/>
      <c r="C40" s="73">
        <v>2014</v>
      </c>
      <c r="D40" s="33"/>
      <c r="E40" s="32"/>
      <c r="F40" s="8"/>
      <c r="G40" s="38"/>
      <c r="H40" s="38"/>
    </row>
    <row r="41" spans="1:17">
      <c r="A41" s="2654"/>
      <c r="B41" s="2068"/>
      <c r="C41" s="74">
        <v>2015</v>
      </c>
      <c r="D41" s="40"/>
      <c r="E41" s="75"/>
      <c r="F41" s="8"/>
      <c r="G41" s="38"/>
      <c r="H41" s="38"/>
    </row>
    <row r="42" spans="1:17">
      <c r="A42" s="2654"/>
      <c r="B42" s="2068"/>
      <c r="C42" s="74">
        <v>2016</v>
      </c>
      <c r="D42" s="40">
        <v>95128</v>
      </c>
      <c r="E42" s="75"/>
      <c r="F42" s="8"/>
      <c r="G42" s="38"/>
      <c r="H42" s="38"/>
    </row>
    <row r="43" spans="1:17">
      <c r="A43" s="2654"/>
      <c r="B43" s="2068"/>
      <c r="C43" s="74">
        <v>2017</v>
      </c>
      <c r="D43" s="40">
        <v>56177</v>
      </c>
      <c r="E43" s="39"/>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151305</v>
      </c>
      <c r="E47" s="76">
        <f>SUM(E40:E46)</f>
        <v>0</v>
      </c>
      <c r="F47" s="77"/>
      <c r="G47" s="38"/>
      <c r="H47" s="38"/>
    </row>
    <row r="48" spans="1:17" s="38" customFormat="1" ht="15.75" thickBot="1">
      <c r="A48" s="78"/>
      <c r="B48" s="79"/>
      <c r="C48" s="80"/>
    </row>
    <row r="49" spans="1:15" ht="83.25" customHeight="1">
      <c r="A49" s="81" t="s">
        <v>30</v>
      </c>
      <c r="B49" s="68" t="s">
        <v>8</v>
      </c>
      <c r="C49" s="82" t="s">
        <v>9</v>
      </c>
      <c r="D49" s="70" t="s">
        <v>31</v>
      </c>
      <c r="E49" s="83" t="s">
        <v>32</v>
      </c>
      <c r="F49" s="83" t="s">
        <v>33</v>
      </c>
      <c r="G49" s="83" t="s">
        <v>34</v>
      </c>
      <c r="H49" s="83" t="s">
        <v>35</v>
      </c>
      <c r="I49" s="83" t="s">
        <v>36</v>
      </c>
      <c r="J49" s="83" t="s">
        <v>37</v>
      </c>
      <c r="K49" s="84" t="s">
        <v>38</v>
      </c>
    </row>
    <row r="50" spans="1:15" ht="17.25" customHeight="1">
      <c r="A50" s="2023" t="s">
        <v>39</v>
      </c>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v>2</v>
      </c>
      <c r="E53" s="41">
        <v>0</v>
      </c>
      <c r="F53" s="41">
        <v>0</v>
      </c>
      <c r="G53" s="41">
        <v>544</v>
      </c>
      <c r="H53" s="41">
        <v>0</v>
      </c>
      <c r="I53" s="41">
        <v>10</v>
      </c>
      <c r="J53" s="41">
        <v>226</v>
      </c>
      <c r="K53" s="86">
        <v>0</v>
      </c>
    </row>
    <row r="54" spans="1:15">
      <c r="A54" s="2674"/>
      <c r="B54" s="2026"/>
      <c r="C54" s="74">
        <v>2017</v>
      </c>
      <c r="D54" s="40">
        <v>2</v>
      </c>
      <c r="E54" s="41"/>
      <c r="F54" s="41"/>
      <c r="G54" s="41">
        <v>603</v>
      </c>
      <c r="H54" s="41">
        <v>2</v>
      </c>
      <c r="I54" s="41"/>
      <c r="J54" s="41">
        <v>55</v>
      </c>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4</v>
      </c>
      <c r="E58" s="47">
        <f>SUM(E51:E57)</f>
        <v>0</v>
      </c>
      <c r="F58" s="47">
        <f>SUM(F51:F57)</f>
        <v>0</v>
      </c>
      <c r="G58" s="47">
        <f>SUM(G51:G57)</f>
        <v>1147</v>
      </c>
      <c r="H58" s="47">
        <f>SUM(H51:H57)</f>
        <v>2</v>
      </c>
      <c r="I58" s="47">
        <f t="shared" ref="I58" si="3">SUM(I51:I57)</f>
        <v>10</v>
      </c>
      <c r="J58" s="47">
        <f>SUM(J51:J57)</f>
        <v>281</v>
      </c>
      <c r="K58" s="51">
        <f>SUM(K50:K56)</f>
        <v>0</v>
      </c>
    </row>
    <row r="59" spans="1:15" ht="15.75" thickBot="1"/>
    <row r="60" spans="1:15" ht="21" customHeight="1">
      <c r="A60" s="2683" t="s">
        <v>41</v>
      </c>
      <c r="B60" s="88"/>
      <c r="C60" s="2685" t="s">
        <v>9</v>
      </c>
      <c r="D60" s="1993" t="s">
        <v>42</v>
      </c>
      <c r="E60" s="89" t="s">
        <v>6</v>
      </c>
      <c r="F60" s="90"/>
      <c r="G60" s="90"/>
      <c r="H60" s="90"/>
      <c r="I60" s="90"/>
      <c r="J60" s="90"/>
      <c r="K60" s="90"/>
      <c r="L60" s="91"/>
    </row>
    <row r="61" spans="1:15" ht="115.5" customHeight="1">
      <c r="A61" s="2684"/>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t="s">
        <v>43</v>
      </c>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v>151</v>
      </c>
      <c r="E64" s="105">
        <v>151</v>
      </c>
      <c r="F64" s="41">
        <v>0</v>
      </c>
      <c r="G64" s="41">
        <v>0</v>
      </c>
      <c r="H64" s="41">
        <v>0</v>
      </c>
      <c r="I64" s="41">
        <v>0</v>
      </c>
      <c r="J64" s="41">
        <v>0</v>
      </c>
      <c r="K64" s="41">
        <v>0</v>
      </c>
      <c r="L64" s="86">
        <v>0</v>
      </c>
      <c r="M64" s="8"/>
      <c r="N64" s="8"/>
      <c r="O64" s="8"/>
    </row>
    <row r="65" spans="1:20">
      <c r="A65" s="2659"/>
      <c r="B65" s="2039"/>
      <c r="C65" s="103">
        <v>2017</v>
      </c>
      <c r="D65" s="104">
        <v>39</v>
      </c>
      <c r="E65" s="105">
        <v>39</v>
      </c>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190</v>
      </c>
      <c r="E69" s="108">
        <f>SUM(E62:E68)</f>
        <v>190</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67" t="s">
        <v>44</v>
      </c>
      <c r="B71" s="68"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c r="H73" s="40"/>
      <c r="I73" s="40"/>
      <c r="J73" s="41"/>
      <c r="K73" s="41"/>
      <c r="L73" s="41"/>
      <c r="M73" s="41"/>
      <c r="N73" s="41"/>
      <c r="O73" s="86"/>
    </row>
    <row r="74" spans="1:20">
      <c r="A74" s="2654"/>
      <c r="B74" s="2039"/>
      <c r="C74" s="74">
        <v>2016</v>
      </c>
      <c r="D74" s="128">
        <v>0</v>
      </c>
      <c r="E74" s="128">
        <v>0</v>
      </c>
      <c r="F74" s="128">
        <v>0</v>
      </c>
      <c r="G74" s="125">
        <f t="shared" ref="G74:G78" si="5">SUM(D74:F74)</f>
        <v>0</v>
      </c>
      <c r="H74" s="40">
        <v>0</v>
      </c>
      <c r="I74" s="40">
        <v>0</v>
      </c>
      <c r="J74" s="41">
        <v>0</v>
      </c>
      <c r="K74" s="41">
        <v>0</v>
      </c>
      <c r="L74" s="41">
        <v>0</v>
      </c>
      <c r="M74" s="41">
        <v>0</v>
      </c>
      <c r="N74" s="41">
        <v>0</v>
      </c>
      <c r="O74" s="86">
        <v>0</v>
      </c>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140" t="s">
        <v>50</v>
      </c>
      <c r="B84" s="141"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v>0</v>
      </c>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671" t="s">
        <v>61</v>
      </c>
      <c r="B96" s="2673" t="s">
        <v>62</v>
      </c>
      <c r="C96" s="2677" t="s">
        <v>9</v>
      </c>
      <c r="D96" s="2050" t="s">
        <v>63</v>
      </c>
      <c r="E96" s="2051"/>
      <c r="F96" s="155" t="s">
        <v>64</v>
      </c>
      <c r="G96" s="156"/>
      <c r="H96" s="156"/>
      <c r="I96" s="156"/>
      <c r="J96" s="156"/>
      <c r="K96" s="156"/>
      <c r="L96" s="156"/>
      <c r="M96" s="157"/>
      <c r="N96" s="158"/>
      <c r="O96" s="158"/>
      <c r="P96" s="158"/>
    </row>
    <row r="97" spans="1:16" ht="100.5" customHeight="1">
      <c r="A97" s="2672"/>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v>0</v>
      </c>
      <c r="E100" s="41">
        <v>0</v>
      </c>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671" t="s">
        <v>69</v>
      </c>
      <c r="B107" s="2673" t="s">
        <v>62</v>
      </c>
      <c r="C107" s="2677" t="s">
        <v>9</v>
      </c>
      <c r="D107" s="2060" t="s">
        <v>70</v>
      </c>
      <c r="E107" s="155" t="s">
        <v>71</v>
      </c>
      <c r="F107" s="156"/>
      <c r="G107" s="156"/>
      <c r="H107" s="156"/>
      <c r="I107" s="156"/>
      <c r="J107" s="156"/>
      <c r="K107" s="156"/>
      <c r="L107" s="157"/>
      <c r="M107" s="178"/>
      <c r="N107" s="178"/>
    </row>
    <row r="108" spans="1:16" ht="103.5" customHeight="1">
      <c r="A108" s="2672"/>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v>0</v>
      </c>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671" t="s">
        <v>72</v>
      </c>
      <c r="B118" s="2673" t="s">
        <v>62</v>
      </c>
      <c r="C118" s="2677" t="s">
        <v>9</v>
      </c>
      <c r="D118" s="2060" t="s">
        <v>73</v>
      </c>
      <c r="E118" s="155" t="s">
        <v>71</v>
      </c>
      <c r="F118" s="156"/>
      <c r="G118" s="156"/>
      <c r="H118" s="156"/>
      <c r="I118" s="156"/>
      <c r="J118" s="156"/>
      <c r="K118" s="156"/>
      <c r="L118" s="157"/>
      <c r="M118" s="178"/>
      <c r="N118" s="178"/>
    </row>
    <row r="119" spans="1:14" ht="120.75" customHeight="1">
      <c r="A119" s="2672"/>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t="s">
        <v>74</v>
      </c>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v>2</v>
      </c>
      <c r="E122" s="170">
        <v>2</v>
      </c>
      <c r="F122" s="171"/>
      <c r="G122" s="171"/>
      <c r="H122" s="171"/>
      <c r="I122" s="171"/>
      <c r="J122" s="171"/>
      <c r="K122" s="171"/>
      <c r="L122" s="172"/>
      <c r="M122" s="178"/>
      <c r="N122" s="178"/>
    </row>
    <row r="123" spans="1:14">
      <c r="A123" s="2659"/>
      <c r="B123" s="2039"/>
      <c r="C123" s="103">
        <v>2017</v>
      </c>
      <c r="D123" s="41">
        <v>1</v>
      </c>
      <c r="E123" s="170">
        <v>1</v>
      </c>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3</v>
      </c>
      <c r="E127" s="173">
        <f t="shared" si="10"/>
        <v>3</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671" t="s">
        <v>75</v>
      </c>
      <c r="B129" s="2673" t="s">
        <v>62</v>
      </c>
      <c r="C129" s="181" t="s">
        <v>9</v>
      </c>
      <c r="D129" s="182" t="s">
        <v>76</v>
      </c>
      <c r="E129" s="183"/>
      <c r="F129" s="183"/>
      <c r="G129" s="184"/>
      <c r="H129" s="178"/>
      <c r="I129" s="178"/>
      <c r="J129" s="178"/>
      <c r="K129" s="178"/>
      <c r="L129" s="178"/>
      <c r="M129" s="178"/>
      <c r="N129" s="178"/>
    </row>
    <row r="130" spans="1:16" ht="77.25" customHeight="1">
      <c r="A130" s="2672"/>
      <c r="B130" s="2046"/>
      <c r="C130" s="185"/>
      <c r="D130" s="159" t="s">
        <v>77</v>
      </c>
      <c r="E130" s="186" t="s">
        <v>78</v>
      </c>
      <c r="F130" s="160" t="s">
        <v>79</v>
      </c>
      <c r="G130" s="187" t="s">
        <v>13</v>
      </c>
      <c r="H130" s="178"/>
      <c r="I130" s="178"/>
      <c r="J130" s="178"/>
      <c r="K130" s="178"/>
      <c r="L130" s="178"/>
      <c r="M130" s="178"/>
      <c r="N130" s="178"/>
    </row>
    <row r="131" spans="1:16" ht="15" customHeight="1">
      <c r="A131" s="2674"/>
      <c r="B131" s="2068"/>
      <c r="C131" s="188">
        <v>2015</v>
      </c>
      <c r="D131" s="189"/>
      <c r="E131" s="190"/>
      <c r="F131" s="190"/>
      <c r="G131" s="191"/>
      <c r="H131" s="178"/>
      <c r="I131" s="178"/>
      <c r="J131" s="178"/>
      <c r="K131" s="178"/>
      <c r="L131" s="178"/>
      <c r="M131" s="178"/>
      <c r="N131" s="178"/>
    </row>
    <row r="132" spans="1:16">
      <c r="A132" s="2654"/>
      <c r="B132" s="2068"/>
      <c r="C132" s="103">
        <v>2016</v>
      </c>
      <c r="D132" s="40">
        <v>0</v>
      </c>
      <c r="E132" s="41">
        <v>0</v>
      </c>
      <c r="F132" s="41">
        <v>1657</v>
      </c>
      <c r="G132" s="191">
        <f t="shared" ref="G132:G136" si="11">SUM(D132:F132)</f>
        <v>1657</v>
      </c>
      <c r="H132" s="178"/>
      <c r="I132" s="178"/>
      <c r="J132" s="178"/>
      <c r="K132" s="178"/>
      <c r="L132" s="178"/>
      <c r="M132" s="178"/>
      <c r="N132" s="178"/>
    </row>
    <row r="133" spans="1:16">
      <c r="A133" s="2654"/>
      <c r="B133" s="2068"/>
      <c r="C133" s="103">
        <v>2017</v>
      </c>
      <c r="D133" s="40">
        <v>0</v>
      </c>
      <c r="E133" s="41">
        <v>0</v>
      </c>
      <c r="F133" s="41">
        <v>979</v>
      </c>
      <c r="G133" s="191">
        <f t="shared" si="11"/>
        <v>979</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SUM(E131:E136)</f>
        <v>0</v>
      </c>
      <c r="F137" s="132">
        <f>SUM(F131:F136)</f>
        <v>2636</v>
      </c>
      <c r="G137" s="192">
        <f>SUM(G131:G136)</f>
        <v>2636</v>
      </c>
      <c r="H137" s="178"/>
      <c r="I137" s="178"/>
      <c r="J137" s="178"/>
      <c r="K137" s="178"/>
      <c r="L137" s="178"/>
      <c r="M137" s="178"/>
      <c r="N137" s="178"/>
    </row>
    <row r="138" spans="1:16" ht="17.25" customHeight="1">
      <c r="A138" s="193"/>
      <c r="B138" s="194"/>
      <c r="C138" s="195"/>
      <c r="D138" s="38"/>
      <c r="E138" s="38"/>
      <c r="F138" s="38"/>
      <c r="G138" s="196"/>
      <c r="H138" s="178"/>
      <c r="I138" s="178"/>
      <c r="J138" s="178"/>
      <c r="K138" s="178"/>
      <c r="L138" s="178"/>
      <c r="M138" s="178"/>
      <c r="N138" s="178"/>
    </row>
    <row r="139" spans="1:16">
      <c r="A139" s="176"/>
      <c r="B139" s="176"/>
      <c r="C139" s="177"/>
      <c r="D139" s="8"/>
      <c r="E139" s="8"/>
      <c r="H139" s="178"/>
      <c r="I139" s="178"/>
      <c r="J139" s="178"/>
      <c r="K139" s="178"/>
      <c r="L139" s="178"/>
      <c r="M139" s="178"/>
      <c r="N139" s="178"/>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675" t="s">
        <v>81</v>
      </c>
      <c r="B142" s="2665" t="s">
        <v>62</v>
      </c>
      <c r="C142" s="2667" t="s">
        <v>9</v>
      </c>
      <c r="D142" s="200" t="s">
        <v>82</v>
      </c>
      <c r="E142" s="201"/>
      <c r="F142" s="201"/>
      <c r="G142" s="201"/>
      <c r="H142" s="201"/>
      <c r="I142" s="202"/>
      <c r="J142" s="2660" t="s">
        <v>83</v>
      </c>
      <c r="K142" s="2661"/>
      <c r="L142" s="2661"/>
      <c r="M142" s="2661"/>
      <c r="N142" s="2662"/>
      <c r="O142" s="158"/>
      <c r="P142" s="158"/>
    </row>
    <row r="143" spans="1:16" ht="130.5" customHeight="1">
      <c r="A143" s="2676"/>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c r="J145" s="214"/>
      <c r="K145" s="215"/>
      <c r="L145" s="214"/>
      <c r="M145" s="215"/>
      <c r="N145" s="216"/>
      <c r="O145" s="158"/>
      <c r="P145" s="158"/>
    </row>
    <row r="146" spans="1:16" ht="20.25" customHeight="1">
      <c r="A146" s="2659"/>
      <c r="B146" s="2039"/>
      <c r="C146" s="103">
        <v>2016</v>
      </c>
      <c r="D146" s="40">
        <v>4</v>
      </c>
      <c r="E146" s="40">
        <v>6</v>
      </c>
      <c r="F146" s="41"/>
      <c r="G146" s="171"/>
      <c r="H146" s="171"/>
      <c r="I146" s="210">
        <f>D146+F146+G146+H146</f>
        <v>4</v>
      </c>
      <c r="J146" s="214"/>
      <c r="K146" s="215"/>
      <c r="L146" s="214"/>
      <c r="M146" s="215"/>
      <c r="N146" s="216">
        <v>4</v>
      </c>
      <c r="O146" s="158"/>
      <c r="P146" s="158"/>
    </row>
    <row r="147" spans="1:16" ht="17.25" customHeight="1">
      <c r="A147" s="2659"/>
      <c r="B147" s="2039"/>
      <c r="C147" s="103">
        <v>2017</v>
      </c>
      <c r="D147" s="40"/>
      <c r="E147" s="40"/>
      <c r="F147" s="41"/>
      <c r="G147" s="171"/>
      <c r="H147" s="171"/>
      <c r="I147" s="210">
        <f t="shared" ref="I147:I150" si="12">D147+F147+G147+H147</f>
        <v>0</v>
      </c>
      <c r="J147" s="214"/>
      <c r="K147" s="215"/>
      <c r="L147" s="214"/>
      <c r="M147" s="215"/>
      <c r="N147" s="216"/>
      <c r="O147" s="158"/>
      <c r="P147" s="158"/>
    </row>
    <row r="148" spans="1:16" ht="19.5" customHeight="1">
      <c r="A148" s="2659"/>
      <c r="B148" s="2039"/>
      <c r="C148" s="103">
        <v>2018</v>
      </c>
      <c r="D148" s="40"/>
      <c r="E148" s="40"/>
      <c r="F148" s="41"/>
      <c r="G148" s="171"/>
      <c r="H148" s="171"/>
      <c r="I148" s="210">
        <f t="shared" si="12"/>
        <v>0</v>
      </c>
      <c r="J148" s="214"/>
      <c r="K148" s="215"/>
      <c r="L148" s="214"/>
      <c r="M148" s="215"/>
      <c r="N148" s="216"/>
      <c r="O148" s="158"/>
      <c r="P148" s="158"/>
    </row>
    <row r="149" spans="1:16" ht="19.5" customHeight="1">
      <c r="A149" s="2659"/>
      <c r="B149" s="2039"/>
      <c r="C149" s="103">
        <v>2019</v>
      </c>
      <c r="D149" s="40"/>
      <c r="E149" s="40"/>
      <c r="F149" s="41"/>
      <c r="G149" s="171"/>
      <c r="H149" s="171"/>
      <c r="I149" s="210">
        <f t="shared" si="12"/>
        <v>0</v>
      </c>
      <c r="J149" s="214"/>
      <c r="K149" s="215"/>
      <c r="L149" s="214"/>
      <c r="M149" s="215"/>
      <c r="N149" s="216"/>
      <c r="O149" s="158"/>
      <c r="P149" s="158"/>
    </row>
    <row r="150" spans="1:16" ht="18.75" customHeight="1">
      <c r="A150" s="2659"/>
      <c r="B150" s="2039"/>
      <c r="C150" s="103">
        <v>2020</v>
      </c>
      <c r="D150" s="40"/>
      <c r="E150" s="40"/>
      <c r="F150" s="41"/>
      <c r="G150" s="171"/>
      <c r="H150" s="171"/>
      <c r="I150" s="210">
        <f t="shared" si="12"/>
        <v>0</v>
      </c>
      <c r="J150" s="214"/>
      <c r="K150" s="215"/>
      <c r="L150" s="214"/>
      <c r="M150" s="215"/>
      <c r="N150" s="216"/>
      <c r="O150" s="158"/>
      <c r="P150" s="158"/>
    </row>
    <row r="151" spans="1:16" ht="18" customHeight="1" thickBot="1">
      <c r="A151" s="2067"/>
      <c r="B151" s="2042"/>
      <c r="C151" s="106" t="s">
        <v>13</v>
      </c>
      <c r="D151" s="132">
        <f>SUM(D144:D150)</f>
        <v>4</v>
      </c>
      <c r="E151" s="132">
        <f t="shared" ref="E151:I151" si="13">SUM(E144:E150)</f>
        <v>6</v>
      </c>
      <c r="F151" s="132">
        <f t="shared" si="13"/>
        <v>0</v>
      </c>
      <c r="G151" s="132">
        <f t="shared" si="13"/>
        <v>0</v>
      </c>
      <c r="H151" s="132">
        <f t="shared" si="13"/>
        <v>0</v>
      </c>
      <c r="I151" s="217">
        <f t="shared" si="13"/>
        <v>4</v>
      </c>
      <c r="J151" s="218">
        <f>SUM(J144:J150)</f>
        <v>0</v>
      </c>
      <c r="K151" s="219">
        <f>SUM(K144:K150)</f>
        <v>0</v>
      </c>
      <c r="L151" s="218">
        <f>SUM(L144:L150)</f>
        <v>0</v>
      </c>
      <c r="M151" s="219">
        <f>SUM(M144:M150)</f>
        <v>0</v>
      </c>
      <c r="N151" s="220">
        <f>SUM(N144:N150)</f>
        <v>4</v>
      </c>
      <c r="O151" s="158"/>
      <c r="P151" s="158"/>
    </row>
    <row r="152" spans="1:16" ht="27" customHeight="1" thickBot="1">
      <c r="B152" s="221"/>
      <c r="O152" s="158"/>
      <c r="P152" s="158"/>
    </row>
    <row r="153" spans="1:16" ht="35.25" customHeight="1">
      <c r="A153" s="2159" t="s">
        <v>94</v>
      </c>
      <c r="B153" s="2665" t="s">
        <v>62</v>
      </c>
      <c r="C153" s="2666"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c r="H156" s="214"/>
      <c r="I156" s="171"/>
      <c r="J156" s="172"/>
      <c r="O156" s="158"/>
      <c r="P156" s="158"/>
    </row>
    <row r="157" spans="1:16" ht="17.25" customHeight="1">
      <c r="A157" s="2659"/>
      <c r="B157" s="2039"/>
      <c r="C157" s="231">
        <v>2016</v>
      </c>
      <c r="D157" s="214">
        <v>1</v>
      </c>
      <c r="E157" s="171"/>
      <c r="F157" s="215"/>
      <c r="G157" s="210">
        <f t="shared" ref="G157:G161" si="14">SUM(D157:F157)</f>
        <v>1</v>
      </c>
      <c r="H157" s="214"/>
      <c r="I157" s="171"/>
      <c r="J157" s="172">
        <v>1</v>
      </c>
      <c r="O157" s="158"/>
      <c r="P157" s="158"/>
    </row>
    <row r="158" spans="1:16" ht="15" customHeight="1">
      <c r="A158" s="2659"/>
      <c r="B158" s="2039"/>
      <c r="C158" s="231">
        <v>2017</v>
      </c>
      <c r="D158" s="214"/>
      <c r="E158" s="171"/>
      <c r="F158" s="215"/>
      <c r="G158" s="210">
        <f t="shared" si="14"/>
        <v>0</v>
      </c>
      <c r="H158" s="214"/>
      <c r="I158" s="171"/>
      <c r="J158" s="172"/>
      <c r="O158" s="158"/>
      <c r="P158" s="158"/>
    </row>
    <row r="159" spans="1:16" ht="19.5" customHeight="1">
      <c r="A159" s="2659"/>
      <c r="B159" s="2039"/>
      <c r="C159" s="231">
        <v>2018</v>
      </c>
      <c r="D159" s="214"/>
      <c r="E159" s="171"/>
      <c r="F159" s="215"/>
      <c r="G159" s="210">
        <f t="shared" si="14"/>
        <v>0</v>
      </c>
      <c r="H159" s="214"/>
      <c r="I159" s="171"/>
      <c r="J159" s="172"/>
      <c r="O159" s="158"/>
      <c r="P159" s="158"/>
    </row>
    <row r="160" spans="1:16" ht="15" customHeight="1">
      <c r="A160" s="2659"/>
      <c r="B160" s="2039"/>
      <c r="C160" s="231">
        <v>2019</v>
      </c>
      <c r="D160" s="214"/>
      <c r="E160" s="171"/>
      <c r="F160" s="215"/>
      <c r="G160" s="210">
        <f t="shared" si="14"/>
        <v>0</v>
      </c>
      <c r="H160" s="214"/>
      <c r="I160" s="171"/>
      <c r="J160" s="172"/>
      <c r="O160" s="158"/>
      <c r="P160" s="158"/>
    </row>
    <row r="161" spans="1:18" ht="17.25" customHeight="1">
      <c r="A161" s="2659"/>
      <c r="B161" s="2039"/>
      <c r="C161" s="231">
        <v>2020</v>
      </c>
      <c r="D161" s="214"/>
      <c r="E161" s="171"/>
      <c r="F161" s="215"/>
      <c r="G161" s="210">
        <f t="shared" si="14"/>
        <v>0</v>
      </c>
      <c r="H161" s="214"/>
      <c r="I161" s="171"/>
      <c r="J161" s="172"/>
      <c r="O161" s="158"/>
      <c r="P161" s="158"/>
    </row>
    <row r="162" spans="1:18" ht="15.75" thickBot="1">
      <c r="A162" s="2067"/>
      <c r="B162" s="2042"/>
      <c r="C162" s="232" t="s">
        <v>13</v>
      </c>
      <c r="D162" s="218">
        <f t="shared" ref="D162:G162" si="15">SUM(D155:D161)</f>
        <v>1</v>
      </c>
      <c r="E162" s="174">
        <f t="shared" si="15"/>
        <v>0</v>
      </c>
      <c r="F162" s="219">
        <f t="shared" si="15"/>
        <v>0</v>
      </c>
      <c r="G162" s="219">
        <f t="shared" si="15"/>
        <v>1</v>
      </c>
      <c r="H162" s="218">
        <f>SUM(H155:H161)</f>
        <v>0</v>
      </c>
      <c r="I162" s="174">
        <f>SUM(I155:I161)</f>
        <v>0</v>
      </c>
      <c r="J162" s="233">
        <f>SUM(J155:J161)</f>
        <v>1</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t="s">
        <v>113</v>
      </c>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v>0</v>
      </c>
      <c r="K166" s="255">
        <f t="shared" ref="K166:K171" si="16">SUM(E166,G166,I166)</f>
        <v>0</v>
      </c>
      <c r="L166" s="247"/>
    </row>
    <row r="167" spans="1:18">
      <c r="A167" s="2095"/>
      <c r="B167" s="2026"/>
      <c r="C167" s="251">
        <v>2016</v>
      </c>
      <c r="D167" s="252">
        <v>0</v>
      </c>
      <c r="E167" s="252"/>
      <c r="F167" s="252"/>
      <c r="G167" s="252"/>
      <c r="H167" s="252">
        <v>148</v>
      </c>
      <c r="I167" s="253">
        <v>148</v>
      </c>
      <c r="J167" s="254">
        <f>SUM(D167,F167,H167)</f>
        <v>148</v>
      </c>
      <c r="K167" s="255">
        <f>SUM(E167,G167,I167)</f>
        <v>148</v>
      </c>
    </row>
    <row r="168" spans="1:18">
      <c r="A168" s="2095"/>
      <c r="B168" s="2026"/>
      <c r="C168" s="251">
        <v>2017</v>
      </c>
      <c r="D168" s="252"/>
      <c r="E168" s="158"/>
      <c r="F168" s="252"/>
      <c r="G168" s="252"/>
      <c r="H168" s="252"/>
      <c r="I168" s="253"/>
      <c r="J168" s="254">
        <f t="shared" ref="J168:J171" si="17">SUM(D168,F168,H168)</f>
        <v>0</v>
      </c>
      <c r="K168" s="255">
        <f t="shared" si="16"/>
        <v>0</v>
      </c>
    </row>
    <row r="169" spans="1:18">
      <c r="A169" s="2095"/>
      <c r="B169" s="2026"/>
      <c r="C169" s="256">
        <v>2018</v>
      </c>
      <c r="D169" s="252"/>
      <c r="E169" s="252"/>
      <c r="F169" s="252"/>
      <c r="G169" s="257"/>
      <c r="H169" s="252"/>
      <c r="I169" s="253"/>
      <c r="J169" s="254">
        <f t="shared" si="17"/>
        <v>0</v>
      </c>
      <c r="K169" s="255">
        <f t="shared" si="16"/>
        <v>0</v>
      </c>
      <c r="L169" s="247"/>
    </row>
    <row r="170" spans="1:18">
      <c r="A170" s="2095"/>
      <c r="B170" s="2026"/>
      <c r="C170" s="251">
        <v>2019</v>
      </c>
      <c r="D170" s="158"/>
      <c r="E170" s="252"/>
      <c r="F170" s="252"/>
      <c r="G170" s="252"/>
      <c r="H170" s="257"/>
      <c r="I170" s="253"/>
      <c r="J170" s="254">
        <f t="shared" si="17"/>
        <v>0</v>
      </c>
      <c r="K170" s="255">
        <f t="shared" si="16"/>
        <v>0</v>
      </c>
      <c r="L170" s="247"/>
    </row>
    <row r="171" spans="1:18">
      <c r="A171" s="2095"/>
      <c r="B171" s="2026"/>
      <c r="C171" s="256">
        <v>2020</v>
      </c>
      <c r="D171" s="252"/>
      <c r="E171" s="252"/>
      <c r="F171" s="252"/>
      <c r="G171" s="252"/>
      <c r="H171" s="252"/>
      <c r="I171" s="253"/>
      <c r="J171" s="254">
        <f t="shared" si="17"/>
        <v>0</v>
      </c>
      <c r="K171" s="255">
        <f t="shared" si="16"/>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148</v>
      </c>
      <c r="I172" s="259">
        <f t="shared" si="18"/>
        <v>148</v>
      </c>
      <c r="J172" s="260">
        <f t="shared" si="18"/>
        <v>148</v>
      </c>
      <c r="K172" s="218">
        <f t="shared" si="18"/>
        <v>148</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668" t="s">
        <v>115</v>
      </c>
      <c r="B176" s="2657" t="s">
        <v>116</v>
      </c>
      <c r="C176" s="2670" t="s">
        <v>9</v>
      </c>
      <c r="D176" s="267" t="s">
        <v>117</v>
      </c>
      <c r="E176" s="268"/>
      <c r="F176" s="268"/>
      <c r="G176" s="269"/>
      <c r="H176" s="270"/>
      <c r="I176" s="2103" t="s">
        <v>118</v>
      </c>
      <c r="J176" s="2104"/>
      <c r="K176" s="2104"/>
      <c r="L176" s="2104"/>
      <c r="M176" s="2104"/>
      <c r="N176" s="2104"/>
      <c r="O176" s="2105"/>
    </row>
    <row r="177" spans="1:20" s="31" customFormat="1" ht="129.75" customHeight="1">
      <c r="A177" s="2669"/>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20" ht="15" customHeight="1">
      <c r="A178" s="2659" t="s">
        <v>124</v>
      </c>
      <c r="B178" s="2039"/>
      <c r="C178" s="99">
        <v>2014</v>
      </c>
      <c r="D178" s="33"/>
      <c r="E178" s="34"/>
      <c r="F178" s="34"/>
      <c r="G178" s="278">
        <f>SUM(D178:F178)</f>
        <v>0</v>
      </c>
      <c r="H178" s="148"/>
      <c r="I178" s="148"/>
      <c r="J178" s="34"/>
      <c r="K178" s="34"/>
      <c r="L178" s="34"/>
      <c r="M178" s="34"/>
      <c r="N178" s="34"/>
      <c r="O178" s="37"/>
    </row>
    <row r="179" spans="1:20">
      <c r="A179" s="2659"/>
      <c r="B179" s="2039"/>
      <c r="C179" s="103">
        <v>2015</v>
      </c>
      <c r="D179" s="40"/>
      <c r="E179" s="41"/>
      <c r="F179" s="41"/>
      <c r="G179" s="278">
        <f t="shared" ref="G179:G184" si="19">SUM(D179:F179)</f>
        <v>0</v>
      </c>
      <c r="H179" s="279"/>
      <c r="I179" s="105"/>
      <c r="J179" s="41"/>
      <c r="K179" s="41"/>
      <c r="L179" s="41"/>
      <c r="M179" s="41"/>
      <c r="N179" s="41"/>
      <c r="O179" s="86"/>
      <c r="T179">
        <v>9345</v>
      </c>
    </row>
    <row r="180" spans="1:20">
      <c r="A180" s="2659"/>
      <c r="B180" s="2039"/>
      <c r="C180" s="103">
        <v>2016</v>
      </c>
      <c r="D180" s="40">
        <v>5</v>
      </c>
      <c r="E180" s="41">
        <v>6</v>
      </c>
      <c r="F180" s="41">
        <v>5</v>
      </c>
      <c r="G180" s="278">
        <f t="shared" si="19"/>
        <v>16</v>
      </c>
      <c r="H180" s="279">
        <v>17</v>
      </c>
      <c r="I180" s="105">
        <v>16</v>
      </c>
      <c r="J180" s="41">
        <v>0</v>
      </c>
      <c r="K180" s="41">
        <v>0</v>
      </c>
      <c r="L180" s="41">
        <v>0</v>
      </c>
      <c r="M180" s="41">
        <v>0</v>
      </c>
      <c r="N180" s="41">
        <v>0</v>
      </c>
      <c r="O180" s="86">
        <v>0</v>
      </c>
      <c r="T180">
        <v>490.45</v>
      </c>
    </row>
    <row r="181" spans="1:20">
      <c r="A181" s="2659"/>
      <c r="B181" s="2039"/>
      <c r="C181" s="103">
        <v>2017</v>
      </c>
      <c r="D181" s="40">
        <v>53</v>
      </c>
      <c r="E181" s="41"/>
      <c r="F181" s="41">
        <v>1</v>
      </c>
      <c r="G181" s="278">
        <f t="shared" si="19"/>
        <v>54</v>
      </c>
      <c r="H181" s="279">
        <v>63</v>
      </c>
      <c r="I181" s="105">
        <v>54</v>
      </c>
      <c r="J181" s="41"/>
      <c r="K181" s="41"/>
      <c r="L181" s="41"/>
      <c r="M181" s="41"/>
      <c r="N181" s="41"/>
      <c r="O181" s="86"/>
      <c r="T181">
        <v>78</v>
      </c>
    </row>
    <row r="182" spans="1:20">
      <c r="A182" s="2659"/>
      <c r="B182" s="2039"/>
      <c r="C182" s="103">
        <v>2018</v>
      </c>
      <c r="D182" s="40"/>
      <c r="E182" s="41"/>
      <c r="F182" s="41"/>
      <c r="G182" s="278">
        <f t="shared" si="19"/>
        <v>0</v>
      </c>
      <c r="H182" s="279"/>
      <c r="I182" s="105"/>
      <c r="J182" s="41"/>
      <c r="K182" s="41"/>
      <c r="L182" s="41"/>
      <c r="M182" s="41"/>
      <c r="N182" s="41"/>
      <c r="O182" s="86"/>
      <c r="T182">
        <v>1400</v>
      </c>
    </row>
    <row r="183" spans="1:20">
      <c r="A183" s="2659"/>
      <c r="B183" s="2039"/>
      <c r="C183" s="103">
        <v>2019</v>
      </c>
      <c r="D183" s="40"/>
      <c r="E183" s="41"/>
      <c r="F183" s="41"/>
      <c r="G183" s="278">
        <f t="shared" si="19"/>
        <v>0</v>
      </c>
      <c r="H183" s="279"/>
      <c r="I183" s="105"/>
      <c r="J183" s="41"/>
      <c r="K183" s="41"/>
      <c r="L183" s="41"/>
      <c r="M183" s="41"/>
      <c r="N183" s="41"/>
      <c r="O183" s="86"/>
      <c r="T183">
        <f>SUM(T179:T182)</f>
        <v>11313.45</v>
      </c>
    </row>
    <row r="184" spans="1:20">
      <c r="A184" s="2659"/>
      <c r="B184" s="2039"/>
      <c r="C184" s="103">
        <v>2020</v>
      </c>
      <c r="D184" s="40"/>
      <c r="E184" s="41"/>
      <c r="F184" s="41"/>
      <c r="G184" s="278">
        <f t="shared" si="19"/>
        <v>0</v>
      </c>
      <c r="H184" s="279"/>
      <c r="I184" s="105"/>
      <c r="J184" s="41"/>
      <c r="K184" s="41"/>
      <c r="L184" s="41"/>
      <c r="M184" s="41"/>
      <c r="N184" s="41"/>
      <c r="O184" s="86"/>
    </row>
    <row r="185" spans="1:20" ht="53.25" customHeight="1" thickBot="1">
      <c r="A185" s="2067"/>
      <c r="B185" s="2042"/>
      <c r="C185" s="106" t="s">
        <v>13</v>
      </c>
      <c r="D185" s="132">
        <f>SUM(D178:D184)</f>
        <v>58</v>
      </c>
      <c r="E185" s="109">
        <f>SUM(E178:E184)</f>
        <v>6</v>
      </c>
      <c r="F185" s="109">
        <f>SUM(F178:F184)</f>
        <v>6</v>
      </c>
      <c r="G185" s="217">
        <f t="shared" ref="G185:O185" si="20">SUM(G178:G184)</f>
        <v>70</v>
      </c>
      <c r="H185" s="280">
        <f t="shared" si="20"/>
        <v>80</v>
      </c>
      <c r="I185" s="108">
        <f t="shared" si="20"/>
        <v>70</v>
      </c>
      <c r="J185" s="109">
        <f t="shared" si="20"/>
        <v>0</v>
      </c>
      <c r="K185" s="109">
        <f t="shared" si="20"/>
        <v>0</v>
      </c>
      <c r="L185" s="109">
        <f t="shared" si="20"/>
        <v>0</v>
      </c>
      <c r="M185" s="109">
        <f t="shared" si="20"/>
        <v>0</v>
      </c>
      <c r="N185" s="109">
        <f t="shared" si="20"/>
        <v>0</v>
      </c>
      <c r="O185" s="110">
        <f t="shared" si="20"/>
        <v>0</v>
      </c>
    </row>
    <row r="186" spans="1:20" ht="33" customHeight="1" thickBot="1"/>
    <row r="187" spans="1:20" ht="19.5" customHeight="1">
      <c r="A187" s="2109" t="s">
        <v>125</v>
      </c>
      <c r="B187" s="2657" t="s">
        <v>116</v>
      </c>
      <c r="C187" s="2089" t="s">
        <v>9</v>
      </c>
      <c r="D187" s="2085" t="s">
        <v>126</v>
      </c>
      <c r="E187" s="2086"/>
      <c r="F187" s="2086"/>
      <c r="G187" s="2087"/>
      <c r="H187" s="2088" t="s">
        <v>127</v>
      </c>
      <c r="I187" s="2089"/>
      <c r="J187" s="2089"/>
      <c r="K187" s="2089"/>
      <c r="L187" s="2090"/>
    </row>
    <row r="188" spans="1:20"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20" ht="15" customHeight="1">
      <c r="A189" s="2126" t="s">
        <v>136</v>
      </c>
      <c r="B189" s="2127"/>
      <c r="C189" s="285">
        <v>2014</v>
      </c>
      <c r="D189" s="126"/>
      <c r="E189" s="102"/>
      <c r="F189" s="102"/>
      <c r="G189" s="286">
        <f>SUM(D189:F189)</f>
        <v>0</v>
      </c>
      <c r="H189" s="101"/>
      <c r="I189" s="102"/>
      <c r="J189" s="102"/>
      <c r="K189" s="102"/>
      <c r="L189" s="127"/>
    </row>
    <row r="190" spans="1:20">
      <c r="A190" s="2658"/>
      <c r="B190" s="2068"/>
      <c r="C190" s="74">
        <v>2015</v>
      </c>
      <c r="D190" s="40"/>
      <c r="E190" s="41"/>
      <c r="F190" s="41"/>
      <c r="G190" s="286"/>
      <c r="H190" s="105"/>
      <c r="I190" s="41"/>
      <c r="J190" s="41"/>
      <c r="K190" s="41"/>
      <c r="L190" s="86"/>
    </row>
    <row r="191" spans="1:20">
      <c r="A191" s="2658"/>
      <c r="B191" s="2068"/>
      <c r="C191" s="74">
        <v>2016</v>
      </c>
      <c r="D191" s="40">
        <v>422</v>
      </c>
      <c r="E191" s="41">
        <v>443</v>
      </c>
      <c r="F191" s="41">
        <v>166</v>
      </c>
      <c r="G191" s="286">
        <f t="shared" ref="G191:G195" si="21">SUM(D191:F191)</f>
        <v>1031</v>
      </c>
      <c r="H191" s="287">
        <v>6</v>
      </c>
      <c r="I191" s="288">
        <v>5</v>
      </c>
      <c r="J191" s="288">
        <v>398</v>
      </c>
      <c r="K191" s="288"/>
      <c r="L191" s="289">
        <v>622</v>
      </c>
    </row>
    <row r="192" spans="1:20">
      <c r="A192" s="2658"/>
      <c r="B192" s="2068"/>
      <c r="C192" s="74">
        <v>2017</v>
      </c>
      <c r="D192" s="40">
        <v>1221</v>
      </c>
      <c r="E192" s="41"/>
      <c r="F192" s="41">
        <v>25</v>
      </c>
      <c r="G192" s="286">
        <f t="shared" si="21"/>
        <v>1246</v>
      </c>
      <c r="H192" s="105"/>
      <c r="I192" s="41">
        <v>2</v>
      </c>
      <c r="J192" s="41">
        <v>242</v>
      </c>
      <c r="K192" s="41"/>
      <c r="L192" s="86">
        <v>1002</v>
      </c>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1643</v>
      </c>
      <c r="E196" s="109">
        <f t="shared" si="22"/>
        <v>443</v>
      </c>
      <c r="F196" s="109">
        <f t="shared" si="22"/>
        <v>191</v>
      </c>
      <c r="G196" s="290">
        <f t="shared" si="22"/>
        <v>2277</v>
      </c>
      <c r="H196" s="108">
        <f t="shared" si="22"/>
        <v>6</v>
      </c>
      <c r="I196" s="109">
        <f t="shared" si="22"/>
        <v>7</v>
      </c>
      <c r="J196" s="109">
        <f t="shared" si="22"/>
        <v>640</v>
      </c>
      <c r="K196" s="109">
        <f t="shared" si="22"/>
        <v>0</v>
      </c>
      <c r="L196" s="110">
        <f t="shared" si="22"/>
        <v>1624</v>
      </c>
      <c r="M196" s="77">
        <f>SUM(H196:L196)</f>
        <v>2277</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294"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v>0</v>
      </c>
      <c r="E204" s="41"/>
      <c r="F204" s="41"/>
      <c r="G204" s="39"/>
      <c r="H204" s="306"/>
      <c r="I204" s="307">
        <v>0</v>
      </c>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16" t="s">
        <v>148</v>
      </c>
      <c r="B212" s="317" t="s">
        <v>149</v>
      </c>
      <c r="C212" s="318">
        <v>2014</v>
      </c>
      <c r="D212" s="319">
        <v>2015</v>
      </c>
      <c r="E212" s="319">
        <v>2016</v>
      </c>
      <c r="F212" s="319">
        <v>2017</v>
      </c>
      <c r="G212" s="319">
        <v>2018</v>
      </c>
      <c r="H212" s="319">
        <v>2019</v>
      </c>
      <c r="I212" s="320">
        <v>2020</v>
      </c>
      <c r="K212" s="72"/>
    </row>
    <row r="213" spans="1:12" ht="15" customHeight="1">
      <c r="A213" t="s">
        <v>150</v>
      </c>
      <c r="B213" s="2177" t="s">
        <v>151</v>
      </c>
      <c r="C213" s="73"/>
      <c r="D213" s="321"/>
      <c r="E213" s="322">
        <f>SUM(E214:E217)</f>
        <v>1304561.32</v>
      </c>
      <c r="F213" s="321">
        <f>SUM(F214:F217)</f>
        <v>210315.45</v>
      </c>
      <c r="G213" s="323"/>
      <c r="H213" s="323"/>
      <c r="I213" s="324"/>
      <c r="J213" s="325">
        <f>SUM(E213:I213)</f>
        <v>1514876.77</v>
      </c>
      <c r="K213" t="s">
        <v>152</v>
      </c>
    </row>
    <row r="214" spans="1:12">
      <c r="A214" t="s">
        <v>153</v>
      </c>
      <c r="B214" s="2171"/>
      <c r="C214" s="73"/>
      <c r="D214" s="326"/>
      <c r="E214" s="326">
        <v>741192.42</v>
      </c>
      <c r="F214" s="326">
        <v>96603.27</v>
      </c>
      <c r="G214" s="128"/>
      <c r="H214" s="128"/>
      <c r="I214" s="327"/>
      <c r="J214">
        <v>1550517.22</v>
      </c>
      <c r="K214" t="s">
        <v>154</v>
      </c>
    </row>
    <row r="215" spans="1:12">
      <c r="A215" t="s">
        <v>155</v>
      </c>
      <c r="B215" s="2171"/>
      <c r="C215" s="73"/>
      <c r="D215" s="326"/>
      <c r="E215" s="326">
        <v>0</v>
      </c>
      <c r="F215" s="326"/>
      <c r="G215" s="128"/>
      <c r="H215" s="128"/>
      <c r="I215" s="327"/>
      <c r="J215" s="325">
        <f>SUM(J214-J213)</f>
        <v>35640.449999999953</v>
      </c>
      <c r="K215" t="s">
        <v>156</v>
      </c>
    </row>
    <row r="216" spans="1:12">
      <c r="A216" t="s">
        <v>157</v>
      </c>
      <c r="B216" s="2171"/>
      <c r="C216" s="73"/>
      <c r="D216" s="326"/>
      <c r="E216" s="326">
        <v>12011.25</v>
      </c>
      <c r="F216" s="326">
        <v>13842</v>
      </c>
      <c r="G216" s="128"/>
      <c r="H216" s="128"/>
      <c r="I216" s="327"/>
      <c r="K216" s="2655"/>
    </row>
    <row r="217" spans="1:12">
      <c r="A217" t="s">
        <v>158</v>
      </c>
      <c r="B217" s="2171"/>
      <c r="C217" s="73"/>
      <c r="D217" s="326"/>
      <c r="E217" s="326">
        <v>551357.65</v>
      </c>
      <c r="F217" s="326">
        <v>99870.18</v>
      </c>
      <c r="G217" s="128"/>
      <c r="H217" s="128"/>
      <c r="I217" s="327"/>
      <c r="J217" s="325"/>
      <c r="K217" s="2655"/>
    </row>
    <row r="218" spans="1:12" ht="30.75" thickBot="1">
      <c r="A218" s="31" t="s">
        <v>159</v>
      </c>
      <c r="B218" s="2171"/>
      <c r="C218" s="73"/>
      <c r="D218" s="326"/>
      <c r="E218" s="321">
        <v>489921.88</v>
      </c>
      <c r="F218" s="321">
        <v>444346.32</v>
      </c>
      <c r="G218" s="328"/>
      <c r="H218" s="328"/>
      <c r="I218" s="329"/>
      <c r="K218" s="2655"/>
    </row>
    <row r="219" spans="1:12" ht="282.75" customHeight="1" thickBot="1">
      <c r="A219" s="330" t="s">
        <v>160</v>
      </c>
      <c r="B219" s="2188"/>
      <c r="C219" s="45" t="s">
        <v>13</v>
      </c>
      <c r="D219" s="331">
        <f>SUM(D214:D218)</f>
        <v>0</v>
      </c>
      <c r="E219" s="332">
        <f t="shared" ref="E219:I219" si="24">SUM(E214:E218)</f>
        <v>1794483.2000000002</v>
      </c>
      <c r="F219" s="331">
        <f>SUM(F214:F218)</f>
        <v>654661.77</v>
      </c>
      <c r="G219" s="333">
        <f t="shared" si="24"/>
        <v>0</v>
      </c>
      <c r="H219" s="333">
        <f t="shared" si="24"/>
        <v>0</v>
      </c>
      <c r="I219" s="333">
        <f t="shared" si="24"/>
        <v>0</v>
      </c>
      <c r="K219" s="2655"/>
    </row>
    <row r="223" spans="1:12">
      <c r="A223" s="31"/>
      <c r="B223">
        <f>1550517.22-35640.45</f>
        <v>1514876.77</v>
      </c>
    </row>
    <row r="227" spans="1:13">
      <c r="A227" s="31"/>
      <c r="F227" s="2656"/>
      <c r="G227" s="2656"/>
      <c r="H227" s="2656"/>
      <c r="I227" s="2656"/>
      <c r="J227" s="2656"/>
      <c r="K227" s="2656"/>
      <c r="L227" s="2656"/>
      <c r="M227" s="2656"/>
    </row>
    <row r="228" spans="1:13">
      <c r="F228" s="2656"/>
      <c r="G228" s="2656"/>
      <c r="H228" s="2656"/>
      <c r="I228" s="2656"/>
      <c r="J228" s="2656"/>
      <c r="K228" s="2656"/>
      <c r="L228" s="2656"/>
      <c r="M228" s="2656"/>
    </row>
  </sheetData>
  <mergeCells count="58">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29:A130"/>
    <mergeCell ref="B129:B130"/>
    <mergeCell ref="A131:B137"/>
    <mergeCell ref="A142:A143"/>
    <mergeCell ref="B142:B143"/>
    <mergeCell ref="A178:B185"/>
    <mergeCell ref="J142:N142"/>
    <mergeCell ref="A144:B151"/>
    <mergeCell ref="A153:A154"/>
    <mergeCell ref="B153:B154"/>
    <mergeCell ref="C153:C154"/>
    <mergeCell ref="A155:B162"/>
    <mergeCell ref="C142:C143"/>
    <mergeCell ref="A165:B172"/>
    <mergeCell ref="A176:A177"/>
    <mergeCell ref="B176:B177"/>
    <mergeCell ref="C176:C177"/>
    <mergeCell ref="I176:O176"/>
    <mergeCell ref="A202:B209"/>
    <mergeCell ref="B213:B219"/>
    <mergeCell ref="K216:K219"/>
    <mergeCell ref="F227:M228"/>
    <mergeCell ref="A187:A188"/>
    <mergeCell ref="B187:B188"/>
    <mergeCell ref="C187:C188"/>
    <mergeCell ref="D187:G187"/>
    <mergeCell ref="H187:L187"/>
    <mergeCell ref="A189:B19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Y227"/>
  <sheetViews>
    <sheetView topLeftCell="A184" workbookViewId="0">
      <selection activeCell="F194" sqref="F19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161</v>
      </c>
      <c r="C1" s="1996"/>
      <c r="D1" s="1996"/>
      <c r="E1" s="1996"/>
      <c r="F1" s="1996"/>
    </row>
    <row r="2" spans="1:25" s="2" customFormat="1" ht="20.100000000000001" customHeight="1" thickBot="1"/>
    <row r="3" spans="1:25" s="5" customFormat="1" ht="20.100000000000001" customHeight="1">
      <c r="A3" s="3" t="s">
        <v>2</v>
      </c>
      <c r="B3" s="4"/>
      <c r="C3" s="4"/>
      <c r="D3" s="4"/>
      <c r="E3" s="4"/>
      <c r="F3" s="2680"/>
      <c r="G3" s="2680"/>
      <c r="H3" s="2680"/>
      <c r="I3" s="2680"/>
      <c r="J3" s="2680"/>
      <c r="K3" s="2680"/>
      <c r="L3" s="2680"/>
      <c r="M3" s="2680"/>
      <c r="N3" s="2680"/>
      <c r="O3" s="2681"/>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9"/>
      <c r="B15" s="10"/>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708"/>
      <c r="B17" s="2717" t="s">
        <v>611</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716"/>
      <c r="B18" s="271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716"/>
      <c r="B19" s="2718"/>
      <c r="C19" s="39">
        <v>2016</v>
      </c>
      <c r="D19" s="40">
        <v>8</v>
      </c>
      <c r="E19" s="41"/>
      <c r="F19" s="41"/>
      <c r="G19" s="35">
        <f t="shared" si="0"/>
        <v>8</v>
      </c>
      <c r="H19" s="42">
        <v>8</v>
      </c>
      <c r="I19" s="41"/>
      <c r="J19" s="41"/>
      <c r="K19" s="41"/>
      <c r="L19" s="41"/>
      <c r="M19" s="41"/>
      <c r="N19" s="41"/>
      <c r="O19" s="43"/>
      <c r="P19" s="38"/>
      <c r="Q19" s="38"/>
      <c r="R19" s="38"/>
      <c r="S19" s="38"/>
      <c r="T19" s="38"/>
      <c r="U19" s="38"/>
      <c r="V19" s="38"/>
      <c r="W19" s="38"/>
      <c r="X19" s="38"/>
      <c r="Y19" s="38"/>
    </row>
    <row r="20" spans="1:25">
      <c r="A20" s="2716"/>
      <c r="B20" s="2718"/>
      <c r="C20" s="39">
        <v>2017</v>
      </c>
      <c r="D20" s="40">
        <v>2</v>
      </c>
      <c r="E20" s="41"/>
      <c r="F20" s="41">
        <v>1</v>
      </c>
      <c r="G20" s="35">
        <f t="shared" si="0"/>
        <v>3</v>
      </c>
      <c r="H20" s="42">
        <v>3</v>
      </c>
      <c r="I20" s="41"/>
      <c r="J20" s="41"/>
      <c r="K20" s="41"/>
      <c r="L20" s="41"/>
      <c r="M20" s="41"/>
      <c r="N20" s="41"/>
      <c r="O20" s="43"/>
      <c r="P20" s="38"/>
      <c r="Q20" s="38"/>
      <c r="R20" s="38"/>
      <c r="S20" s="38"/>
      <c r="T20" s="38"/>
      <c r="U20" s="38"/>
      <c r="V20" s="38"/>
      <c r="W20" s="38"/>
      <c r="X20" s="38"/>
      <c r="Y20" s="38"/>
    </row>
    <row r="21" spans="1:25">
      <c r="A21" s="2716"/>
      <c r="B21" s="271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716"/>
      <c r="B22" s="271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716"/>
      <c r="B23" s="271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97.5" customHeight="1" thickBot="1">
      <c r="A24" s="2710"/>
      <c r="B24" s="2719"/>
      <c r="C24" s="45" t="s">
        <v>13</v>
      </c>
      <c r="D24" s="46">
        <f>SUM(D17:D23)</f>
        <v>10</v>
      </c>
      <c r="E24" s="47">
        <f>SUM(E17:E23)</f>
        <v>0</v>
      </c>
      <c r="F24" s="47">
        <f>SUM(F17:F23)</f>
        <v>1</v>
      </c>
      <c r="G24" s="48">
        <f>SUM(D24:F24)</f>
        <v>11</v>
      </c>
      <c r="H24" s="49">
        <f>SUM(H17:H23)</f>
        <v>11</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9"/>
      <c r="B26" s="10"/>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708"/>
      <c r="B28" s="2717" t="s">
        <v>162</v>
      </c>
      <c r="C28" s="58">
        <v>2014</v>
      </c>
      <c r="D28" s="36"/>
      <c r="E28" s="34"/>
      <c r="F28" s="34"/>
      <c r="G28" s="59">
        <f>SUM(D28:F28)</f>
        <v>0</v>
      </c>
      <c r="H28" s="38"/>
      <c r="I28" s="38"/>
      <c r="J28" s="38"/>
      <c r="K28" s="38"/>
      <c r="L28" s="38"/>
      <c r="M28" s="38"/>
      <c r="N28" s="38"/>
      <c r="O28" s="38"/>
      <c r="P28" s="38"/>
      <c r="Q28" s="8"/>
    </row>
    <row r="29" spans="1:25">
      <c r="A29" s="2716"/>
      <c r="B29" s="2718"/>
      <c r="C29" s="60">
        <v>2015</v>
      </c>
      <c r="D29" s="42"/>
      <c r="E29" s="41"/>
      <c r="F29" s="41"/>
      <c r="G29" s="59">
        <f t="shared" ref="G29:G35" si="2">SUM(D29:F29)</f>
        <v>0</v>
      </c>
      <c r="H29" s="38"/>
      <c r="I29" s="38"/>
      <c r="J29" s="38"/>
      <c r="K29" s="38"/>
      <c r="L29" s="38"/>
      <c r="M29" s="38"/>
      <c r="N29" s="38"/>
      <c r="O29" s="38"/>
      <c r="P29" s="38"/>
      <c r="Q29" s="8"/>
    </row>
    <row r="30" spans="1:25">
      <c r="A30" s="2716"/>
      <c r="B30" s="2718"/>
      <c r="C30" s="60">
        <v>2016</v>
      </c>
      <c r="D30" s="335">
        <v>2500</v>
      </c>
      <c r="E30" s="41"/>
      <c r="F30" s="41"/>
      <c r="G30" s="336">
        <f t="shared" si="2"/>
        <v>2500</v>
      </c>
      <c r="H30" s="38"/>
      <c r="I30" s="38"/>
      <c r="J30" s="38"/>
      <c r="K30" s="38"/>
      <c r="L30" s="38"/>
      <c r="M30" s="38"/>
      <c r="N30" s="38"/>
      <c r="O30" s="38"/>
      <c r="P30" s="38"/>
      <c r="Q30" s="8"/>
    </row>
    <row r="31" spans="1:25">
      <c r="A31" s="2716"/>
      <c r="B31" s="2718"/>
      <c r="C31" s="60">
        <v>2017</v>
      </c>
      <c r="D31" s="42">
        <v>99</v>
      </c>
      <c r="E31" s="41"/>
      <c r="F31" s="41">
        <v>500</v>
      </c>
      <c r="G31" s="59">
        <f t="shared" si="2"/>
        <v>599</v>
      </c>
      <c r="H31" s="38"/>
      <c r="I31" s="38"/>
      <c r="J31" s="38"/>
      <c r="K31" s="38"/>
      <c r="L31" s="38"/>
      <c r="M31" s="38"/>
      <c r="N31" s="38"/>
      <c r="O31" s="38"/>
      <c r="P31" s="38"/>
      <c r="Q31" s="8"/>
    </row>
    <row r="32" spans="1:25">
      <c r="A32" s="2716"/>
      <c r="B32" s="2718"/>
      <c r="C32" s="60">
        <v>2018</v>
      </c>
      <c r="D32" s="42"/>
      <c r="E32" s="41"/>
      <c r="F32" s="41"/>
      <c r="G32" s="59">
        <f>SUM(D32:F32)</f>
        <v>0</v>
      </c>
      <c r="H32" s="38"/>
      <c r="I32" s="38"/>
      <c r="J32" s="38"/>
      <c r="K32" s="38"/>
      <c r="L32" s="38"/>
      <c r="M32" s="38"/>
      <c r="N32" s="38"/>
      <c r="O32" s="38"/>
      <c r="P32" s="38"/>
      <c r="Q32" s="8"/>
    </row>
    <row r="33" spans="1:17">
      <c r="A33" s="2716"/>
      <c r="B33" s="2718"/>
      <c r="C33" s="61">
        <v>2019</v>
      </c>
      <c r="D33" s="42"/>
      <c r="E33" s="41"/>
      <c r="F33" s="41"/>
      <c r="G33" s="59">
        <f t="shared" si="2"/>
        <v>0</v>
      </c>
      <c r="H33" s="38"/>
      <c r="I33" s="38"/>
      <c r="J33" s="38"/>
      <c r="K33" s="38"/>
      <c r="L33" s="38"/>
      <c r="M33" s="38"/>
      <c r="N33" s="38"/>
      <c r="O33" s="38"/>
      <c r="P33" s="38"/>
      <c r="Q33" s="8"/>
    </row>
    <row r="34" spans="1:17">
      <c r="A34" s="2716"/>
      <c r="B34" s="2718"/>
      <c r="C34" s="60">
        <v>2020</v>
      </c>
      <c r="D34" s="42"/>
      <c r="E34" s="41"/>
      <c r="F34" s="41"/>
      <c r="G34" s="59">
        <f t="shared" si="2"/>
        <v>0</v>
      </c>
      <c r="H34" s="38"/>
      <c r="I34" s="38"/>
      <c r="J34" s="38"/>
      <c r="K34" s="38"/>
      <c r="L34" s="38"/>
      <c r="M34" s="38"/>
      <c r="N34" s="38"/>
      <c r="O34" s="38"/>
      <c r="P34" s="38"/>
      <c r="Q34" s="8"/>
    </row>
    <row r="35" spans="1:17" ht="63.75" customHeight="1" thickBot="1">
      <c r="A35" s="2710"/>
      <c r="B35" s="2719"/>
      <c r="C35" s="62" t="s">
        <v>13</v>
      </c>
      <c r="D35" s="337">
        <f>SUM(D28:D34)</f>
        <v>2599</v>
      </c>
      <c r="E35" s="338">
        <f>SUM(E28:E34)</f>
        <v>0</v>
      </c>
      <c r="F35" s="338">
        <f>SUM(F28:F34)</f>
        <v>500</v>
      </c>
      <c r="G35" s="339">
        <f t="shared" si="2"/>
        <v>3099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67" t="s">
        <v>26</v>
      </c>
      <c r="B39" s="68" t="s">
        <v>8</v>
      </c>
      <c r="C39" s="69" t="s">
        <v>9</v>
      </c>
      <c r="D39" s="70" t="s">
        <v>27</v>
      </c>
      <c r="E39" s="71" t="s">
        <v>28</v>
      </c>
      <c r="F39" s="72"/>
      <c r="G39" s="30"/>
      <c r="H39" s="30"/>
    </row>
    <row r="40" spans="1:17">
      <c r="A40" s="2708"/>
      <c r="B40" s="2692" t="s">
        <v>163</v>
      </c>
      <c r="C40" s="73">
        <v>2014</v>
      </c>
      <c r="D40" s="33"/>
      <c r="E40" s="32"/>
      <c r="F40" s="8"/>
      <c r="G40" s="38"/>
      <c r="H40" s="38"/>
    </row>
    <row r="41" spans="1:17">
      <c r="A41" s="2716"/>
      <c r="B41" s="2208"/>
      <c r="C41" s="74">
        <v>2015</v>
      </c>
      <c r="D41" s="340"/>
      <c r="E41" s="341"/>
      <c r="F41" s="8"/>
      <c r="G41" s="38"/>
      <c r="H41" s="38"/>
    </row>
    <row r="42" spans="1:17">
      <c r="A42" s="2716"/>
      <c r="B42" s="2208"/>
      <c r="C42" s="74">
        <v>2016</v>
      </c>
      <c r="D42" s="340">
        <v>175942</v>
      </c>
      <c r="E42" s="342">
        <v>83198</v>
      </c>
      <c r="F42" s="8" t="s">
        <v>164</v>
      </c>
      <c r="G42" s="38"/>
      <c r="H42" s="38"/>
    </row>
    <row r="43" spans="1:17">
      <c r="A43" s="2716"/>
      <c r="B43" s="2208"/>
      <c r="C43" s="74">
        <v>2017</v>
      </c>
      <c r="D43" s="343">
        <v>83723</v>
      </c>
      <c r="E43" s="342">
        <v>35250</v>
      </c>
      <c r="F43" s="8" t="s">
        <v>164</v>
      </c>
      <c r="G43" s="38"/>
      <c r="H43" s="38"/>
    </row>
    <row r="44" spans="1:17">
      <c r="A44" s="2716"/>
      <c r="B44" s="2208"/>
      <c r="C44" s="74">
        <v>2018</v>
      </c>
      <c r="D44" s="40"/>
      <c r="E44" s="39"/>
      <c r="F44" s="8"/>
      <c r="G44" s="38"/>
      <c r="H44" s="38"/>
    </row>
    <row r="45" spans="1:17">
      <c r="A45" s="2716"/>
      <c r="B45" s="2208"/>
      <c r="C45" s="74">
        <v>2019</v>
      </c>
      <c r="D45" s="40"/>
      <c r="E45" s="39"/>
      <c r="F45" s="8"/>
      <c r="G45" s="38"/>
      <c r="H45" s="38"/>
    </row>
    <row r="46" spans="1:17">
      <c r="A46" s="2716"/>
      <c r="B46" s="2208"/>
      <c r="C46" s="74">
        <v>2020</v>
      </c>
      <c r="D46" s="40"/>
      <c r="E46" s="39"/>
      <c r="F46" s="8"/>
      <c r="G46" s="38"/>
      <c r="H46" s="38"/>
    </row>
    <row r="47" spans="1:17" ht="15.75" thickBot="1">
      <c r="A47" s="2710"/>
      <c r="B47" s="2209"/>
      <c r="C47" s="45" t="s">
        <v>13</v>
      </c>
      <c r="D47" s="344">
        <f>SUM(D40:D46)</f>
        <v>259665</v>
      </c>
      <c r="E47" s="345">
        <f>SUM(E40:E46)</f>
        <v>118448</v>
      </c>
      <c r="F47" s="77"/>
      <c r="G47" s="38"/>
      <c r="H47" s="38"/>
    </row>
    <row r="48" spans="1:17" s="38" customFormat="1" ht="15.75" thickBot="1">
      <c r="A48" s="78"/>
      <c r="B48" s="79"/>
      <c r="C48" s="80"/>
    </row>
    <row r="49" spans="1:15" ht="83.25" customHeight="1">
      <c r="A49" s="81" t="s">
        <v>30</v>
      </c>
      <c r="B49" s="68" t="s">
        <v>8</v>
      </c>
      <c r="C49" s="82" t="s">
        <v>9</v>
      </c>
      <c r="D49" s="70" t="s">
        <v>31</v>
      </c>
      <c r="E49" s="83" t="s">
        <v>32</v>
      </c>
      <c r="F49" s="83" t="s">
        <v>33</v>
      </c>
      <c r="G49" s="83" t="s">
        <v>34</v>
      </c>
      <c r="H49" s="83" t="s">
        <v>35</v>
      </c>
      <c r="I49" s="83" t="s">
        <v>36</v>
      </c>
      <c r="J49" s="83" t="s">
        <v>37</v>
      </c>
      <c r="K49" s="84" t="s">
        <v>38</v>
      </c>
    </row>
    <row r="50" spans="1:15" ht="17.25" customHeight="1">
      <c r="A50" s="2708"/>
      <c r="B50" s="2699"/>
      <c r="C50" s="85" t="s">
        <v>40</v>
      </c>
      <c r="D50" s="33"/>
      <c r="E50" s="34"/>
      <c r="F50" s="34"/>
      <c r="G50" s="34"/>
      <c r="H50" s="34"/>
      <c r="I50" s="34"/>
      <c r="J50" s="34"/>
      <c r="K50" s="37"/>
    </row>
    <row r="51" spans="1:15" ht="15" customHeight="1">
      <c r="A51" s="2716"/>
      <c r="B51" s="2700"/>
      <c r="C51" s="74">
        <v>2014</v>
      </c>
      <c r="D51" s="40"/>
      <c r="E51" s="41"/>
      <c r="F51" s="41"/>
      <c r="G51" s="41"/>
      <c r="H51" s="41"/>
      <c r="I51" s="41"/>
      <c r="J51" s="41"/>
      <c r="K51" s="86"/>
    </row>
    <row r="52" spans="1:15">
      <c r="A52" s="2716"/>
      <c r="B52" s="2700"/>
      <c r="C52" s="74">
        <v>2015</v>
      </c>
      <c r="D52" s="40"/>
      <c r="E52" s="41"/>
      <c r="F52" s="41"/>
      <c r="G52" s="41"/>
      <c r="H52" s="41"/>
      <c r="I52" s="41"/>
      <c r="J52" s="41"/>
      <c r="K52" s="86"/>
    </row>
    <row r="53" spans="1:15">
      <c r="A53" s="2716"/>
      <c r="B53" s="2700"/>
      <c r="C53" s="74">
        <v>2016</v>
      </c>
      <c r="D53" s="40"/>
      <c r="E53" s="41"/>
      <c r="F53" s="41"/>
      <c r="G53" s="41"/>
      <c r="H53" s="41"/>
      <c r="I53" s="41"/>
      <c r="J53" s="41"/>
      <c r="K53" s="86"/>
    </row>
    <row r="54" spans="1:15">
      <c r="A54" s="2716"/>
      <c r="B54" s="2700"/>
      <c r="C54" s="74">
        <v>2017</v>
      </c>
      <c r="D54" s="40"/>
      <c r="E54" s="41"/>
      <c r="F54" s="41"/>
      <c r="G54" s="41"/>
      <c r="H54" s="41"/>
      <c r="I54" s="41"/>
      <c r="J54" s="41"/>
      <c r="K54" s="86"/>
    </row>
    <row r="55" spans="1:15">
      <c r="A55" s="2716"/>
      <c r="B55" s="2700"/>
      <c r="C55" s="74">
        <v>2018</v>
      </c>
      <c r="D55" s="40"/>
      <c r="E55" s="41"/>
      <c r="F55" s="41"/>
      <c r="G55" s="41"/>
      <c r="H55" s="41"/>
      <c r="I55" s="41"/>
      <c r="J55" s="41"/>
      <c r="K55" s="86"/>
    </row>
    <row r="56" spans="1:15">
      <c r="A56" s="2716"/>
      <c r="B56" s="2700"/>
      <c r="C56" s="74">
        <v>2019</v>
      </c>
      <c r="D56" s="40"/>
      <c r="E56" s="41"/>
      <c r="F56" s="41"/>
      <c r="G56" s="41"/>
      <c r="H56" s="41"/>
      <c r="I56" s="41"/>
      <c r="J56" s="41"/>
      <c r="K56" s="86"/>
    </row>
    <row r="57" spans="1:15">
      <c r="A57" s="2716"/>
      <c r="B57" s="2700"/>
      <c r="C57" s="74">
        <v>2020</v>
      </c>
      <c r="D57" s="40"/>
      <c r="E57" s="41"/>
      <c r="F57" s="41"/>
      <c r="G57" s="41"/>
      <c r="H57" s="41"/>
      <c r="I57" s="41"/>
      <c r="J57" s="41"/>
      <c r="K57" s="87"/>
    </row>
    <row r="58" spans="1:15" ht="20.25" customHeight="1" thickBot="1">
      <c r="A58" s="2710"/>
      <c r="B58" s="2701"/>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683" t="s">
        <v>41</v>
      </c>
      <c r="B60" s="2714" t="s">
        <v>8</v>
      </c>
      <c r="C60" s="2685" t="s">
        <v>9</v>
      </c>
      <c r="D60" s="1993" t="s">
        <v>42</v>
      </c>
      <c r="E60" s="89" t="s">
        <v>6</v>
      </c>
      <c r="F60" s="90"/>
      <c r="G60" s="90"/>
      <c r="H60" s="90"/>
      <c r="I60" s="90"/>
      <c r="J60" s="90"/>
      <c r="K60" s="90"/>
      <c r="L60" s="91"/>
    </row>
    <row r="61" spans="1:15" ht="115.5" customHeight="1">
      <c r="A61" s="2030"/>
      <c r="B61" s="2715"/>
      <c r="C61" s="2032"/>
      <c r="D61" s="1994"/>
      <c r="E61" s="93" t="s">
        <v>14</v>
      </c>
      <c r="F61" s="94" t="s">
        <v>15</v>
      </c>
      <c r="G61" s="94" t="s">
        <v>16</v>
      </c>
      <c r="H61" s="95" t="s">
        <v>17</v>
      </c>
      <c r="I61" s="95" t="s">
        <v>18</v>
      </c>
      <c r="J61" s="96" t="s">
        <v>19</v>
      </c>
      <c r="K61" s="94" t="s">
        <v>20</v>
      </c>
      <c r="L61" s="97" t="s">
        <v>21</v>
      </c>
      <c r="M61" s="98"/>
      <c r="N61" s="8"/>
      <c r="O61" s="8"/>
    </row>
    <row r="62" spans="1:15">
      <c r="A62" s="2702"/>
      <c r="B62" s="2692" t="s">
        <v>165</v>
      </c>
      <c r="C62" s="99">
        <v>2014</v>
      </c>
      <c r="D62" s="100"/>
      <c r="E62" s="101"/>
      <c r="F62" s="102"/>
      <c r="G62" s="102"/>
      <c r="H62" s="102"/>
      <c r="I62" s="102"/>
      <c r="J62" s="102"/>
      <c r="K62" s="102"/>
      <c r="L62" s="37"/>
      <c r="M62" s="8"/>
      <c r="N62" s="8"/>
      <c r="O62" s="8"/>
    </row>
    <row r="63" spans="1:15">
      <c r="A63" s="2703"/>
      <c r="B63" s="2208"/>
      <c r="C63" s="103">
        <v>2015</v>
      </c>
      <c r="D63" s="104"/>
      <c r="E63" s="105"/>
      <c r="F63" s="41"/>
      <c r="G63" s="41"/>
      <c r="H63" s="41"/>
      <c r="I63" s="41"/>
      <c r="J63" s="41"/>
      <c r="K63" s="41"/>
      <c r="L63" s="86"/>
      <c r="M63" s="8"/>
      <c r="N63" s="8"/>
      <c r="O63" s="8"/>
    </row>
    <row r="64" spans="1:15">
      <c r="A64" s="2703"/>
      <c r="B64" s="2208"/>
      <c r="C64" s="103">
        <v>2016</v>
      </c>
      <c r="D64" s="104">
        <v>19</v>
      </c>
      <c r="E64" s="105">
        <v>19</v>
      </c>
      <c r="F64" s="41"/>
      <c r="G64" s="41"/>
      <c r="H64" s="41"/>
      <c r="I64" s="41"/>
      <c r="J64" s="41"/>
      <c r="K64" s="41"/>
      <c r="L64" s="86"/>
      <c r="M64" s="8"/>
      <c r="N64" s="8"/>
      <c r="O64" s="8"/>
    </row>
    <row r="65" spans="1:20">
      <c r="A65" s="2703"/>
      <c r="B65" s="2208"/>
      <c r="C65" s="103">
        <v>2017</v>
      </c>
      <c r="D65" s="104">
        <v>18</v>
      </c>
      <c r="E65" s="105">
        <v>18</v>
      </c>
      <c r="F65" s="41"/>
      <c r="G65" s="41"/>
      <c r="H65" s="41"/>
      <c r="I65" s="41"/>
      <c r="J65" s="41"/>
      <c r="K65" s="41"/>
      <c r="L65" s="86"/>
      <c r="M65" s="8"/>
      <c r="N65" s="8"/>
      <c r="O65" s="8"/>
    </row>
    <row r="66" spans="1:20">
      <c r="A66" s="2703"/>
      <c r="B66" s="2208"/>
      <c r="C66" s="103">
        <v>2018</v>
      </c>
      <c r="D66" s="104"/>
      <c r="E66" s="105"/>
      <c r="F66" s="41"/>
      <c r="G66" s="41"/>
      <c r="H66" s="41"/>
      <c r="I66" s="41"/>
      <c r="J66" s="41"/>
      <c r="K66" s="41"/>
      <c r="L66" s="86"/>
      <c r="M66" s="8"/>
      <c r="N66" s="8"/>
      <c r="O66" s="8"/>
    </row>
    <row r="67" spans="1:20" ht="17.25" customHeight="1">
      <c r="A67" s="2703"/>
      <c r="B67" s="2208"/>
      <c r="C67" s="103">
        <v>2019</v>
      </c>
      <c r="D67" s="104"/>
      <c r="E67" s="105"/>
      <c r="F67" s="41"/>
      <c r="G67" s="41"/>
      <c r="H67" s="41"/>
      <c r="I67" s="41"/>
      <c r="J67" s="41"/>
      <c r="K67" s="41"/>
      <c r="L67" s="86"/>
      <c r="M67" s="8"/>
      <c r="N67" s="8"/>
      <c r="O67" s="8"/>
    </row>
    <row r="68" spans="1:20" ht="16.5" customHeight="1">
      <c r="A68" s="2703"/>
      <c r="B68" s="2208"/>
      <c r="C68" s="103">
        <v>2020</v>
      </c>
      <c r="D68" s="104"/>
      <c r="E68" s="105"/>
      <c r="F68" s="41"/>
      <c r="G68" s="41"/>
      <c r="H68" s="41"/>
      <c r="I68" s="41"/>
      <c r="J68" s="41"/>
      <c r="K68" s="41"/>
      <c r="L68" s="86"/>
      <c r="M68" s="77"/>
      <c r="N68" s="77"/>
      <c r="O68" s="77"/>
    </row>
    <row r="69" spans="1:20" ht="106.5" customHeight="1" thickBot="1">
      <c r="A69" s="2704"/>
      <c r="B69" s="2209"/>
      <c r="C69" s="106" t="s">
        <v>13</v>
      </c>
      <c r="D69" s="107">
        <f>SUM(D62:D68)</f>
        <v>37</v>
      </c>
      <c r="E69" s="108">
        <f>SUM(E62:E68)</f>
        <v>37</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67" t="s">
        <v>44</v>
      </c>
      <c r="B71" s="68"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708"/>
      <c r="B72" s="2705"/>
      <c r="C72" s="73">
        <v>2014</v>
      </c>
      <c r="D72" s="124"/>
      <c r="E72" s="124"/>
      <c r="F72" s="124"/>
      <c r="G72" s="125">
        <f>SUM(D72:F72)</f>
        <v>0</v>
      </c>
      <c r="H72" s="33"/>
      <c r="I72" s="126"/>
      <c r="J72" s="102"/>
      <c r="K72" s="102"/>
      <c r="L72" s="102"/>
      <c r="M72" s="102"/>
      <c r="N72" s="102"/>
      <c r="O72" s="127"/>
    </row>
    <row r="73" spans="1:20">
      <c r="A73" s="2709"/>
      <c r="B73" s="2706"/>
      <c r="C73" s="74">
        <v>2015</v>
      </c>
      <c r="D73" s="128"/>
      <c r="E73" s="128"/>
      <c r="F73" s="128"/>
      <c r="G73" s="125">
        <f t="shared" ref="G73:G78" si="5">SUM(D73:F73)</f>
        <v>0</v>
      </c>
      <c r="H73" s="40"/>
      <c r="I73" s="40"/>
      <c r="J73" s="41"/>
      <c r="K73" s="41"/>
      <c r="L73" s="41"/>
      <c r="M73" s="41"/>
      <c r="N73" s="41"/>
      <c r="O73" s="86"/>
    </row>
    <row r="74" spans="1:20">
      <c r="A74" s="2709"/>
      <c r="B74" s="2706"/>
      <c r="C74" s="74">
        <v>2016</v>
      </c>
      <c r="D74" s="128"/>
      <c r="E74" s="128"/>
      <c r="F74" s="128"/>
      <c r="G74" s="125">
        <f t="shared" si="5"/>
        <v>0</v>
      </c>
      <c r="H74" s="40"/>
      <c r="I74" s="40"/>
      <c r="J74" s="41"/>
      <c r="K74" s="41"/>
      <c r="L74" s="41"/>
      <c r="M74" s="41"/>
      <c r="N74" s="41"/>
      <c r="O74" s="86"/>
    </row>
    <row r="75" spans="1:20">
      <c r="A75" s="2709"/>
      <c r="B75" s="2706"/>
      <c r="C75" s="74">
        <v>2017</v>
      </c>
      <c r="D75" s="128"/>
      <c r="E75" s="128"/>
      <c r="F75" s="128"/>
      <c r="G75" s="125">
        <f t="shared" si="5"/>
        <v>0</v>
      </c>
      <c r="H75" s="40"/>
      <c r="I75" s="40"/>
      <c r="J75" s="41"/>
      <c r="K75" s="41"/>
      <c r="L75" s="41"/>
      <c r="M75" s="41"/>
      <c r="N75" s="41"/>
      <c r="O75" s="86"/>
    </row>
    <row r="76" spans="1:20">
      <c r="A76" s="2709"/>
      <c r="B76" s="2706"/>
      <c r="C76" s="74">
        <v>2018</v>
      </c>
      <c r="D76" s="128"/>
      <c r="E76" s="128"/>
      <c r="F76" s="128"/>
      <c r="G76" s="125">
        <f t="shared" si="5"/>
        <v>0</v>
      </c>
      <c r="H76" s="40"/>
      <c r="I76" s="40"/>
      <c r="J76" s="41"/>
      <c r="K76" s="41"/>
      <c r="L76" s="41"/>
      <c r="M76" s="41"/>
      <c r="N76" s="41"/>
      <c r="O76" s="86"/>
    </row>
    <row r="77" spans="1:20" ht="15.75" customHeight="1">
      <c r="A77" s="2709"/>
      <c r="B77" s="2706"/>
      <c r="C77" s="74">
        <v>2019</v>
      </c>
      <c r="D77" s="128"/>
      <c r="E77" s="128"/>
      <c r="F77" s="128"/>
      <c r="G77" s="125">
        <f t="shared" si="5"/>
        <v>0</v>
      </c>
      <c r="H77" s="40"/>
      <c r="I77" s="40"/>
      <c r="J77" s="41"/>
      <c r="K77" s="41"/>
      <c r="L77" s="41"/>
      <c r="M77" s="41"/>
      <c r="N77" s="41"/>
      <c r="O77" s="86"/>
    </row>
    <row r="78" spans="1:20" ht="17.25" customHeight="1">
      <c r="A78" s="2709"/>
      <c r="B78" s="2706"/>
      <c r="C78" s="74">
        <v>2020</v>
      </c>
      <c r="D78" s="128"/>
      <c r="E78" s="128"/>
      <c r="F78" s="128"/>
      <c r="G78" s="125">
        <f t="shared" si="5"/>
        <v>0</v>
      </c>
      <c r="H78" s="40"/>
      <c r="I78" s="40"/>
      <c r="J78" s="41"/>
      <c r="K78" s="41"/>
      <c r="L78" s="41"/>
      <c r="M78" s="41"/>
      <c r="N78" s="41"/>
      <c r="O78" s="86"/>
    </row>
    <row r="79" spans="1:20" ht="20.25" customHeight="1" thickBot="1">
      <c r="A79" s="2710"/>
      <c r="B79" s="2707"/>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140" t="s">
        <v>50</v>
      </c>
      <c r="B84" s="141" t="s">
        <v>51</v>
      </c>
      <c r="C84" s="142" t="s">
        <v>9</v>
      </c>
      <c r="D84" s="143" t="s">
        <v>52</v>
      </c>
      <c r="E84" s="144" t="s">
        <v>53</v>
      </c>
      <c r="F84" s="145" t="s">
        <v>54</v>
      </c>
      <c r="G84" s="145" t="s">
        <v>55</v>
      </c>
      <c r="H84" s="145" t="s">
        <v>56</v>
      </c>
      <c r="I84" s="145" t="s">
        <v>57</v>
      </c>
      <c r="J84" s="145" t="s">
        <v>58</v>
      </c>
      <c r="K84" s="146" t="s">
        <v>59</v>
      </c>
    </row>
    <row r="85" spans="1:16" ht="15" customHeight="1">
      <c r="A85" s="2711"/>
      <c r="B85" s="2705"/>
      <c r="C85" s="73">
        <v>2014</v>
      </c>
      <c r="D85" s="147"/>
      <c r="E85" s="148"/>
      <c r="F85" s="34"/>
      <c r="G85" s="34"/>
      <c r="H85" s="34"/>
      <c r="I85" s="34"/>
      <c r="J85" s="34"/>
      <c r="K85" s="37"/>
    </row>
    <row r="86" spans="1:16">
      <c r="A86" s="2712"/>
      <c r="B86" s="2706"/>
      <c r="C86" s="74">
        <v>2015</v>
      </c>
      <c r="D86" s="149"/>
      <c r="E86" s="105"/>
      <c r="F86" s="41"/>
      <c r="G86" s="41"/>
      <c r="H86" s="41"/>
      <c r="I86" s="41"/>
      <c r="J86" s="41"/>
      <c r="K86" s="86"/>
    </row>
    <row r="87" spans="1:16">
      <c r="A87" s="2712"/>
      <c r="B87" s="2706"/>
      <c r="C87" s="74">
        <v>2016</v>
      </c>
      <c r="D87" s="149"/>
      <c r="E87" s="105"/>
      <c r="F87" s="41"/>
      <c r="G87" s="41"/>
      <c r="H87" s="41"/>
      <c r="I87" s="41"/>
      <c r="J87" s="41"/>
      <c r="K87" s="86"/>
    </row>
    <row r="88" spans="1:16">
      <c r="A88" s="2712"/>
      <c r="B88" s="2706"/>
      <c r="C88" s="74">
        <v>2017</v>
      </c>
      <c r="D88" s="149"/>
      <c r="E88" s="105"/>
      <c r="F88" s="41"/>
      <c r="G88" s="41"/>
      <c r="H88" s="41"/>
      <c r="I88" s="41"/>
      <c r="J88" s="41"/>
      <c r="K88" s="86"/>
    </row>
    <row r="89" spans="1:16">
      <c r="A89" s="2712"/>
      <c r="B89" s="2706"/>
      <c r="C89" s="74">
        <v>2018</v>
      </c>
      <c r="D89" s="149"/>
      <c r="E89" s="105"/>
      <c r="F89" s="41"/>
      <c r="G89" s="41"/>
      <c r="H89" s="41"/>
      <c r="I89" s="41"/>
      <c r="J89" s="41"/>
      <c r="K89" s="86"/>
    </row>
    <row r="90" spans="1:16">
      <c r="A90" s="2712"/>
      <c r="B90" s="2706"/>
      <c r="C90" s="74">
        <v>2019</v>
      </c>
      <c r="D90" s="149"/>
      <c r="E90" s="105"/>
      <c r="F90" s="41"/>
      <c r="G90" s="41"/>
      <c r="H90" s="41"/>
      <c r="I90" s="41"/>
      <c r="J90" s="41"/>
      <c r="K90" s="86"/>
    </row>
    <row r="91" spans="1:16">
      <c r="A91" s="2712"/>
      <c r="B91" s="2706"/>
      <c r="C91" s="74">
        <v>2020</v>
      </c>
      <c r="D91" s="149"/>
      <c r="E91" s="105"/>
      <c r="F91" s="41"/>
      <c r="G91" s="41"/>
      <c r="H91" s="41"/>
      <c r="I91" s="41"/>
      <c r="J91" s="41"/>
      <c r="K91" s="86"/>
    </row>
    <row r="92" spans="1:16" ht="18" customHeight="1" thickBot="1">
      <c r="A92" s="2713"/>
      <c r="B92" s="2707"/>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671" t="s">
        <v>61</v>
      </c>
      <c r="B96" s="2673" t="s">
        <v>62</v>
      </c>
      <c r="C96" s="2677"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702"/>
      <c r="B98" s="2705"/>
      <c r="C98" s="99">
        <v>2014</v>
      </c>
      <c r="D98" s="33"/>
      <c r="E98" s="34"/>
      <c r="F98" s="167"/>
      <c r="G98" s="168"/>
      <c r="H98" s="168"/>
      <c r="I98" s="168"/>
      <c r="J98" s="168"/>
      <c r="K98" s="168"/>
      <c r="L98" s="168"/>
      <c r="M98" s="169"/>
      <c r="N98" s="158"/>
      <c r="O98" s="158"/>
      <c r="P98" s="158"/>
    </row>
    <row r="99" spans="1:16" ht="16.5" customHeight="1">
      <c r="A99" s="2703"/>
      <c r="B99" s="2706"/>
      <c r="C99" s="103">
        <v>2015</v>
      </c>
      <c r="D99" s="40"/>
      <c r="E99" s="41"/>
      <c r="F99" s="170"/>
      <c r="G99" s="171"/>
      <c r="H99" s="171"/>
      <c r="I99" s="171"/>
      <c r="J99" s="171"/>
      <c r="K99" s="171"/>
      <c r="L99" s="171"/>
      <c r="M99" s="172"/>
      <c r="N99" s="158"/>
      <c r="O99" s="158"/>
      <c r="P99" s="158"/>
    </row>
    <row r="100" spans="1:16" ht="16.5" customHeight="1">
      <c r="A100" s="2703"/>
      <c r="B100" s="2706"/>
      <c r="C100" s="103">
        <v>2016</v>
      </c>
      <c r="D100" s="40"/>
      <c r="E100" s="41"/>
      <c r="F100" s="170"/>
      <c r="G100" s="171"/>
      <c r="H100" s="171"/>
      <c r="I100" s="171"/>
      <c r="J100" s="171"/>
      <c r="K100" s="171"/>
      <c r="L100" s="171"/>
      <c r="M100" s="172"/>
      <c r="N100" s="158"/>
      <c r="O100" s="158"/>
      <c r="P100" s="158"/>
    </row>
    <row r="101" spans="1:16" ht="16.5" customHeight="1">
      <c r="A101" s="2703"/>
      <c r="B101" s="2706"/>
      <c r="C101" s="103">
        <v>2017</v>
      </c>
      <c r="D101" s="40"/>
      <c r="E101" s="41"/>
      <c r="F101" s="170"/>
      <c r="G101" s="171"/>
      <c r="H101" s="171"/>
      <c r="I101" s="171"/>
      <c r="J101" s="171"/>
      <c r="K101" s="171"/>
      <c r="L101" s="171"/>
      <c r="M101" s="172"/>
      <c r="N101" s="158"/>
      <c r="O101" s="158"/>
      <c r="P101" s="158"/>
    </row>
    <row r="102" spans="1:16" ht="15.75" customHeight="1">
      <c r="A102" s="2703"/>
      <c r="B102" s="2706"/>
      <c r="C102" s="103">
        <v>2018</v>
      </c>
      <c r="D102" s="40"/>
      <c r="E102" s="41"/>
      <c r="F102" s="170"/>
      <c r="G102" s="171"/>
      <c r="H102" s="171"/>
      <c r="I102" s="171"/>
      <c r="J102" s="171"/>
      <c r="K102" s="171"/>
      <c r="L102" s="171"/>
      <c r="M102" s="172"/>
      <c r="N102" s="158"/>
      <c r="O102" s="158"/>
      <c r="P102" s="158"/>
    </row>
    <row r="103" spans="1:16" ht="14.25" customHeight="1">
      <c r="A103" s="2703"/>
      <c r="B103" s="2706"/>
      <c r="C103" s="103">
        <v>2019</v>
      </c>
      <c r="D103" s="40"/>
      <c r="E103" s="41"/>
      <c r="F103" s="170"/>
      <c r="G103" s="171"/>
      <c r="H103" s="171"/>
      <c r="I103" s="171"/>
      <c r="J103" s="171"/>
      <c r="K103" s="171"/>
      <c r="L103" s="171"/>
      <c r="M103" s="172"/>
      <c r="N103" s="158"/>
      <c r="O103" s="158"/>
      <c r="P103" s="158"/>
    </row>
    <row r="104" spans="1:16" ht="14.25" customHeight="1">
      <c r="A104" s="2703"/>
      <c r="B104" s="2706"/>
      <c r="C104" s="103">
        <v>2020</v>
      </c>
      <c r="D104" s="40"/>
      <c r="E104" s="41"/>
      <c r="F104" s="170"/>
      <c r="G104" s="171"/>
      <c r="H104" s="171"/>
      <c r="I104" s="171"/>
      <c r="J104" s="171"/>
      <c r="K104" s="171"/>
      <c r="L104" s="171"/>
      <c r="M104" s="172"/>
      <c r="N104" s="158"/>
      <c r="O104" s="158"/>
      <c r="P104" s="158"/>
    </row>
    <row r="105" spans="1:16" ht="19.5" customHeight="1" thickBot="1">
      <c r="A105" s="2704"/>
      <c r="B105" s="2707"/>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671" t="s">
        <v>69</v>
      </c>
      <c r="B107" s="2673" t="s">
        <v>62</v>
      </c>
      <c r="C107" s="2677"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702"/>
      <c r="B109" s="2705"/>
      <c r="C109" s="99">
        <v>2014</v>
      </c>
      <c r="D109" s="34"/>
      <c r="E109" s="167"/>
      <c r="F109" s="168"/>
      <c r="G109" s="168"/>
      <c r="H109" s="168"/>
      <c r="I109" s="168"/>
      <c r="J109" s="168"/>
      <c r="K109" s="168"/>
      <c r="L109" s="169"/>
      <c r="M109" s="178"/>
      <c r="N109" s="178"/>
    </row>
    <row r="110" spans="1:16">
      <c r="A110" s="2703"/>
      <c r="B110" s="2706"/>
      <c r="C110" s="103">
        <v>2015</v>
      </c>
      <c r="D110" s="41"/>
      <c r="E110" s="170"/>
      <c r="F110" s="171"/>
      <c r="G110" s="171"/>
      <c r="H110" s="171"/>
      <c r="I110" s="171"/>
      <c r="J110" s="171"/>
      <c r="K110" s="171"/>
      <c r="L110" s="172"/>
      <c r="M110" s="178"/>
      <c r="N110" s="178"/>
    </row>
    <row r="111" spans="1:16">
      <c r="A111" s="2703"/>
      <c r="B111" s="2706"/>
      <c r="C111" s="103">
        <v>2016</v>
      </c>
      <c r="D111" s="41"/>
      <c r="E111" s="170"/>
      <c r="F111" s="171"/>
      <c r="G111" s="171"/>
      <c r="H111" s="171"/>
      <c r="I111" s="171"/>
      <c r="J111" s="171"/>
      <c r="K111" s="171"/>
      <c r="L111" s="172"/>
      <c r="M111" s="178"/>
      <c r="N111" s="178"/>
    </row>
    <row r="112" spans="1:16">
      <c r="A112" s="2703"/>
      <c r="B112" s="2706"/>
      <c r="C112" s="103">
        <v>2017</v>
      </c>
      <c r="D112" s="41"/>
      <c r="E112" s="170"/>
      <c r="F112" s="171"/>
      <c r="G112" s="171"/>
      <c r="H112" s="171"/>
      <c r="I112" s="171"/>
      <c r="J112" s="171"/>
      <c r="K112" s="171"/>
      <c r="L112" s="172"/>
      <c r="M112" s="178"/>
      <c r="N112" s="178"/>
    </row>
    <row r="113" spans="1:14">
      <c r="A113" s="2703"/>
      <c r="B113" s="2706"/>
      <c r="C113" s="103">
        <v>2018</v>
      </c>
      <c r="D113" s="41"/>
      <c r="E113" s="170"/>
      <c r="F113" s="171"/>
      <c r="G113" s="171"/>
      <c r="H113" s="171"/>
      <c r="I113" s="171"/>
      <c r="J113" s="171"/>
      <c r="K113" s="171"/>
      <c r="L113" s="172"/>
      <c r="M113" s="178"/>
      <c r="N113" s="178"/>
    </row>
    <row r="114" spans="1:14">
      <c r="A114" s="2703"/>
      <c r="B114" s="2706"/>
      <c r="C114" s="103">
        <v>2019</v>
      </c>
      <c r="D114" s="41"/>
      <c r="E114" s="170"/>
      <c r="F114" s="171"/>
      <c r="G114" s="171"/>
      <c r="H114" s="171"/>
      <c r="I114" s="171"/>
      <c r="J114" s="171"/>
      <c r="K114" s="171"/>
      <c r="L114" s="172"/>
      <c r="M114" s="178"/>
      <c r="N114" s="178"/>
    </row>
    <row r="115" spans="1:14">
      <c r="A115" s="2703"/>
      <c r="B115" s="2706"/>
      <c r="C115" s="103">
        <v>2020</v>
      </c>
      <c r="D115" s="41"/>
      <c r="E115" s="170"/>
      <c r="F115" s="171"/>
      <c r="G115" s="171"/>
      <c r="H115" s="171"/>
      <c r="I115" s="171"/>
      <c r="J115" s="171"/>
      <c r="K115" s="171"/>
      <c r="L115" s="172"/>
      <c r="M115" s="178"/>
      <c r="N115" s="178"/>
    </row>
    <row r="116" spans="1:14" ht="25.5" customHeight="1" thickBot="1">
      <c r="A116" s="2704"/>
      <c r="B116" s="2707"/>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671" t="s">
        <v>72</v>
      </c>
      <c r="B118" s="2673" t="s">
        <v>62</v>
      </c>
      <c r="C118" s="2677"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702"/>
      <c r="B120" s="2705"/>
      <c r="C120" s="99">
        <v>2014</v>
      </c>
      <c r="D120" s="34"/>
      <c r="E120" s="167"/>
      <c r="F120" s="168"/>
      <c r="G120" s="168"/>
      <c r="H120" s="168"/>
      <c r="I120" s="168"/>
      <c r="J120" s="168"/>
      <c r="K120" s="168"/>
      <c r="L120" s="169"/>
      <c r="M120" s="178"/>
      <c r="N120" s="178"/>
    </row>
    <row r="121" spans="1:14">
      <c r="A121" s="2703"/>
      <c r="B121" s="2706"/>
      <c r="C121" s="103">
        <v>2015</v>
      </c>
      <c r="D121" s="41"/>
      <c r="E121" s="170"/>
      <c r="F121" s="171"/>
      <c r="G121" s="171"/>
      <c r="H121" s="171"/>
      <c r="I121" s="171"/>
      <c r="J121" s="171"/>
      <c r="K121" s="171"/>
      <c r="L121" s="172"/>
      <c r="M121" s="178"/>
      <c r="N121" s="178"/>
    </row>
    <row r="122" spans="1:14">
      <c r="A122" s="2703"/>
      <c r="B122" s="2706"/>
      <c r="C122" s="103">
        <v>2016</v>
      </c>
      <c r="D122" s="41"/>
      <c r="E122" s="170"/>
      <c r="F122" s="171"/>
      <c r="G122" s="171"/>
      <c r="H122" s="171"/>
      <c r="I122" s="171"/>
      <c r="J122" s="171"/>
      <c r="K122" s="171"/>
      <c r="L122" s="172"/>
      <c r="M122" s="178"/>
      <c r="N122" s="178"/>
    </row>
    <row r="123" spans="1:14">
      <c r="A123" s="2703"/>
      <c r="B123" s="2706"/>
      <c r="C123" s="103">
        <v>2017</v>
      </c>
      <c r="D123" s="41"/>
      <c r="E123" s="170"/>
      <c r="F123" s="171"/>
      <c r="G123" s="171"/>
      <c r="H123" s="171"/>
      <c r="I123" s="171"/>
      <c r="J123" s="171"/>
      <c r="K123" s="171"/>
      <c r="L123" s="172"/>
      <c r="M123" s="178"/>
      <c r="N123" s="178"/>
    </row>
    <row r="124" spans="1:14">
      <c r="A124" s="2703"/>
      <c r="B124" s="2706"/>
      <c r="C124" s="103">
        <v>2018</v>
      </c>
      <c r="D124" s="41"/>
      <c r="E124" s="170"/>
      <c r="F124" s="171"/>
      <c r="G124" s="171"/>
      <c r="H124" s="171"/>
      <c r="I124" s="171"/>
      <c r="J124" s="171"/>
      <c r="K124" s="171"/>
      <c r="L124" s="172"/>
      <c r="M124" s="178"/>
      <c r="N124" s="178"/>
    </row>
    <row r="125" spans="1:14">
      <c r="A125" s="2703"/>
      <c r="B125" s="2706"/>
      <c r="C125" s="103">
        <v>2019</v>
      </c>
      <c r="D125" s="41"/>
      <c r="E125" s="170"/>
      <c r="F125" s="171"/>
      <c r="G125" s="171"/>
      <c r="H125" s="171"/>
      <c r="I125" s="171"/>
      <c r="J125" s="171"/>
      <c r="K125" s="171"/>
      <c r="L125" s="172"/>
      <c r="M125" s="178"/>
      <c r="N125" s="178"/>
    </row>
    <row r="126" spans="1:14">
      <c r="A126" s="2703"/>
      <c r="B126" s="2706"/>
      <c r="C126" s="103">
        <v>2020</v>
      </c>
      <c r="D126" s="41"/>
      <c r="E126" s="170"/>
      <c r="F126" s="171"/>
      <c r="G126" s="171"/>
      <c r="H126" s="171"/>
      <c r="I126" s="171"/>
      <c r="J126" s="171"/>
      <c r="K126" s="171"/>
      <c r="L126" s="172"/>
      <c r="M126" s="178"/>
      <c r="N126" s="178"/>
    </row>
    <row r="127" spans="1:14" ht="15.75" thickBot="1">
      <c r="A127" s="2704"/>
      <c r="B127" s="2707"/>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671" t="s">
        <v>75</v>
      </c>
      <c r="B129" s="2673" t="s">
        <v>62</v>
      </c>
      <c r="C129" s="181" t="s">
        <v>9</v>
      </c>
      <c r="D129" s="182" t="s">
        <v>76</v>
      </c>
      <c r="E129" s="183"/>
      <c r="F129" s="183"/>
      <c r="G129" s="184"/>
      <c r="H129" s="178"/>
      <c r="I129" s="178"/>
      <c r="J129" s="178"/>
      <c r="K129" s="178"/>
      <c r="L129" s="178"/>
      <c r="M129" s="178"/>
      <c r="N129" s="178"/>
    </row>
    <row r="130" spans="1:16" ht="77.25" customHeight="1">
      <c r="A130" s="2044"/>
      <c r="B130" s="2046"/>
      <c r="C130" s="185"/>
      <c r="D130" s="159" t="s">
        <v>77</v>
      </c>
      <c r="E130" s="186" t="s">
        <v>78</v>
      </c>
      <c r="F130" s="160" t="s">
        <v>79</v>
      </c>
      <c r="G130" s="187" t="s">
        <v>13</v>
      </c>
      <c r="H130" s="178"/>
      <c r="I130" s="178"/>
      <c r="J130" s="178"/>
      <c r="K130" s="178"/>
      <c r="L130" s="178"/>
      <c r="M130" s="178"/>
      <c r="N130" s="178"/>
    </row>
    <row r="131" spans="1:16" ht="15" customHeight="1">
      <c r="A131" s="2708"/>
      <c r="B131" s="2177"/>
      <c r="C131" s="99">
        <v>2015</v>
      </c>
      <c r="D131" s="33"/>
      <c r="E131" s="34"/>
      <c r="F131" s="34"/>
      <c r="G131" s="191">
        <f t="shared" ref="G131:G136" si="11">SUM(D131:F131)</f>
        <v>0</v>
      </c>
      <c r="H131" s="178"/>
      <c r="I131" s="178"/>
      <c r="J131" s="178"/>
      <c r="K131" s="178"/>
      <c r="L131" s="178"/>
      <c r="M131" s="178"/>
      <c r="N131" s="178"/>
    </row>
    <row r="132" spans="1:16">
      <c r="A132" s="2709"/>
      <c r="B132" s="2171"/>
      <c r="C132" s="103">
        <v>2016</v>
      </c>
      <c r="D132" s="40"/>
      <c r="E132" s="41"/>
      <c r="F132" s="41"/>
      <c r="G132" s="191">
        <f t="shared" si="11"/>
        <v>0</v>
      </c>
      <c r="H132" s="178"/>
      <c r="I132" s="178"/>
      <c r="J132" s="178"/>
      <c r="K132" s="178"/>
      <c r="L132" s="178"/>
      <c r="M132" s="178"/>
      <c r="N132" s="178"/>
    </row>
    <row r="133" spans="1:16">
      <c r="A133" s="2709"/>
      <c r="B133" s="2171"/>
      <c r="C133" s="103">
        <v>2017</v>
      </c>
      <c r="D133" s="40"/>
      <c r="E133" s="41"/>
      <c r="F133" s="41"/>
      <c r="G133" s="191">
        <f t="shared" si="11"/>
        <v>0</v>
      </c>
      <c r="H133" s="178"/>
      <c r="I133" s="178"/>
      <c r="J133" s="178"/>
      <c r="K133" s="178"/>
      <c r="L133" s="178"/>
      <c r="M133" s="178"/>
      <c r="N133" s="178"/>
    </row>
    <row r="134" spans="1:16">
      <c r="A134" s="2709"/>
      <c r="B134" s="2171"/>
      <c r="C134" s="103">
        <v>2018</v>
      </c>
      <c r="D134" s="40"/>
      <c r="E134" s="41"/>
      <c r="F134" s="41"/>
      <c r="G134" s="191">
        <f t="shared" si="11"/>
        <v>0</v>
      </c>
      <c r="H134" s="178"/>
      <c r="I134" s="178"/>
      <c r="J134" s="178"/>
      <c r="K134" s="178"/>
      <c r="L134" s="178"/>
      <c r="M134" s="178"/>
      <c r="N134" s="178"/>
    </row>
    <row r="135" spans="1:16">
      <c r="A135" s="2709"/>
      <c r="B135" s="2171"/>
      <c r="C135" s="103">
        <v>2019</v>
      </c>
      <c r="D135" s="40"/>
      <c r="E135" s="41"/>
      <c r="F135" s="41"/>
      <c r="G135" s="191">
        <f t="shared" si="11"/>
        <v>0</v>
      </c>
      <c r="H135" s="178"/>
      <c r="I135" s="178"/>
      <c r="J135" s="178"/>
      <c r="K135" s="178"/>
      <c r="L135" s="178"/>
      <c r="M135" s="178"/>
      <c r="N135" s="178"/>
    </row>
    <row r="136" spans="1:16">
      <c r="A136" s="2709"/>
      <c r="B136" s="2171"/>
      <c r="C136" s="103">
        <v>2020</v>
      </c>
      <c r="D136" s="40"/>
      <c r="E136" s="41"/>
      <c r="F136" s="41"/>
      <c r="G136" s="191">
        <f t="shared" si="11"/>
        <v>0</v>
      </c>
      <c r="H136" s="178"/>
      <c r="I136" s="178"/>
      <c r="J136" s="178"/>
      <c r="K136" s="178"/>
      <c r="L136" s="178"/>
      <c r="M136" s="178"/>
      <c r="N136" s="178"/>
    </row>
    <row r="137" spans="1:16" ht="17.25" customHeight="1" thickBot="1">
      <c r="A137" s="2710"/>
      <c r="B137" s="2172"/>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675" t="s">
        <v>81</v>
      </c>
      <c r="B142" s="2665" t="s">
        <v>62</v>
      </c>
      <c r="C142" s="2667" t="s">
        <v>9</v>
      </c>
      <c r="D142" s="200" t="s">
        <v>82</v>
      </c>
      <c r="E142" s="201"/>
      <c r="F142" s="201"/>
      <c r="G142" s="201"/>
      <c r="H142" s="201"/>
      <c r="I142" s="202"/>
      <c r="J142" s="2660" t="s">
        <v>83</v>
      </c>
      <c r="K142" s="2661"/>
      <c r="L142" s="2661"/>
      <c r="M142" s="2661"/>
      <c r="N142" s="2662"/>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702"/>
      <c r="B144" s="2705"/>
      <c r="C144" s="99">
        <v>2014</v>
      </c>
      <c r="D144" s="33"/>
      <c r="E144" s="33"/>
      <c r="F144" s="34"/>
      <c r="G144" s="168"/>
      <c r="H144" s="168"/>
      <c r="I144" s="210">
        <f>D144+F144+G144+H144</f>
        <v>0</v>
      </c>
      <c r="J144" s="211"/>
      <c r="K144" s="212"/>
      <c r="L144" s="211"/>
      <c r="M144" s="212"/>
      <c r="N144" s="213"/>
      <c r="O144" s="158"/>
      <c r="P144" s="158"/>
    </row>
    <row r="145" spans="1:16" ht="19.5" customHeight="1">
      <c r="A145" s="2703"/>
      <c r="B145" s="2706"/>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703"/>
      <c r="B146" s="2706"/>
      <c r="C146" s="103">
        <v>2016</v>
      </c>
      <c r="D146" s="40"/>
      <c r="E146" s="40"/>
      <c r="F146" s="41"/>
      <c r="G146" s="171"/>
      <c r="H146" s="171"/>
      <c r="I146" s="210">
        <f t="shared" si="13"/>
        <v>0</v>
      </c>
      <c r="J146" s="214"/>
      <c r="K146" s="215"/>
      <c r="L146" s="214"/>
      <c r="M146" s="215"/>
      <c r="N146" s="216"/>
      <c r="O146" s="158"/>
      <c r="P146" s="158"/>
    </row>
    <row r="147" spans="1:16" ht="17.25" customHeight="1">
      <c r="A147" s="2703"/>
      <c r="B147" s="2706"/>
      <c r="C147" s="103">
        <v>2017</v>
      </c>
      <c r="D147" s="40"/>
      <c r="E147" s="40"/>
      <c r="F147" s="41"/>
      <c r="G147" s="171"/>
      <c r="H147" s="171"/>
      <c r="I147" s="210">
        <f t="shared" si="13"/>
        <v>0</v>
      </c>
      <c r="J147" s="214"/>
      <c r="K147" s="215"/>
      <c r="L147" s="214"/>
      <c r="M147" s="215"/>
      <c r="N147" s="216"/>
      <c r="O147" s="158"/>
      <c r="P147" s="158"/>
    </row>
    <row r="148" spans="1:16" ht="19.5" customHeight="1">
      <c r="A148" s="2703"/>
      <c r="B148" s="2706"/>
      <c r="C148" s="103">
        <v>2018</v>
      </c>
      <c r="D148" s="40"/>
      <c r="E148" s="40"/>
      <c r="F148" s="41"/>
      <c r="G148" s="171"/>
      <c r="H148" s="171"/>
      <c r="I148" s="210">
        <f t="shared" si="13"/>
        <v>0</v>
      </c>
      <c r="J148" s="214"/>
      <c r="K148" s="215"/>
      <c r="L148" s="214"/>
      <c r="M148" s="215"/>
      <c r="N148" s="216"/>
      <c r="O148" s="158"/>
      <c r="P148" s="158"/>
    </row>
    <row r="149" spans="1:16" ht="19.5" customHeight="1">
      <c r="A149" s="2703"/>
      <c r="B149" s="2706"/>
      <c r="C149" s="103">
        <v>2019</v>
      </c>
      <c r="D149" s="40"/>
      <c r="E149" s="40"/>
      <c r="F149" s="41"/>
      <c r="G149" s="171"/>
      <c r="H149" s="171"/>
      <c r="I149" s="210">
        <f t="shared" si="13"/>
        <v>0</v>
      </c>
      <c r="J149" s="214"/>
      <c r="K149" s="215"/>
      <c r="L149" s="214"/>
      <c r="M149" s="215"/>
      <c r="N149" s="216"/>
      <c r="O149" s="158"/>
      <c r="P149" s="158"/>
    </row>
    <row r="150" spans="1:16" ht="18.75" customHeight="1">
      <c r="A150" s="2703"/>
      <c r="B150" s="2706"/>
      <c r="C150" s="103">
        <v>2020</v>
      </c>
      <c r="D150" s="40"/>
      <c r="E150" s="40"/>
      <c r="F150" s="41"/>
      <c r="G150" s="171"/>
      <c r="H150" s="171"/>
      <c r="I150" s="210">
        <f t="shared" si="13"/>
        <v>0</v>
      </c>
      <c r="J150" s="214"/>
      <c r="K150" s="215"/>
      <c r="L150" s="214"/>
      <c r="M150" s="215"/>
      <c r="N150" s="216"/>
      <c r="O150" s="158"/>
      <c r="P150" s="158"/>
    </row>
    <row r="151" spans="1:16" ht="18" customHeight="1" thickBot="1">
      <c r="A151" s="2704"/>
      <c r="B151" s="2707"/>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159" t="s">
        <v>94</v>
      </c>
      <c r="B153" s="2665" t="s">
        <v>62</v>
      </c>
      <c r="C153" s="2666"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702"/>
      <c r="B155" s="2705"/>
      <c r="C155" s="230">
        <v>2014</v>
      </c>
      <c r="D155" s="211"/>
      <c r="E155" s="168"/>
      <c r="F155" s="212"/>
      <c r="G155" s="210">
        <f>SUM(D155:F155)</f>
        <v>0</v>
      </c>
      <c r="H155" s="211"/>
      <c r="I155" s="168"/>
      <c r="J155" s="169"/>
      <c r="O155" s="158"/>
      <c r="P155" s="158"/>
    </row>
    <row r="156" spans="1:16" ht="19.5" customHeight="1">
      <c r="A156" s="2703"/>
      <c r="B156" s="2706"/>
      <c r="C156" s="231">
        <v>2015</v>
      </c>
      <c r="D156" s="214"/>
      <c r="E156" s="171"/>
      <c r="F156" s="215"/>
      <c r="G156" s="210">
        <f t="shared" ref="G156:G161" si="15">SUM(D156:F156)</f>
        <v>0</v>
      </c>
      <c r="H156" s="214"/>
      <c r="I156" s="171"/>
      <c r="J156" s="172"/>
      <c r="O156" s="158"/>
      <c r="P156" s="158"/>
    </row>
    <row r="157" spans="1:16" ht="17.25" customHeight="1">
      <c r="A157" s="2703"/>
      <c r="B157" s="2706"/>
      <c r="C157" s="231">
        <v>2016</v>
      </c>
      <c r="D157" s="214"/>
      <c r="E157" s="171"/>
      <c r="F157" s="215"/>
      <c r="G157" s="210">
        <f t="shared" si="15"/>
        <v>0</v>
      </c>
      <c r="H157" s="214"/>
      <c r="I157" s="171"/>
      <c r="J157" s="172"/>
      <c r="O157" s="158"/>
      <c r="P157" s="158"/>
    </row>
    <row r="158" spans="1:16" ht="15" customHeight="1">
      <c r="A158" s="2703"/>
      <c r="B158" s="2706"/>
      <c r="C158" s="231">
        <v>2017</v>
      </c>
      <c r="D158" s="214"/>
      <c r="E158" s="171"/>
      <c r="F158" s="215"/>
      <c r="G158" s="210">
        <f t="shared" si="15"/>
        <v>0</v>
      </c>
      <c r="H158" s="214"/>
      <c r="I158" s="171"/>
      <c r="J158" s="172"/>
      <c r="O158" s="158"/>
      <c r="P158" s="158"/>
    </row>
    <row r="159" spans="1:16" ht="19.5" customHeight="1">
      <c r="A159" s="2703"/>
      <c r="B159" s="2706"/>
      <c r="C159" s="231">
        <v>2018</v>
      </c>
      <c r="D159" s="214"/>
      <c r="E159" s="171"/>
      <c r="F159" s="215"/>
      <c r="G159" s="210">
        <f t="shared" si="15"/>
        <v>0</v>
      </c>
      <c r="H159" s="214"/>
      <c r="I159" s="171"/>
      <c r="J159" s="172"/>
      <c r="O159" s="158"/>
      <c r="P159" s="158"/>
    </row>
    <row r="160" spans="1:16" ht="15" customHeight="1">
      <c r="A160" s="2703"/>
      <c r="B160" s="2706"/>
      <c r="C160" s="231">
        <v>2019</v>
      </c>
      <c r="D160" s="214"/>
      <c r="E160" s="171"/>
      <c r="F160" s="215"/>
      <c r="G160" s="210">
        <f t="shared" si="15"/>
        <v>0</v>
      </c>
      <c r="H160" s="214"/>
      <c r="I160" s="171"/>
      <c r="J160" s="172"/>
      <c r="O160" s="158"/>
      <c r="P160" s="158"/>
    </row>
    <row r="161" spans="1:18" ht="17.25" customHeight="1">
      <c r="A161" s="2703"/>
      <c r="B161" s="2706"/>
      <c r="C161" s="231">
        <v>2020</v>
      </c>
      <c r="D161" s="214"/>
      <c r="E161" s="171"/>
      <c r="F161" s="215"/>
      <c r="G161" s="210">
        <f t="shared" si="15"/>
        <v>0</v>
      </c>
      <c r="H161" s="214"/>
      <c r="I161" s="171"/>
      <c r="J161" s="172"/>
      <c r="O161" s="158"/>
      <c r="P161" s="158"/>
    </row>
    <row r="162" spans="1:18" ht="15.75" thickBot="1">
      <c r="A162" s="2704"/>
      <c r="B162" s="2707"/>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696"/>
      <c r="B165" s="2699"/>
      <c r="C165" s="248">
        <v>2014</v>
      </c>
      <c r="D165" s="168"/>
      <c r="E165" s="168"/>
      <c r="F165" s="168"/>
      <c r="G165" s="168"/>
      <c r="H165" s="168"/>
      <c r="I165" s="169"/>
      <c r="J165" s="249">
        <f>SUM(D165,F165,H165)</f>
        <v>0</v>
      </c>
      <c r="K165" s="250">
        <f>SUM(E165,G165,I165)</f>
        <v>0</v>
      </c>
      <c r="L165" s="247"/>
    </row>
    <row r="166" spans="1:18">
      <c r="A166" s="2697"/>
      <c r="B166" s="2700"/>
      <c r="C166" s="251">
        <v>2015</v>
      </c>
      <c r="D166" s="252"/>
      <c r="E166" s="252"/>
      <c r="F166" s="252"/>
      <c r="G166" s="252"/>
      <c r="H166" s="252"/>
      <c r="I166" s="253"/>
      <c r="J166" s="254">
        <f t="shared" ref="J166:K171" si="17">SUM(D166,F166,H166)</f>
        <v>0</v>
      </c>
      <c r="K166" s="255">
        <f t="shared" si="17"/>
        <v>0</v>
      </c>
      <c r="L166" s="247"/>
    </row>
    <row r="167" spans="1:18">
      <c r="A167" s="2697"/>
      <c r="B167" s="2700"/>
      <c r="C167" s="251">
        <v>2016</v>
      </c>
      <c r="D167" s="252"/>
      <c r="E167" s="252"/>
      <c r="F167" s="252"/>
      <c r="G167" s="252"/>
      <c r="H167" s="252"/>
      <c r="I167" s="253"/>
      <c r="J167" s="254">
        <f t="shared" si="17"/>
        <v>0</v>
      </c>
      <c r="K167" s="255">
        <f t="shared" si="17"/>
        <v>0</v>
      </c>
    </row>
    <row r="168" spans="1:18">
      <c r="A168" s="2697"/>
      <c r="B168" s="2700"/>
      <c r="C168" s="251">
        <v>2017</v>
      </c>
      <c r="D168" s="252"/>
      <c r="E168" s="158"/>
      <c r="F168" s="252"/>
      <c r="G168" s="252"/>
      <c r="H168" s="252"/>
      <c r="I168" s="253"/>
      <c r="J168" s="254">
        <f t="shared" si="17"/>
        <v>0</v>
      </c>
      <c r="K168" s="255">
        <f t="shared" si="17"/>
        <v>0</v>
      </c>
    </row>
    <row r="169" spans="1:18">
      <c r="A169" s="2697"/>
      <c r="B169" s="2700"/>
      <c r="C169" s="256">
        <v>2018</v>
      </c>
      <c r="D169" s="252"/>
      <c r="E169" s="252"/>
      <c r="F169" s="252"/>
      <c r="G169" s="257"/>
      <c r="H169" s="252"/>
      <c r="I169" s="253"/>
      <c r="J169" s="254">
        <f t="shared" si="17"/>
        <v>0</v>
      </c>
      <c r="K169" s="255">
        <f t="shared" si="17"/>
        <v>0</v>
      </c>
      <c r="L169" s="247"/>
    </row>
    <row r="170" spans="1:18">
      <c r="A170" s="2697"/>
      <c r="B170" s="2700"/>
      <c r="C170" s="251">
        <v>2019</v>
      </c>
      <c r="D170" s="158"/>
      <c r="E170" s="252"/>
      <c r="F170" s="252"/>
      <c r="G170" s="252"/>
      <c r="H170" s="257"/>
      <c r="I170" s="253"/>
      <c r="J170" s="254">
        <f t="shared" si="17"/>
        <v>0</v>
      </c>
      <c r="K170" s="255">
        <f t="shared" si="17"/>
        <v>0</v>
      </c>
      <c r="L170" s="247"/>
    </row>
    <row r="171" spans="1:18">
      <c r="A171" s="2697"/>
      <c r="B171" s="2700"/>
      <c r="C171" s="256">
        <v>2020</v>
      </c>
      <c r="D171" s="252"/>
      <c r="E171" s="252"/>
      <c r="F171" s="252"/>
      <c r="G171" s="252"/>
      <c r="H171" s="252"/>
      <c r="I171" s="253"/>
      <c r="J171" s="254">
        <f t="shared" si="17"/>
        <v>0</v>
      </c>
      <c r="K171" s="255">
        <f t="shared" si="17"/>
        <v>0</v>
      </c>
      <c r="L171" s="247"/>
    </row>
    <row r="172" spans="1:18" ht="41.25" customHeight="1" thickBot="1">
      <c r="A172" s="2698"/>
      <c r="B172" s="2701"/>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668" t="s">
        <v>115</v>
      </c>
      <c r="B176" s="2657" t="s">
        <v>116</v>
      </c>
      <c r="C176" s="2670" t="s">
        <v>9</v>
      </c>
      <c r="D176" s="267" t="s">
        <v>117</v>
      </c>
      <c r="E176" s="268"/>
      <c r="F176" s="268"/>
      <c r="G176" s="269"/>
      <c r="H176" s="270"/>
      <c r="I176" s="2103" t="s">
        <v>118</v>
      </c>
      <c r="J176" s="2104"/>
      <c r="K176" s="2104"/>
      <c r="L176" s="2104"/>
      <c r="M176" s="2104"/>
      <c r="N176" s="2104"/>
      <c r="O176" s="2105"/>
    </row>
    <row r="177" spans="1:15" s="31" customFormat="1" ht="129.75" customHeight="1">
      <c r="A177" s="2669"/>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93"/>
      <c r="B178" s="2692" t="s">
        <v>166</v>
      </c>
      <c r="C178" s="99">
        <v>2014</v>
      </c>
      <c r="D178" s="33"/>
      <c r="E178" s="34"/>
      <c r="F178" s="34"/>
      <c r="G178" s="278">
        <f>SUM(D178:F178)</f>
        <v>0</v>
      </c>
      <c r="H178" s="148"/>
      <c r="I178" s="148"/>
      <c r="J178" s="34"/>
      <c r="K178" s="34"/>
      <c r="L178" s="34"/>
      <c r="M178" s="34"/>
      <c r="N178" s="34"/>
      <c r="O178" s="37"/>
    </row>
    <row r="179" spans="1:15">
      <c r="A179" s="2694"/>
      <c r="B179" s="2242"/>
      <c r="C179" s="103">
        <v>2015</v>
      </c>
      <c r="D179" s="40"/>
      <c r="E179" s="41"/>
      <c r="F179" s="41"/>
      <c r="G179" s="278">
        <f t="shared" ref="G179:G184" si="19">SUM(D179:F179)</f>
        <v>0</v>
      </c>
      <c r="H179" s="279"/>
      <c r="I179" s="105"/>
      <c r="J179" s="41"/>
      <c r="K179" s="41"/>
      <c r="L179" s="41"/>
      <c r="M179" s="41"/>
      <c r="N179" s="41"/>
      <c r="O179" s="86"/>
    </row>
    <row r="180" spans="1:15">
      <c r="A180" s="2694"/>
      <c r="B180" s="2242"/>
      <c r="C180" s="103">
        <v>2016</v>
      </c>
      <c r="D180" s="40">
        <v>1</v>
      </c>
      <c r="E180" s="41">
        <f>2+1</f>
        <v>3</v>
      </c>
      <c r="F180" s="190">
        <v>39</v>
      </c>
      <c r="G180" s="278">
        <f t="shared" si="19"/>
        <v>43</v>
      </c>
      <c r="H180" s="279">
        <f>6+2+39+4</f>
        <v>51</v>
      </c>
      <c r="I180" s="105">
        <f>2+1+39+1</f>
        <v>43</v>
      </c>
      <c r="J180" s="41"/>
      <c r="K180" s="41"/>
      <c r="L180" s="41"/>
      <c r="M180" s="41"/>
      <c r="N180" s="41"/>
      <c r="O180" s="86"/>
    </row>
    <row r="181" spans="1:15">
      <c r="A181" s="2694"/>
      <c r="B181" s="2242"/>
      <c r="C181" s="103">
        <v>2017</v>
      </c>
      <c r="D181" s="40"/>
      <c r="E181" s="41"/>
      <c r="F181" s="41">
        <f>1+1+1+1+1+1+1+1+1+1+1+1+1+1+2+1+3+2+1+1+1+1+4+2+2</f>
        <v>34</v>
      </c>
      <c r="G181" s="278">
        <f t="shared" si="19"/>
        <v>34</v>
      </c>
      <c r="H181" s="279">
        <f>1+1+1+1+1+1+1+1+1+1+1+1+1+1+2+1+3+2+1+1+1+1+4+2+2</f>
        <v>34</v>
      </c>
      <c r="I181" s="105">
        <f>1+1+1+1+1+1+1+1+1+1+1+1+1+1+2+1+3+2+1+1+1+1+4+2+2</f>
        <v>34</v>
      </c>
      <c r="J181" s="41"/>
      <c r="K181" s="41"/>
      <c r="L181" s="41"/>
      <c r="M181" s="41"/>
      <c r="N181" s="41"/>
      <c r="O181" s="86"/>
    </row>
    <row r="182" spans="1:15">
      <c r="A182" s="2694"/>
      <c r="B182" s="2242"/>
      <c r="C182" s="103">
        <v>2018</v>
      </c>
      <c r="D182" s="40"/>
      <c r="E182" s="41"/>
      <c r="F182" s="41"/>
      <c r="G182" s="278">
        <f t="shared" si="19"/>
        <v>0</v>
      </c>
      <c r="H182" s="279"/>
      <c r="I182" s="105"/>
      <c r="J182" s="41"/>
      <c r="K182" s="41"/>
      <c r="L182" s="41"/>
      <c r="M182" s="41"/>
      <c r="N182" s="41"/>
      <c r="O182" s="86"/>
    </row>
    <row r="183" spans="1:15">
      <c r="A183" s="2694"/>
      <c r="B183" s="2242"/>
      <c r="C183" s="103">
        <v>2019</v>
      </c>
      <c r="D183" s="40"/>
      <c r="E183" s="41"/>
      <c r="F183" s="41"/>
      <c r="G183" s="278">
        <f t="shared" si="19"/>
        <v>0</v>
      </c>
      <c r="H183" s="279"/>
      <c r="I183" s="105"/>
      <c r="J183" s="41"/>
      <c r="K183" s="41"/>
      <c r="L183" s="41"/>
      <c r="M183" s="41"/>
      <c r="N183" s="41"/>
      <c r="O183" s="86"/>
    </row>
    <row r="184" spans="1:15">
      <c r="A184" s="2694"/>
      <c r="B184" s="2242"/>
      <c r="C184" s="103">
        <v>2020</v>
      </c>
      <c r="D184" s="40"/>
      <c r="E184" s="41"/>
      <c r="F184" s="41"/>
      <c r="G184" s="278">
        <f t="shared" si="19"/>
        <v>0</v>
      </c>
      <c r="H184" s="279"/>
      <c r="I184" s="105"/>
      <c r="J184" s="41"/>
      <c r="K184" s="41"/>
      <c r="L184" s="41"/>
      <c r="M184" s="41"/>
      <c r="N184" s="41"/>
      <c r="O184" s="86"/>
    </row>
    <row r="185" spans="1:15" ht="157.5" customHeight="1" thickBot="1">
      <c r="A185" s="2695"/>
      <c r="B185" s="2243"/>
      <c r="C185" s="106" t="s">
        <v>13</v>
      </c>
      <c r="D185" s="132">
        <f>SUM(D178:D184)</f>
        <v>1</v>
      </c>
      <c r="E185" s="109">
        <f>SUM(E178:E184)</f>
        <v>3</v>
      </c>
      <c r="F185" s="109">
        <f>SUM(F178:F184)</f>
        <v>73</v>
      </c>
      <c r="G185" s="217">
        <f t="shared" ref="G185:O185" si="20">SUM(G178:G184)</f>
        <v>77</v>
      </c>
      <c r="H185" s="280">
        <f t="shared" si="20"/>
        <v>85</v>
      </c>
      <c r="I185" s="108">
        <f t="shared" si="20"/>
        <v>77</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657"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689"/>
      <c r="B189" s="2692" t="s">
        <v>167</v>
      </c>
      <c r="C189" s="285">
        <v>2014</v>
      </c>
      <c r="D189" s="126"/>
      <c r="E189" s="102"/>
      <c r="F189" s="102"/>
      <c r="G189" s="286">
        <f>SUM(D189:F189)</f>
        <v>0</v>
      </c>
      <c r="H189" s="101"/>
      <c r="I189" s="102"/>
      <c r="J189" s="102"/>
      <c r="K189" s="102"/>
      <c r="L189" s="127"/>
    </row>
    <row r="190" spans="1:15">
      <c r="A190" s="2690"/>
      <c r="B190" s="2242"/>
      <c r="C190" s="74">
        <v>2015</v>
      </c>
      <c r="D190" s="40"/>
      <c r="E190" s="41"/>
      <c r="F190" s="41"/>
      <c r="G190" s="286">
        <f t="shared" ref="G190:G195" si="21">SUM(D190:F190)</f>
        <v>0</v>
      </c>
      <c r="H190" s="105"/>
      <c r="I190" s="41"/>
      <c r="J190" s="41"/>
      <c r="K190" s="41"/>
      <c r="L190" s="86"/>
    </row>
    <row r="191" spans="1:15">
      <c r="A191" s="2690"/>
      <c r="B191" s="2242"/>
      <c r="C191" s="74">
        <v>2016</v>
      </c>
      <c r="D191" s="40">
        <v>30</v>
      </c>
      <c r="E191" s="41">
        <f>70+35</f>
        <v>105</v>
      </c>
      <c r="F191" s="41">
        <v>457</v>
      </c>
      <c r="G191" s="286">
        <f t="shared" si="21"/>
        <v>592</v>
      </c>
      <c r="H191" s="105">
        <f>1+2+1</f>
        <v>4</v>
      </c>
      <c r="I191" s="41">
        <f>7</f>
        <v>7</v>
      </c>
      <c r="J191" s="41">
        <f>19+10+105+9</f>
        <v>143</v>
      </c>
      <c r="K191" s="41">
        <f>42+18+300+25</f>
        <v>385</v>
      </c>
      <c r="L191" s="86">
        <f>7+1+44+1</f>
        <v>53</v>
      </c>
    </row>
    <row r="192" spans="1:15">
      <c r="A192" s="2690"/>
      <c r="B192" s="2242"/>
      <c r="C192" s="74">
        <v>2017</v>
      </c>
      <c r="D192" s="40"/>
      <c r="E192" s="41"/>
      <c r="F192" s="41">
        <f>5+10+8+10+40+14+17+20+2+45+3+2+41+13+4+16+4+13+2+4+21+1+50+17+8+3+6+2+19+25+4+3+3+11</f>
        <v>446</v>
      </c>
      <c r="G192" s="286">
        <f t="shared" si="21"/>
        <v>446</v>
      </c>
      <c r="H192" s="105">
        <f>3</f>
        <v>3</v>
      </c>
      <c r="I192" s="41">
        <f>7</f>
        <v>7</v>
      </c>
      <c r="J192" s="41">
        <f>4+1+2+40+1+1+2+1+41+13+2+1+1+1+5+1+1+3+1</f>
        <v>122</v>
      </c>
      <c r="K192" s="41">
        <f>5+6+7+8+14+17+20+1+44+1+1+4+14+2+12+1+3+21+1+35+17+7+2+6+2+16+24+4+3+3+11</f>
        <v>312</v>
      </c>
      <c r="L192" s="86">
        <v>2</v>
      </c>
    </row>
    <row r="193" spans="1:14">
      <c r="A193" s="2690"/>
      <c r="B193" s="2242"/>
      <c r="C193" s="74">
        <v>2018</v>
      </c>
      <c r="D193" s="40"/>
      <c r="E193" s="41"/>
      <c r="F193" s="41"/>
      <c r="G193" s="286">
        <f t="shared" si="21"/>
        <v>0</v>
      </c>
      <c r="H193" s="105"/>
      <c r="I193" s="41"/>
      <c r="J193" s="41"/>
      <c r="K193" s="41"/>
      <c r="L193" s="86"/>
    </row>
    <row r="194" spans="1:14">
      <c r="A194" s="2690"/>
      <c r="B194" s="2242"/>
      <c r="C194" s="74">
        <v>2019</v>
      </c>
      <c r="D194" s="40"/>
      <c r="E194" s="41"/>
      <c r="F194" s="41"/>
      <c r="G194" s="286">
        <f t="shared" si="21"/>
        <v>0</v>
      </c>
      <c r="H194" s="105"/>
      <c r="I194" s="41"/>
      <c r="J194" s="41"/>
      <c r="K194" s="41"/>
      <c r="L194" s="86"/>
    </row>
    <row r="195" spans="1:14">
      <c r="A195" s="2690"/>
      <c r="B195" s="2242"/>
      <c r="C195" s="74">
        <v>2020</v>
      </c>
      <c r="D195" s="40"/>
      <c r="E195" s="41"/>
      <c r="F195" s="41"/>
      <c r="G195" s="286">
        <f t="shared" si="21"/>
        <v>0</v>
      </c>
      <c r="H195" s="105"/>
      <c r="I195" s="41"/>
      <c r="J195" s="41"/>
      <c r="K195" s="41"/>
      <c r="L195" s="86"/>
    </row>
    <row r="196" spans="1:14" ht="327.75" customHeight="1" thickBot="1">
      <c r="A196" s="2691"/>
      <c r="B196" s="2243"/>
      <c r="C196" s="129" t="s">
        <v>13</v>
      </c>
      <c r="D196" s="132">
        <f t="shared" ref="D196:L196" si="22">SUM(D189:D195)</f>
        <v>30</v>
      </c>
      <c r="E196" s="109">
        <f t="shared" si="22"/>
        <v>105</v>
      </c>
      <c r="F196" s="109">
        <f t="shared" si="22"/>
        <v>903</v>
      </c>
      <c r="G196" s="290">
        <f t="shared" si="22"/>
        <v>1038</v>
      </c>
      <c r="H196" s="108">
        <f t="shared" si="22"/>
        <v>7</v>
      </c>
      <c r="I196" s="109">
        <f t="shared" si="22"/>
        <v>14</v>
      </c>
      <c r="J196" s="109">
        <f t="shared" si="22"/>
        <v>265</v>
      </c>
      <c r="K196" s="109">
        <f t="shared" si="22"/>
        <v>697</v>
      </c>
      <c r="L196" s="110">
        <f t="shared" si="22"/>
        <v>55</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294" t="s">
        <v>138</v>
      </c>
      <c r="B201" s="347"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86"/>
      <c r="B202" s="2177"/>
      <c r="C202" s="73">
        <v>2014</v>
      </c>
      <c r="D202" s="33"/>
      <c r="E202" s="34"/>
      <c r="F202" s="34"/>
      <c r="G202" s="32"/>
      <c r="H202" s="303"/>
      <c r="I202" s="304"/>
      <c r="J202" s="305"/>
      <c r="K202" s="34"/>
      <c r="L202" s="37"/>
    </row>
    <row r="203" spans="1:14">
      <c r="A203" s="2687"/>
      <c r="B203" s="2171"/>
      <c r="C203" s="74">
        <v>2015</v>
      </c>
      <c r="D203" s="40"/>
      <c r="E203" s="41"/>
      <c r="F203" s="41"/>
      <c r="G203" s="39"/>
      <c r="H203" s="306"/>
      <c r="I203" s="307"/>
      <c r="J203" s="308"/>
      <c r="K203" s="41"/>
      <c r="L203" s="86"/>
    </row>
    <row r="204" spans="1:14">
      <c r="A204" s="2687"/>
      <c r="B204" s="2171"/>
      <c r="C204" s="74">
        <v>2016</v>
      </c>
      <c r="D204" s="40"/>
      <c r="E204" s="41"/>
      <c r="F204" s="41"/>
      <c r="G204" s="39"/>
      <c r="H204" s="306"/>
      <c r="I204" s="307"/>
      <c r="J204" s="308"/>
      <c r="K204" s="41"/>
      <c r="L204" s="86"/>
    </row>
    <row r="205" spans="1:14">
      <c r="A205" s="2687"/>
      <c r="B205" s="2171"/>
      <c r="C205" s="74">
        <v>2017</v>
      </c>
      <c r="D205" s="40"/>
      <c r="E205" s="41"/>
      <c r="F205" s="41"/>
      <c r="G205" s="39"/>
      <c r="H205" s="306"/>
      <c r="I205" s="307"/>
      <c r="J205" s="308"/>
      <c r="K205" s="41"/>
      <c r="L205" s="86"/>
    </row>
    <row r="206" spans="1:14">
      <c r="A206" s="2687"/>
      <c r="B206" s="2171"/>
      <c r="C206" s="74">
        <v>2018</v>
      </c>
      <c r="D206" s="40"/>
      <c r="E206" s="41"/>
      <c r="F206" s="41"/>
      <c r="G206" s="39"/>
      <c r="H206" s="306"/>
      <c r="I206" s="307"/>
      <c r="J206" s="308"/>
      <c r="K206" s="41"/>
      <c r="L206" s="86"/>
    </row>
    <row r="207" spans="1:14">
      <c r="A207" s="2687"/>
      <c r="B207" s="2171"/>
      <c r="C207" s="74">
        <v>2019</v>
      </c>
      <c r="D207" s="40"/>
      <c r="E207" s="41"/>
      <c r="F207" s="41"/>
      <c r="G207" s="39"/>
      <c r="H207" s="306"/>
      <c r="I207" s="307"/>
      <c r="J207" s="308"/>
      <c r="K207" s="41"/>
      <c r="L207" s="86"/>
    </row>
    <row r="208" spans="1:14">
      <c r="A208" s="2687"/>
      <c r="B208" s="2171"/>
      <c r="C208" s="74">
        <v>2020</v>
      </c>
      <c r="D208" s="309"/>
      <c r="E208" s="310"/>
      <c r="F208" s="310"/>
      <c r="G208" s="311"/>
      <c r="H208" s="312"/>
      <c r="I208" s="313"/>
      <c r="J208" s="314"/>
      <c r="K208" s="310"/>
      <c r="L208" s="315"/>
    </row>
    <row r="209" spans="1:12" ht="20.25" customHeight="1" thickBot="1">
      <c r="A209" s="2688"/>
      <c r="B209" s="2172"/>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16" t="s">
        <v>148</v>
      </c>
      <c r="B212" s="317" t="s">
        <v>149</v>
      </c>
      <c r="C212" s="318">
        <v>2014</v>
      </c>
      <c r="D212" s="319">
        <v>2015</v>
      </c>
      <c r="E212" s="319">
        <v>2016</v>
      </c>
      <c r="F212" s="319">
        <v>2017</v>
      </c>
      <c r="G212" s="319">
        <v>2018</v>
      </c>
      <c r="H212" s="319">
        <v>2019</v>
      </c>
      <c r="I212" s="320">
        <v>2020</v>
      </c>
    </row>
    <row r="213" spans="1:12" ht="15" customHeight="1">
      <c r="A213" t="s">
        <v>150</v>
      </c>
      <c r="B213" s="2241" t="s">
        <v>168</v>
      </c>
      <c r="C213" s="73"/>
      <c r="D213" s="326"/>
      <c r="E213" s="326">
        <f>E217+E214+E215+E216</f>
        <v>162008.51</v>
      </c>
      <c r="F213" s="326">
        <f>F214+F215+F216+F217</f>
        <v>0</v>
      </c>
      <c r="G213" s="128"/>
      <c r="H213" s="128"/>
      <c r="I213" s="327"/>
    </row>
    <row r="214" spans="1:12">
      <c r="A214" t="s">
        <v>153</v>
      </c>
      <c r="B214" s="2242"/>
      <c r="C214" s="73"/>
      <c r="D214" s="326"/>
      <c r="E214" s="326">
        <v>0</v>
      </c>
      <c r="F214" s="326">
        <v>0</v>
      </c>
      <c r="G214" s="128"/>
      <c r="H214" s="128"/>
      <c r="I214" s="327"/>
    </row>
    <row r="215" spans="1:12">
      <c r="A215" t="s">
        <v>155</v>
      </c>
      <c r="B215" s="2242"/>
      <c r="C215" s="73"/>
      <c r="D215" s="326"/>
      <c r="E215" s="326">
        <v>0</v>
      </c>
      <c r="F215" s="326">
        <v>0</v>
      </c>
      <c r="G215" s="128"/>
      <c r="H215" s="128"/>
      <c r="I215" s="327"/>
    </row>
    <row r="216" spans="1:12">
      <c r="A216" t="s">
        <v>157</v>
      </c>
      <c r="B216" s="2242"/>
      <c r="C216" s="73"/>
      <c r="D216" s="326"/>
      <c r="E216" s="326">
        <v>0</v>
      </c>
      <c r="F216" s="326">
        <v>0</v>
      </c>
      <c r="G216" s="128"/>
      <c r="H216" s="128"/>
      <c r="I216" s="327"/>
    </row>
    <row r="217" spans="1:12">
      <c r="A217" t="s">
        <v>158</v>
      </c>
      <c r="B217" s="2242"/>
      <c r="C217" s="73"/>
      <c r="D217" s="326"/>
      <c r="E217" s="326">
        <f>3000+98.6+2583+615.6+149420+4450+1841.31</f>
        <v>162008.51</v>
      </c>
      <c r="F217" s="326">
        <v>0</v>
      </c>
      <c r="G217" s="128"/>
      <c r="H217" s="128"/>
      <c r="I217" s="327"/>
    </row>
    <row r="218" spans="1:12" ht="61.5" customHeight="1">
      <c r="A218" s="63" t="s">
        <v>159</v>
      </c>
      <c r="B218" s="2242"/>
      <c r="C218" s="73"/>
      <c r="D218" s="348"/>
      <c r="E218" s="348">
        <f>60023.08+10030.78+1446.89+4967.77</f>
        <v>76468.52</v>
      </c>
      <c r="F218" s="348">
        <v>77334.850000000006</v>
      </c>
      <c r="G218" s="128"/>
      <c r="H218" s="128"/>
      <c r="I218" s="327"/>
    </row>
    <row r="219" spans="1:12" ht="156.75" customHeight="1" thickBot="1">
      <c r="A219" s="349"/>
      <c r="B219" s="2243"/>
      <c r="C219" s="45" t="s">
        <v>13</v>
      </c>
      <c r="D219" s="331">
        <f>SUM(D214:D218)</f>
        <v>0</v>
      </c>
      <c r="E219" s="331">
        <f t="shared" ref="E219:I219" si="24">SUM(E214:E218)</f>
        <v>238477.03000000003</v>
      </c>
      <c r="F219" s="331">
        <f t="shared" si="24"/>
        <v>77334.850000000006</v>
      </c>
      <c r="G219" s="333">
        <f t="shared" si="24"/>
        <v>0</v>
      </c>
      <c r="H219" s="333">
        <f t="shared" si="24"/>
        <v>0</v>
      </c>
      <c r="I219" s="350">
        <f t="shared" si="24"/>
        <v>0</v>
      </c>
    </row>
    <row r="227" spans="1:1">
      <c r="A227" s="31"/>
    </row>
  </sheetData>
  <mergeCells count="74">
    <mergeCell ref="A50:A58"/>
    <mergeCell ref="B50:B58"/>
    <mergeCell ref="B1:F1"/>
    <mergeCell ref="F3:O3"/>
    <mergeCell ref="A4:O10"/>
    <mergeCell ref="D15:G15"/>
    <mergeCell ref="A17:A24"/>
    <mergeCell ref="B17:B24"/>
    <mergeCell ref="D26:G26"/>
    <mergeCell ref="A28:A35"/>
    <mergeCell ref="B28:B35"/>
    <mergeCell ref="A40:A47"/>
    <mergeCell ref="B40:B47"/>
    <mergeCell ref="A60:A61"/>
    <mergeCell ref="B60:B61"/>
    <mergeCell ref="C60:C61"/>
    <mergeCell ref="D60:D61"/>
    <mergeCell ref="A62:A69"/>
    <mergeCell ref="B62:B69"/>
    <mergeCell ref="A72:A79"/>
    <mergeCell ref="B72:B79"/>
    <mergeCell ref="A85:A92"/>
    <mergeCell ref="B85:B92"/>
    <mergeCell ref="A96:A97"/>
    <mergeCell ref="B96:B9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J142:N142"/>
    <mergeCell ref="A144:A151"/>
    <mergeCell ref="B144:B151"/>
    <mergeCell ref="A120:A127"/>
    <mergeCell ref="B120:B127"/>
    <mergeCell ref="A129:A130"/>
    <mergeCell ref="B129:B130"/>
    <mergeCell ref="A131:A137"/>
    <mergeCell ref="B131:B137"/>
    <mergeCell ref="A165:A172"/>
    <mergeCell ref="B165:B172"/>
    <mergeCell ref="A142:A143"/>
    <mergeCell ref="B142:B143"/>
    <mergeCell ref="C142:C143"/>
    <mergeCell ref="A153:A154"/>
    <mergeCell ref="B153:B154"/>
    <mergeCell ref="C153:C154"/>
    <mergeCell ref="A155:A162"/>
    <mergeCell ref="B155:B162"/>
    <mergeCell ref="A176:A177"/>
    <mergeCell ref="B176:B177"/>
    <mergeCell ref="C176:C177"/>
    <mergeCell ref="I176:O176"/>
    <mergeCell ref="A178:A185"/>
    <mergeCell ref="B178:B185"/>
    <mergeCell ref="C187:C188"/>
    <mergeCell ref="D187:G187"/>
    <mergeCell ref="H187:L187"/>
    <mergeCell ref="A189:A196"/>
    <mergeCell ref="B189:B196"/>
    <mergeCell ref="A202:A209"/>
    <mergeCell ref="B202:B209"/>
    <mergeCell ref="B213:B219"/>
    <mergeCell ref="A187:A188"/>
    <mergeCell ref="B187:B18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Y227"/>
  <sheetViews>
    <sheetView topLeftCell="A172" workbookViewId="0">
      <selection activeCell="F214" sqref="F214:F218"/>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169</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t="s">
        <v>170</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20</v>
      </c>
      <c r="E19" s="41">
        <v>4</v>
      </c>
      <c r="F19" s="41">
        <v>3</v>
      </c>
      <c r="G19" s="35">
        <f t="shared" si="0"/>
        <v>27</v>
      </c>
      <c r="H19" s="42">
        <v>26</v>
      </c>
      <c r="I19" s="41">
        <v>1</v>
      </c>
      <c r="J19" s="41"/>
      <c r="K19" s="41"/>
      <c r="L19" s="41"/>
      <c r="M19" s="41"/>
      <c r="N19" s="41"/>
      <c r="O19" s="43"/>
      <c r="P19" s="38"/>
      <c r="Q19" s="38"/>
      <c r="R19" s="38"/>
      <c r="S19" s="38"/>
      <c r="T19" s="38"/>
      <c r="U19" s="38"/>
      <c r="V19" s="38"/>
      <c r="W19" s="38"/>
      <c r="X19" s="38"/>
      <c r="Y19" s="38"/>
    </row>
    <row r="20" spans="1:25">
      <c r="A20" s="2654"/>
      <c r="B20" s="2068"/>
      <c r="C20" s="39">
        <v>2017</v>
      </c>
      <c r="D20" s="40">
        <v>7</v>
      </c>
      <c r="E20" s="41">
        <v>3</v>
      </c>
      <c r="F20" s="41">
        <v>1</v>
      </c>
      <c r="G20" s="35">
        <f t="shared" si="0"/>
        <v>11</v>
      </c>
      <c r="H20" s="42">
        <v>11</v>
      </c>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216" customHeight="1" thickBot="1">
      <c r="A24" s="2070"/>
      <c r="B24" s="2071"/>
      <c r="C24" s="45" t="s">
        <v>13</v>
      </c>
      <c r="D24" s="46">
        <f>SUM(D17:D23)</f>
        <v>27</v>
      </c>
      <c r="E24" s="47">
        <f>SUM(E17:E23)</f>
        <v>7</v>
      </c>
      <c r="F24" s="47">
        <f>SUM(F17:F23)</f>
        <v>4</v>
      </c>
      <c r="G24" s="48">
        <f>SUM(D24:F24)</f>
        <v>38</v>
      </c>
      <c r="H24" s="49">
        <f>SUM(H17:H23)</f>
        <v>37</v>
      </c>
      <c r="I24" s="50">
        <f>SUM(I17:I23)</f>
        <v>1</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24" customHeight="1"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t="s">
        <v>171</v>
      </c>
      <c r="B28" s="2720"/>
      <c r="C28" s="58">
        <v>2014</v>
      </c>
      <c r="D28" s="36"/>
      <c r="E28" s="34"/>
      <c r="F28" s="34"/>
      <c r="G28" s="59">
        <f>SUM(D28:F28)</f>
        <v>0</v>
      </c>
      <c r="H28" s="38"/>
      <c r="I28" s="38"/>
      <c r="J28" s="38"/>
      <c r="K28" s="38"/>
      <c r="L28" s="38"/>
      <c r="M28" s="38"/>
      <c r="N28" s="38"/>
      <c r="O28" s="38"/>
      <c r="P28" s="38"/>
      <c r="Q28" s="8"/>
    </row>
    <row r="29" spans="1:25">
      <c r="A29" s="2654"/>
      <c r="B29" s="2720"/>
      <c r="C29" s="60">
        <v>2015</v>
      </c>
      <c r="D29" s="42"/>
      <c r="E29" s="41"/>
      <c r="F29" s="41"/>
      <c r="G29" s="59">
        <f t="shared" ref="G29:G35" si="2">SUM(D29:F29)</f>
        <v>0</v>
      </c>
      <c r="H29" s="38"/>
      <c r="I29" s="38"/>
      <c r="J29" s="38"/>
      <c r="K29" s="38"/>
      <c r="L29" s="38"/>
      <c r="M29" s="38"/>
      <c r="N29" s="38"/>
      <c r="O29" s="38"/>
      <c r="P29" s="38"/>
      <c r="Q29" s="8"/>
    </row>
    <row r="30" spans="1:25">
      <c r="A30" s="2654"/>
      <c r="B30" s="2720"/>
      <c r="C30" s="60">
        <v>2016</v>
      </c>
      <c r="D30" s="42">
        <v>3895</v>
      </c>
      <c r="E30" s="41">
        <v>41613</v>
      </c>
      <c r="F30" s="41">
        <v>35948</v>
      </c>
      <c r="G30" s="59">
        <f t="shared" si="2"/>
        <v>81456</v>
      </c>
      <c r="H30" s="38"/>
      <c r="I30" s="38"/>
      <c r="J30" s="38"/>
      <c r="K30" s="38"/>
      <c r="L30" s="38"/>
      <c r="M30" s="38"/>
      <c r="N30" s="38"/>
      <c r="O30" s="38"/>
      <c r="P30" s="38"/>
      <c r="Q30" s="8"/>
    </row>
    <row r="31" spans="1:25">
      <c r="A31" s="2654"/>
      <c r="B31" s="2720"/>
      <c r="C31" s="60">
        <v>2017</v>
      </c>
      <c r="D31" s="42">
        <v>298</v>
      </c>
      <c r="E31" s="41">
        <v>35455</v>
      </c>
      <c r="F31" s="41">
        <v>324</v>
      </c>
      <c r="G31" s="59">
        <f t="shared" si="2"/>
        <v>36077</v>
      </c>
      <c r="H31" s="38"/>
      <c r="I31" s="38"/>
      <c r="J31" s="38"/>
      <c r="K31" s="38"/>
      <c r="L31" s="38"/>
      <c r="M31" s="38"/>
      <c r="N31" s="38"/>
      <c r="O31" s="38"/>
      <c r="P31" s="38"/>
      <c r="Q31" s="8"/>
    </row>
    <row r="32" spans="1:25">
      <c r="A32" s="2654"/>
      <c r="B32" s="2720"/>
      <c r="C32" s="60">
        <v>2018</v>
      </c>
      <c r="D32" s="42"/>
      <c r="E32" s="41"/>
      <c r="F32" s="41"/>
      <c r="G32" s="59">
        <f>SUM(D32:F32)</f>
        <v>0</v>
      </c>
      <c r="H32" s="38"/>
      <c r="I32" s="38"/>
      <c r="J32" s="38"/>
      <c r="K32" s="38"/>
      <c r="L32" s="38"/>
      <c r="M32" s="38"/>
      <c r="N32" s="38"/>
      <c r="O32" s="38"/>
      <c r="P32" s="38"/>
      <c r="Q32" s="8"/>
    </row>
    <row r="33" spans="1:17">
      <c r="A33" s="2654"/>
      <c r="B33" s="2720"/>
      <c r="C33" s="61">
        <v>2019</v>
      </c>
      <c r="D33" s="42"/>
      <c r="E33" s="41"/>
      <c r="F33" s="41"/>
      <c r="G33" s="59">
        <f t="shared" si="2"/>
        <v>0</v>
      </c>
      <c r="H33" s="38"/>
      <c r="I33" s="38"/>
      <c r="J33" s="38"/>
      <c r="K33" s="38"/>
      <c r="L33" s="38"/>
      <c r="M33" s="38"/>
      <c r="N33" s="38"/>
      <c r="O33" s="38"/>
      <c r="P33" s="38"/>
      <c r="Q33" s="8"/>
    </row>
    <row r="34" spans="1:17">
      <c r="A34" s="2654"/>
      <c r="B34" s="2720"/>
      <c r="C34" s="60">
        <v>2020</v>
      </c>
      <c r="D34" s="42"/>
      <c r="E34" s="41"/>
      <c r="F34" s="41"/>
      <c r="G34" s="59">
        <f t="shared" si="2"/>
        <v>0</v>
      </c>
      <c r="H34" s="38"/>
      <c r="I34" s="38"/>
      <c r="J34" s="38"/>
      <c r="K34" s="38"/>
      <c r="L34" s="38"/>
      <c r="M34" s="38"/>
      <c r="N34" s="38"/>
      <c r="O34" s="38"/>
      <c r="P34" s="38"/>
      <c r="Q34" s="8"/>
    </row>
    <row r="35" spans="1:17" ht="324.75" customHeight="1" thickBot="1">
      <c r="A35" s="2070"/>
      <c r="B35" s="2721"/>
      <c r="C35" s="62" t="s">
        <v>13</v>
      </c>
      <c r="D35" s="49">
        <f>SUM(D28:D34)</f>
        <v>4193</v>
      </c>
      <c r="E35" s="47">
        <f>SUM(E28:E34)</f>
        <v>77068</v>
      </c>
      <c r="F35" s="47">
        <f>SUM(F28:F34)</f>
        <v>36272</v>
      </c>
      <c r="G35" s="51">
        <f t="shared" si="2"/>
        <v>117533</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6.5" customHeight="1" thickBot="1">
      <c r="G38" s="38"/>
      <c r="H38" s="38"/>
    </row>
    <row r="39" spans="1:17" ht="88.5" customHeight="1">
      <c r="A39" s="358" t="s">
        <v>26</v>
      </c>
      <c r="B39" s="359" t="s">
        <v>8</v>
      </c>
      <c r="C39" s="69" t="s">
        <v>9</v>
      </c>
      <c r="D39" s="70" t="s">
        <v>27</v>
      </c>
      <c r="E39" s="71" t="s">
        <v>28</v>
      </c>
      <c r="F39" s="72"/>
      <c r="G39" s="30"/>
      <c r="H39" s="30"/>
    </row>
    <row r="40" spans="1:17">
      <c r="A40" s="2674" t="s">
        <v>172</v>
      </c>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40">
        <v>851</v>
      </c>
      <c r="E42" s="39">
        <v>403</v>
      </c>
      <c r="F42" s="8"/>
      <c r="G42" s="38"/>
      <c r="H42" s="38"/>
    </row>
    <row r="43" spans="1:17">
      <c r="A43" s="2654"/>
      <c r="B43" s="2068"/>
      <c r="C43" s="74">
        <v>2017</v>
      </c>
      <c r="D43" s="40"/>
      <c r="E43" s="39"/>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851</v>
      </c>
      <c r="E47" s="76">
        <f>SUM(E40:E46)</f>
        <v>403</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t="s">
        <v>173</v>
      </c>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v>19</v>
      </c>
      <c r="E64" s="105">
        <v>19</v>
      </c>
      <c r="F64" s="41"/>
      <c r="G64" s="41"/>
      <c r="H64" s="41"/>
      <c r="I64" s="41"/>
      <c r="J64" s="41"/>
      <c r="K64" s="41"/>
      <c r="L64" s="86"/>
      <c r="M64" s="8"/>
      <c r="N64" s="8"/>
      <c r="O64" s="8"/>
    </row>
    <row r="65" spans="1:20">
      <c r="A65" s="2659"/>
      <c r="B65" s="2039"/>
      <c r="C65" s="103">
        <v>2017</v>
      </c>
      <c r="D65" s="104">
        <v>8</v>
      </c>
      <c r="E65" s="105">
        <v>8</v>
      </c>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27</v>
      </c>
      <c r="E69" s="108">
        <f>SUM(E62:E68)</f>
        <v>27</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c r="E74" s="128"/>
      <c r="F74" s="128"/>
      <c r="G74" s="125">
        <f t="shared" si="5"/>
        <v>0</v>
      </c>
      <c r="H74" s="40"/>
      <c r="I74" s="40"/>
      <c r="J74" s="41"/>
      <c r="K74" s="41"/>
      <c r="L74" s="41"/>
      <c r="M74" s="41"/>
      <c r="N74" s="41"/>
      <c r="O74" s="86"/>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9" t="s">
        <v>174</v>
      </c>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v>8</v>
      </c>
      <c r="E87" s="105">
        <v>8</v>
      </c>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8</v>
      </c>
      <c r="E92" s="108">
        <f t="shared" si="7"/>
        <v>8</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t="s">
        <v>175</v>
      </c>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v>12</v>
      </c>
      <c r="E111" s="170">
        <v>12</v>
      </c>
      <c r="F111" s="171"/>
      <c r="G111" s="171"/>
      <c r="H111" s="171"/>
      <c r="I111" s="171"/>
      <c r="J111" s="171"/>
      <c r="K111" s="171"/>
      <c r="L111" s="172"/>
      <c r="M111" s="178"/>
      <c r="N111" s="178"/>
    </row>
    <row r="112" spans="1:16">
      <c r="A112" s="2659"/>
      <c r="B112" s="2039"/>
      <c r="C112" s="103">
        <v>2017</v>
      </c>
      <c r="D112" s="41">
        <v>24</v>
      </c>
      <c r="E112" s="170">
        <v>24</v>
      </c>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96" customHeight="1" thickBot="1">
      <c r="A116" s="2049"/>
      <c r="B116" s="2042"/>
      <c r="C116" s="106" t="s">
        <v>13</v>
      </c>
      <c r="D116" s="109">
        <f t="shared" ref="D116:I116" si="9">SUM(D109:D115)</f>
        <v>36</v>
      </c>
      <c r="E116" s="173">
        <f t="shared" si="9"/>
        <v>36</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v>97</v>
      </c>
      <c r="F132" s="41"/>
      <c r="G132" s="191">
        <f t="shared" si="11"/>
        <v>97</v>
      </c>
      <c r="H132" s="178"/>
      <c r="I132" s="178"/>
      <c r="J132" s="178"/>
      <c r="K132" s="178"/>
      <c r="L132" s="178"/>
      <c r="M132" s="178"/>
      <c r="N132" s="178"/>
    </row>
    <row r="133" spans="1:16">
      <c r="A133" s="2654"/>
      <c r="B133" s="2068"/>
      <c r="C133" s="103">
        <v>2017</v>
      </c>
      <c r="D133" s="40"/>
      <c r="E133" s="41">
        <v>136</v>
      </c>
      <c r="F133" s="41"/>
      <c r="G133" s="191">
        <f t="shared" si="11"/>
        <v>136</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233</v>
      </c>
      <c r="F137" s="132">
        <f t="shared" si="12"/>
        <v>0</v>
      </c>
      <c r="G137" s="192">
        <f>SUM(G131:G136)</f>
        <v>233</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63" t="s">
        <v>176</v>
      </c>
      <c r="B178" s="2370"/>
      <c r="C178" s="99">
        <v>2014</v>
      </c>
      <c r="D178" s="33"/>
      <c r="E178" s="34"/>
      <c r="F178" s="34"/>
      <c r="G178" s="278">
        <f>SUM(D178:F178)</f>
        <v>0</v>
      </c>
      <c r="H178" s="148"/>
      <c r="I178" s="148"/>
      <c r="J178" s="34"/>
      <c r="K178" s="34"/>
      <c r="L178" s="34"/>
      <c r="M178" s="34"/>
      <c r="N178" s="34"/>
      <c r="O178" s="37"/>
    </row>
    <row r="179" spans="1:15">
      <c r="A179" s="2659"/>
      <c r="B179" s="2370"/>
      <c r="C179" s="103">
        <v>2015</v>
      </c>
      <c r="D179" s="40"/>
      <c r="E179" s="41"/>
      <c r="F179" s="41"/>
      <c r="G179" s="278">
        <f t="shared" ref="G179:G184" si="19">SUM(D179:F179)</f>
        <v>0</v>
      </c>
      <c r="H179" s="279"/>
      <c r="I179" s="105"/>
      <c r="J179" s="41"/>
      <c r="K179" s="41"/>
      <c r="L179" s="41"/>
      <c r="M179" s="41"/>
      <c r="N179" s="41"/>
      <c r="O179" s="86"/>
    </row>
    <row r="180" spans="1:15">
      <c r="A180" s="2659"/>
      <c r="B180" s="2370"/>
      <c r="C180" s="103">
        <v>2016</v>
      </c>
      <c r="D180" s="40">
        <v>18</v>
      </c>
      <c r="E180" s="41"/>
      <c r="F180" s="41">
        <v>1</v>
      </c>
      <c r="G180" s="278">
        <f t="shared" si="19"/>
        <v>19</v>
      </c>
      <c r="H180" s="279">
        <v>19</v>
      </c>
      <c r="I180" s="105">
        <v>19</v>
      </c>
      <c r="J180" s="41"/>
      <c r="K180" s="41"/>
      <c r="L180" s="41"/>
      <c r="M180" s="41"/>
      <c r="N180" s="41"/>
      <c r="O180" s="86"/>
    </row>
    <row r="181" spans="1:15">
      <c r="A181" s="2659"/>
      <c r="B181" s="2370"/>
      <c r="C181" s="103">
        <v>2017</v>
      </c>
      <c r="D181" s="40">
        <v>4</v>
      </c>
      <c r="E181" s="41"/>
      <c r="F181" s="41"/>
      <c r="G181" s="278">
        <f t="shared" si="19"/>
        <v>4</v>
      </c>
      <c r="H181" s="279">
        <v>4</v>
      </c>
      <c r="I181" s="105">
        <v>4</v>
      </c>
      <c r="J181" s="41"/>
      <c r="K181" s="41"/>
      <c r="L181" s="41"/>
      <c r="M181" s="41"/>
      <c r="N181" s="41"/>
      <c r="O181" s="86"/>
    </row>
    <row r="182" spans="1:15">
      <c r="A182" s="2659"/>
      <c r="B182" s="2370"/>
      <c r="C182" s="103">
        <v>2018</v>
      </c>
      <c r="D182" s="40"/>
      <c r="E182" s="41"/>
      <c r="F182" s="41"/>
      <c r="G182" s="278">
        <f t="shared" si="19"/>
        <v>0</v>
      </c>
      <c r="H182" s="279"/>
      <c r="I182" s="105"/>
      <c r="J182" s="41"/>
      <c r="K182" s="41"/>
      <c r="L182" s="41"/>
      <c r="M182" s="41"/>
      <c r="N182" s="41"/>
      <c r="O182" s="86"/>
    </row>
    <row r="183" spans="1:15">
      <c r="A183" s="2659"/>
      <c r="B183" s="2370"/>
      <c r="C183" s="103">
        <v>2019</v>
      </c>
      <c r="D183" s="40"/>
      <c r="E183" s="41"/>
      <c r="F183" s="41"/>
      <c r="G183" s="278">
        <f t="shared" si="19"/>
        <v>0</v>
      </c>
      <c r="H183" s="279"/>
      <c r="I183" s="105"/>
      <c r="J183" s="41"/>
      <c r="K183" s="41"/>
      <c r="L183" s="41"/>
      <c r="M183" s="41"/>
      <c r="N183" s="41"/>
      <c r="O183" s="86"/>
    </row>
    <row r="184" spans="1:15">
      <c r="A184" s="2659"/>
      <c r="B184" s="2370"/>
      <c r="C184" s="103">
        <v>2020</v>
      </c>
      <c r="D184" s="40"/>
      <c r="E184" s="41"/>
      <c r="F184" s="41"/>
      <c r="G184" s="278">
        <f t="shared" si="19"/>
        <v>0</v>
      </c>
      <c r="H184" s="279"/>
      <c r="I184" s="105"/>
      <c r="J184" s="41"/>
      <c r="K184" s="41"/>
      <c r="L184" s="41"/>
      <c r="M184" s="41"/>
      <c r="N184" s="41"/>
      <c r="O184" s="86"/>
    </row>
    <row r="185" spans="1:15" ht="45" customHeight="1" thickBot="1">
      <c r="A185" s="2067"/>
      <c r="B185" s="2371"/>
      <c r="C185" s="106" t="s">
        <v>13</v>
      </c>
      <c r="D185" s="132">
        <f>SUM(D178:D184)</f>
        <v>22</v>
      </c>
      <c r="E185" s="109">
        <f>SUM(E178:E184)</f>
        <v>0</v>
      </c>
      <c r="F185" s="109">
        <f>SUM(F178:F184)</f>
        <v>1</v>
      </c>
      <c r="G185" s="217">
        <f t="shared" ref="G185:O185" si="20">SUM(G178:G184)</f>
        <v>23</v>
      </c>
      <c r="H185" s="280">
        <f t="shared" si="20"/>
        <v>23</v>
      </c>
      <c r="I185" s="108">
        <f t="shared" si="20"/>
        <v>23</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023" t="s">
        <v>177</v>
      </c>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v>481</v>
      </c>
      <c r="E191" s="41"/>
      <c r="F191" s="41">
        <v>4</v>
      </c>
      <c r="G191" s="286">
        <f t="shared" si="21"/>
        <v>485</v>
      </c>
      <c r="H191" s="105"/>
      <c r="I191" s="41"/>
      <c r="J191" s="41">
        <v>4</v>
      </c>
      <c r="K191" s="41">
        <v>481</v>
      </c>
      <c r="L191" s="86"/>
    </row>
    <row r="192" spans="1:15">
      <c r="A192" s="2658"/>
      <c r="B192" s="2068"/>
      <c r="C192" s="74">
        <v>2017</v>
      </c>
      <c r="D192" s="40">
        <v>129</v>
      </c>
      <c r="E192" s="41"/>
      <c r="F192" s="41"/>
      <c r="G192" s="286">
        <f t="shared" si="21"/>
        <v>129</v>
      </c>
      <c r="H192" s="105"/>
      <c r="I192" s="41"/>
      <c r="J192" s="41">
        <v>5</v>
      </c>
      <c r="K192" s="41">
        <v>124</v>
      </c>
      <c r="L192" s="86"/>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610</v>
      </c>
      <c r="E196" s="109">
        <v>0</v>
      </c>
      <c r="F196" s="109">
        <v>4</v>
      </c>
      <c r="G196" s="290">
        <f t="shared" si="22"/>
        <v>614</v>
      </c>
      <c r="H196" s="108">
        <f t="shared" si="22"/>
        <v>0</v>
      </c>
      <c r="I196" s="109">
        <f t="shared" si="22"/>
        <v>0</v>
      </c>
      <c r="J196" s="109">
        <f t="shared" si="22"/>
        <v>9</v>
      </c>
      <c r="K196" s="109">
        <f t="shared" si="22"/>
        <v>605</v>
      </c>
      <c r="L196" s="110">
        <f t="shared" si="22"/>
        <v>0</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c r="A213" t="s">
        <v>150</v>
      </c>
      <c r="B213" s="2174" t="s">
        <v>178</v>
      </c>
      <c r="C213" s="73"/>
      <c r="D213" s="128"/>
      <c r="E213" s="369">
        <v>218233.32</v>
      </c>
      <c r="F213" s="128">
        <v>91425.04</v>
      </c>
      <c r="G213" s="128"/>
      <c r="H213" s="128"/>
      <c r="I213" s="327"/>
    </row>
    <row r="214" spans="1:12">
      <c r="A214" t="s">
        <v>153</v>
      </c>
      <c r="B214" s="2169"/>
      <c r="C214" s="73"/>
      <c r="D214" s="128"/>
      <c r="E214" s="369">
        <v>218233.32</v>
      </c>
      <c r="F214" s="128">
        <v>91425.04</v>
      </c>
      <c r="G214" s="128"/>
      <c r="H214" s="128"/>
      <c r="I214" s="327"/>
    </row>
    <row r="215" spans="1:12">
      <c r="A215" t="s">
        <v>155</v>
      </c>
      <c r="B215" s="2169"/>
      <c r="C215" s="73"/>
      <c r="D215" s="128"/>
      <c r="E215" s="369">
        <v>0</v>
      </c>
      <c r="F215" s="128">
        <v>0</v>
      </c>
      <c r="G215" s="128"/>
      <c r="H215" s="128"/>
      <c r="I215" s="327"/>
    </row>
    <row r="216" spans="1:12">
      <c r="A216" t="s">
        <v>157</v>
      </c>
      <c r="B216" s="2169"/>
      <c r="C216" s="73"/>
      <c r="D216" s="128"/>
      <c r="E216" s="369">
        <v>0</v>
      </c>
      <c r="F216" s="128">
        <v>0</v>
      </c>
      <c r="G216" s="128"/>
      <c r="H216" s="128"/>
      <c r="I216" s="327"/>
    </row>
    <row r="217" spans="1:12">
      <c r="A217" t="s">
        <v>158</v>
      </c>
      <c r="B217" s="2169"/>
      <c r="C217" s="73"/>
      <c r="D217" s="128"/>
      <c r="E217" s="369">
        <v>0</v>
      </c>
      <c r="F217" s="128">
        <v>0</v>
      </c>
      <c r="G217" s="128"/>
      <c r="H217" s="128"/>
      <c r="I217" s="327"/>
    </row>
    <row r="218" spans="1:12" ht="30">
      <c r="A218" s="31" t="s">
        <v>159</v>
      </c>
      <c r="B218" s="2169"/>
      <c r="C218" s="73"/>
      <c r="D218" s="128"/>
      <c r="E218" s="369">
        <v>148128.01999999999</v>
      </c>
      <c r="F218" s="128">
        <v>49142.27</v>
      </c>
      <c r="G218" s="128"/>
      <c r="H218" s="128"/>
      <c r="I218" s="327"/>
    </row>
    <row r="219" spans="1:12" ht="50.25" customHeight="1" thickBot="1">
      <c r="A219" s="349"/>
      <c r="B219" s="2170"/>
      <c r="C219" s="45" t="s">
        <v>13</v>
      </c>
      <c r="D219" s="333">
        <v>0</v>
      </c>
      <c r="E219" s="370">
        <v>366361.34</v>
      </c>
      <c r="F219" s="333">
        <v>140567.31</v>
      </c>
      <c r="G219" s="333">
        <f t="shared" ref="G219:I219" si="24">SUM(G214:G218)</f>
        <v>0</v>
      </c>
      <c r="H219" s="333">
        <f t="shared" si="24"/>
        <v>0</v>
      </c>
      <c r="I219" s="333">
        <f t="shared" si="24"/>
        <v>0</v>
      </c>
    </row>
    <row r="220" spans="1:12">
      <c r="E220" s="371" t="s">
        <v>179</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Y227"/>
  <sheetViews>
    <sheetView topLeftCell="A181" zoomScale="50" zoomScaleNormal="50" workbookViewId="0">
      <selection activeCell="L231" sqref="L23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180</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25</v>
      </c>
      <c r="E19" s="41"/>
      <c r="F19" s="41"/>
      <c r="G19" s="35">
        <f t="shared" si="0"/>
        <v>25</v>
      </c>
      <c r="H19" s="42">
        <v>25</v>
      </c>
      <c r="I19" s="41"/>
      <c r="J19" s="41"/>
      <c r="K19" s="41"/>
      <c r="L19" s="41"/>
      <c r="M19" s="41"/>
      <c r="N19" s="41"/>
      <c r="O19" s="43"/>
      <c r="P19" s="38"/>
      <c r="Q19" s="38"/>
      <c r="R19" s="38"/>
      <c r="S19" s="38"/>
      <c r="T19" s="38"/>
      <c r="U19" s="38"/>
      <c r="V19" s="38"/>
      <c r="W19" s="38"/>
      <c r="X19" s="38"/>
      <c r="Y19" s="38"/>
    </row>
    <row r="20" spans="1:25">
      <c r="A20" s="2654"/>
      <c r="B20" s="2068"/>
      <c r="C20" s="39">
        <v>2017</v>
      </c>
      <c r="D20" s="40">
        <v>3</v>
      </c>
      <c r="E20" s="41"/>
      <c r="F20" s="41"/>
      <c r="G20" s="35">
        <f t="shared" si="0"/>
        <v>3</v>
      </c>
      <c r="H20" s="42">
        <v>3</v>
      </c>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28</v>
      </c>
      <c r="E24" s="47">
        <f>SUM(E17:E23)</f>
        <v>0</v>
      </c>
      <c r="F24" s="47">
        <f>SUM(F17:F23)</f>
        <v>0</v>
      </c>
      <c r="G24" s="48">
        <f>SUM(D24:F24)</f>
        <v>28</v>
      </c>
      <c r="H24" s="49">
        <f>SUM(H17:H23)</f>
        <v>28</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1"/>
      <c r="F29" s="41"/>
      <c r="G29" s="59">
        <f t="shared" ref="G29:G35" si="2">SUM(D29:F29)</f>
        <v>0</v>
      </c>
      <c r="H29" s="38"/>
      <c r="I29" s="38"/>
      <c r="J29" s="38"/>
      <c r="K29" s="38"/>
      <c r="L29" s="38"/>
      <c r="M29" s="38"/>
      <c r="N29" s="38"/>
      <c r="O29" s="38"/>
      <c r="P29" s="38"/>
      <c r="Q29" s="8"/>
    </row>
    <row r="30" spans="1:25">
      <c r="A30" s="2654"/>
      <c r="B30" s="2068"/>
      <c r="C30" s="60">
        <v>2016</v>
      </c>
      <c r="D30" s="42">
        <v>900</v>
      </c>
      <c r="E30" s="41"/>
      <c r="F30" s="41"/>
      <c r="G30" s="59">
        <f t="shared" si="2"/>
        <v>900</v>
      </c>
      <c r="H30" s="38"/>
      <c r="I30" s="38"/>
      <c r="J30" s="38"/>
      <c r="K30" s="38"/>
      <c r="L30" s="38"/>
      <c r="M30" s="38"/>
      <c r="N30" s="38"/>
      <c r="O30" s="38"/>
      <c r="P30" s="38"/>
      <c r="Q30" s="8"/>
    </row>
    <row r="31" spans="1:25">
      <c r="A31" s="2654"/>
      <c r="B31" s="2068"/>
      <c r="C31" s="60">
        <v>2017</v>
      </c>
      <c r="D31" s="42">
        <v>210</v>
      </c>
      <c r="E31" s="41"/>
      <c r="F31" s="41"/>
      <c r="G31" s="59">
        <f t="shared" si="2"/>
        <v>210</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1110</v>
      </c>
      <c r="E35" s="47">
        <f>SUM(E28:E34)</f>
        <v>0</v>
      </c>
      <c r="F35" s="47">
        <f>SUM(F28:F34)</f>
        <v>0</v>
      </c>
      <c r="G35" s="51">
        <f t="shared" si="2"/>
        <v>1110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t="s">
        <v>181</v>
      </c>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40">
        <v>2320</v>
      </c>
      <c r="E42" s="39"/>
      <c r="F42" s="8"/>
      <c r="G42" s="38"/>
      <c r="H42" s="38"/>
    </row>
    <row r="43" spans="1:17">
      <c r="A43" s="2654"/>
      <c r="B43" s="2068"/>
      <c r="C43" s="74">
        <v>2017</v>
      </c>
      <c r="D43" s="40">
        <v>950</v>
      </c>
      <c r="E43" s="39"/>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3270</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c r="E64" s="105"/>
      <c r="F64" s="41"/>
      <c r="G64" s="41"/>
      <c r="H64" s="41"/>
      <c r="I64" s="41"/>
      <c r="J64" s="41"/>
      <c r="K64" s="41"/>
      <c r="L64" s="86"/>
      <c r="M64" s="8"/>
      <c r="N64" s="8"/>
      <c r="O64" s="8"/>
    </row>
    <row r="65" spans="1:20">
      <c r="A65" s="2659"/>
      <c r="B65" s="2039"/>
      <c r="C65" s="103">
        <v>2017</v>
      </c>
      <c r="D65" s="104"/>
      <c r="E65" s="105"/>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0</v>
      </c>
      <c r="E69" s="108">
        <f>SUM(E62:E68)</f>
        <v>0</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c r="E74" s="128"/>
      <c r="F74" s="128"/>
      <c r="G74" s="125">
        <f t="shared" si="5"/>
        <v>0</v>
      </c>
      <c r="H74" s="40"/>
      <c r="I74" s="40"/>
      <c r="J74" s="41"/>
      <c r="K74" s="41"/>
      <c r="L74" s="41"/>
      <c r="M74" s="41"/>
      <c r="N74" s="41"/>
      <c r="O74" s="86"/>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59" t="s">
        <v>182</v>
      </c>
      <c r="B178" s="2039"/>
      <c r="C178" s="99">
        <v>2014</v>
      </c>
      <c r="D178" s="33"/>
      <c r="E178" s="34"/>
      <c r="F178" s="34"/>
      <c r="G178" s="278">
        <f>SUM(D178:F178)</f>
        <v>0</v>
      </c>
      <c r="H178" s="148"/>
      <c r="I178" s="148"/>
      <c r="J178" s="34"/>
      <c r="K178" s="34"/>
      <c r="L178" s="34"/>
      <c r="M178" s="34"/>
      <c r="N178" s="34"/>
      <c r="O178" s="37"/>
    </row>
    <row r="179" spans="1:15">
      <c r="A179" s="2659"/>
      <c r="B179" s="2039"/>
      <c r="C179" s="103">
        <v>2015</v>
      </c>
      <c r="D179" s="40"/>
      <c r="E179" s="41"/>
      <c r="F179" s="41"/>
      <c r="G179" s="278">
        <f t="shared" ref="G179:G184" si="19">SUM(D179:F179)</f>
        <v>0</v>
      </c>
      <c r="H179" s="279"/>
      <c r="I179" s="105"/>
      <c r="J179" s="41"/>
      <c r="K179" s="41"/>
      <c r="L179" s="41"/>
      <c r="M179" s="41"/>
      <c r="N179" s="41"/>
      <c r="O179" s="86"/>
    </row>
    <row r="180" spans="1:15">
      <c r="A180" s="2659"/>
      <c r="B180" s="2039"/>
      <c r="C180" s="103">
        <v>2016</v>
      </c>
      <c r="D180" s="40"/>
      <c r="E180" s="41"/>
      <c r="F180" s="41">
        <v>1</v>
      </c>
      <c r="G180" s="278">
        <f t="shared" si="19"/>
        <v>1</v>
      </c>
      <c r="H180" s="279">
        <v>3</v>
      </c>
      <c r="I180" s="105">
        <v>1</v>
      </c>
      <c r="J180" s="41"/>
      <c r="K180" s="41"/>
      <c r="L180" s="41"/>
      <c r="M180" s="41"/>
      <c r="N180" s="41"/>
      <c r="O180" s="86"/>
    </row>
    <row r="181" spans="1:15">
      <c r="A181" s="2659"/>
      <c r="B181" s="2039"/>
      <c r="C181" s="103">
        <v>2017</v>
      </c>
      <c r="D181" s="40"/>
      <c r="E181" s="41"/>
      <c r="F181" s="41"/>
      <c r="G181" s="278">
        <f t="shared" si="19"/>
        <v>0</v>
      </c>
      <c r="H181" s="279"/>
      <c r="I181" s="105"/>
      <c r="J181" s="41"/>
      <c r="K181" s="41"/>
      <c r="L181" s="41"/>
      <c r="M181" s="41"/>
      <c r="N181" s="41"/>
      <c r="O181" s="86"/>
    </row>
    <row r="182" spans="1:15">
      <c r="A182" s="2659"/>
      <c r="B182" s="2039"/>
      <c r="C182" s="103">
        <v>2018</v>
      </c>
      <c r="D182" s="40"/>
      <c r="E182" s="41"/>
      <c r="F182" s="41"/>
      <c r="G182" s="278">
        <f t="shared" si="19"/>
        <v>0</v>
      </c>
      <c r="H182" s="279"/>
      <c r="I182" s="105"/>
      <c r="J182" s="41"/>
      <c r="K182" s="41"/>
      <c r="L182" s="41"/>
      <c r="M182" s="41"/>
      <c r="N182" s="41"/>
      <c r="O182" s="86"/>
    </row>
    <row r="183" spans="1:15">
      <c r="A183" s="2659"/>
      <c r="B183" s="2039"/>
      <c r="C183" s="103">
        <v>2019</v>
      </c>
      <c r="D183" s="40"/>
      <c r="E183" s="41"/>
      <c r="F183" s="41"/>
      <c r="G183" s="278">
        <f t="shared" si="19"/>
        <v>0</v>
      </c>
      <c r="H183" s="279"/>
      <c r="I183" s="105"/>
      <c r="J183" s="41"/>
      <c r="K183" s="41"/>
      <c r="L183" s="41"/>
      <c r="M183" s="41"/>
      <c r="N183" s="41"/>
      <c r="O183" s="86"/>
    </row>
    <row r="184" spans="1:15">
      <c r="A184" s="2659"/>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0</v>
      </c>
      <c r="E185" s="109">
        <f>SUM(E178:E184)</f>
        <v>0</v>
      </c>
      <c r="F185" s="109">
        <f>SUM(F178:F184)</f>
        <v>1</v>
      </c>
      <c r="G185" s="217">
        <f t="shared" ref="G185:O185" si="20">SUM(G178:G184)</f>
        <v>1</v>
      </c>
      <c r="H185" s="280">
        <f t="shared" si="20"/>
        <v>3</v>
      </c>
      <c r="I185" s="108">
        <f t="shared" si="20"/>
        <v>1</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183</v>
      </c>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c r="E191" s="41"/>
      <c r="F191" s="41">
        <v>50</v>
      </c>
      <c r="G191" s="286">
        <f t="shared" si="21"/>
        <v>50</v>
      </c>
      <c r="H191" s="105"/>
      <c r="I191" s="41"/>
      <c r="J191" s="41">
        <v>25</v>
      </c>
      <c r="K191" s="41"/>
      <c r="L191" s="86">
        <v>25</v>
      </c>
    </row>
    <row r="192" spans="1:15">
      <c r="A192" s="2658"/>
      <c r="B192" s="2068"/>
      <c r="C192" s="74">
        <v>2017</v>
      </c>
      <c r="D192" s="40"/>
      <c r="E192" s="41"/>
      <c r="F192" s="41"/>
      <c r="G192" s="286">
        <f t="shared" si="21"/>
        <v>0</v>
      </c>
      <c r="H192" s="105"/>
      <c r="I192" s="41"/>
      <c r="J192" s="41"/>
      <c r="K192" s="41"/>
      <c r="L192" s="86"/>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0</v>
      </c>
      <c r="E196" s="109">
        <f t="shared" si="22"/>
        <v>0</v>
      </c>
      <c r="F196" s="109">
        <f t="shared" si="22"/>
        <v>50</v>
      </c>
      <c r="G196" s="290">
        <f t="shared" si="22"/>
        <v>50</v>
      </c>
      <c r="H196" s="108">
        <f t="shared" si="22"/>
        <v>0</v>
      </c>
      <c r="I196" s="109">
        <f t="shared" si="22"/>
        <v>0</v>
      </c>
      <c r="J196" s="109">
        <f t="shared" si="22"/>
        <v>25</v>
      </c>
      <c r="K196" s="109">
        <f t="shared" si="22"/>
        <v>0</v>
      </c>
      <c r="L196" s="110">
        <f t="shared" si="22"/>
        <v>25</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184</v>
      </c>
      <c r="C213" s="73"/>
      <c r="D213" s="128"/>
      <c r="E213" s="128">
        <v>135893.16</v>
      </c>
      <c r="F213" s="128">
        <f>F214</f>
        <v>26505.22</v>
      </c>
      <c r="G213" s="128"/>
      <c r="H213" s="128"/>
      <c r="I213" s="327"/>
    </row>
    <row r="214" spans="1:12">
      <c r="A214" t="s">
        <v>153</v>
      </c>
      <c r="B214" s="2171"/>
      <c r="C214" s="73"/>
      <c r="D214" s="128"/>
      <c r="E214" s="128">
        <v>106260.32</v>
      </c>
      <c r="F214" s="128">
        <v>26505.22</v>
      </c>
      <c r="G214" s="128"/>
      <c r="H214" s="128"/>
      <c r="I214" s="327"/>
    </row>
    <row r="215" spans="1:12">
      <c r="A215" t="s">
        <v>155</v>
      </c>
      <c r="B215" s="2171"/>
      <c r="C215" s="73"/>
      <c r="D215" s="128"/>
      <c r="E215" s="128"/>
      <c r="F215" s="128"/>
      <c r="G215" s="128"/>
      <c r="H215" s="128"/>
      <c r="I215" s="327"/>
    </row>
    <row r="216" spans="1:12">
      <c r="A216" t="s">
        <v>157</v>
      </c>
      <c r="B216" s="2171"/>
      <c r="C216" s="73"/>
      <c r="D216" s="128"/>
      <c r="E216" s="128"/>
      <c r="F216" s="128"/>
      <c r="G216" s="128"/>
      <c r="H216" s="128"/>
      <c r="I216" s="327"/>
    </row>
    <row r="217" spans="1:12">
      <c r="A217" t="s">
        <v>158</v>
      </c>
      <c r="B217" s="2171"/>
      <c r="C217" s="73"/>
      <c r="D217" s="128"/>
      <c r="E217" s="128">
        <v>29632.84</v>
      </c>
      <c r="F217" s="128"/>
      <c r="G217" s="128"/>
      <c r="H217" s="128"/>
      <c r="I217" s="327"/>
    </row>
    <row r="218" spans="1:12" ht="30">
      <c r="A218" s="31" t="s">
        <v>159</v>
      </c>
      <c r="B218" s="2171"/>
      <c r="C218" s="73"/>
      <c r="D218" s="128"/>
      <c r="E218" s="128">
        <v>76426.36</v>
      </c>
      <c r="F218" s="128">
        <v>41816.089999999997</v>
      </c>
      <c r="G218" s="128"/>
      <c r="H218" s="128"/>
      <c r="I218" s="327"/>
    </row>
    <row r="219" spans="1:12" ht="31.5" customHeight="1" thickBot="1">
      <c r="A219" s="349"/>
      <c r="B219" s="2172"/>
      <c r="C219" s="45" t="s">
        <v>13</v>
      </c>
      <c r="D219" s="333">
        <f>SUM(D214:D218)</f>
        <v>0</v>
      </c>
      <c r="E219" s="372">
        <f>SUM(E214:E218)</f>
        <v>212319.52000000002</v>
      </c>
      <c r="F219" s="333">
        <f t="shared" ref="F219:I219" si="24">SUM(F214:F218)</f>
        <v>68321.31</v>
      </c>
      <c r="G219" s="333">
        <f t="shared" si="24"/>
        <v>0</v>
      </c>
      <c r="H219" s="333">
        <f t="shared" si="24"/>
        <v>0</v>
      </c>
      <c r="I219" s="33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Y227"/>
  <sheetViews>
    <sheetView topLeftCell="C166" workbookViewId="0">
      <selection activeCell="E75" sqref="E7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185</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734" t="s">
        <v>186</v>
      </c>
      <c r="B17" s="2732"/>
      <c r="C17" s="373">
        <v>2014</v>
      </c>
      <c r="D17" s="374"/>
      <c r="E17" s="375"/>
      <c r="F17" s="375"/>
      <c r="G17" s="376">
        <f t="shared" ref="G17:G23" si="0">SUM(D17:F17)</f>
        <v>0</v>
      </c>
      <c r="H17" s="377"/>
      <c r="I17" s="375"/>
      <c r="J17" s="375"/>
      <c r="K17" s="375"/>
      <c r="L17" s="375"/>
      <c r="M17" s="378"/>
      <c r="N17" s="378"/>
      <c r="O17" s="379"/>
      <c r="P17" s="38"/>
      <c r="Q17" s="38"/>
      <c r="R17" s="38"/>
      <c r="S17" s="38"/>
      <c r="T17" s="38"/>
      <c r="U17" s="38"/>
      <c r="V17" s="38"/>
      <c r="W17" s="38"/>
      <c r="X17" s="38"/>
      <c r="Y17" s="38"/>
    </row>
    <row r="18" spans="1:25">
      <c r="A18" s="2734"/>
      <c r="B18" s="2732"/>
      <c r="C18" s="380">
        <v>2015</v>
      </c>
      <c r="D18" s="381"/>
      <c r="E18" s="382"/>
      <c r="F18" s="382"/>
      <c r="G18" s="376"/>
      <c r="H18" s="383"/>
      <c r="I18" s="382"/>
      <c r="J18" s="382"/>
      <c r="K18" s="382"/>
      <c r="L18" s="382"/>
      <c r="M18" s="384"/>
      <c r="N18" s="384"/>
      <c r="O18" s="385"/>
      <c r="P18" s="38"/>
      <c r="Q18" s="38"/>
      <c r="R18" s="38"/>
      <c r="S18" s="38"/>
      <c r="T18" s="38"/>
      <c r="U18" s="38"/>
      <c r="V18" s="38"/>
      <c r="W18" s="38"/>
      <c r="X18" s="38"/>
      <c r="Y18" s="38"/>
    </row>
    <row r="19" spans="1:25">
      <c r="A19" s="2734"/>
      <c r="B19" s="2732"/>
      <c r="C19" s="380">
        <v>2016</v>
      </c>
      <c r="D19" s="381">
        <v>11</v>
      </c>
      <c r="E19" s="382"/>
      <c r="F19" s="382"/>
      <c r="G19" s="376">
        <f t="shared" si="0"/>
        <v>11</v>
      </c>
      <c r="H19" s="383">
        <v>11</v>
      </c>
      <c r="I19" s="382"/>
      <c r="J19" s="382"/>
      <c r="K19" s="382"/>
      <c r="L19" s="382"/>
      <c r="M19" s="384"/>
      <c r="N19" s="384"/>
      <c r="O19" s="385"/>
      <c r="P19" s="38"/>
      <c r="Q19" s="38"/>
      <c r="R19" s="38"/>
      <c r="S19" s="38"/>
      <c r="T19" s="38"/>
      <c r="U19" s="38"/>
      <c r="V19" s="38"/>
      <c r="W19" s="38"/>
      <c r="X19" s="38"/>
      <c r="Y19" s="38"/>
    </row>
    <row r="20" spans="1:25">
      <c r="A20" s="2734"/>
      <c r="B20" s="2732"/>
      <c r="C20" s="380">
        <v>2017</v>
      </c>
      <c r="D20" s="381"/>
      <c r="E20" s="382"/>
      <c r="F20" s="382"/>
      <c r="G20" s="376">
        <f t="shared" si="0"/>
        <v>0</v>
      </c>
      <c r="H20" s="383"/>
      <c r="I20" s="382"/>
      <c r="J20" s="382"/>
      <c r="K20" s="382"/>
      <c r="L20" s="382"/>
      <c r="M20" s="384"/>
      <c r="N20" s="384"/>
      <c r="O20" s="385"/>
      <c r="P20" s="38"/>
      <c r="Q20" s="38"/>
      <c r="R20" s="38"/>
      <c r="S20" s="38"/>
      <c r="T20" s="38"/>
      <c r="U20" s="38"/>
      <c r="V20" s="38"/>
      <c r="W20" s="38"/>
      <c r="X20" s="38"/>
      <c r="Y20" s="38"/>
    </row>
    <row r="21" spans="1:25">
      <c r="A21" s="2734"/>
      <c r="B21" s="2732"/>
      <c r="C21" s="380">
        <v>2018</v>
      </c>
      <c r="D21" s="381"/>
      <c r="E21" s="382"/>
      <c r="F21" s="382"/>
      <c r="G21" s="376">
        <f t="shared" si="0"/>
        <v>0</v>
      </c>
      <c r="H21" s="383"/>
      <c r="I21" s="382"/>
      <c r="J21" s="382"/>
      <c r="K21" s="382"/>
      <c r="L21" s="382"/>
      <c r="M21" s="384"/>
      <c r="N21" s="384"/>
      <c r="O21" s="385"/>
      <c r="P21" s="38"/>
      <c r="Q21" s="38"/>
      <c r="R21" s="38"/>
      <c r="S21" s="38"/>
      <c r="T21" s="38"/>
      <c r="U21" s="38"/>
      <c r="V21" s="38"/>
      <c r="W21" s="38"/>
      <c r="X21" s="38"/>
      <c r="Y21" s="38"/>
    </row>
    <row r="22" spans="1:25">
      <c r="A22" s="2734"/>
      <c r="B22" s="2732"/>
      <c r="C22" s="386">
        <v>2019</v>
      </c>
      <c r="D22" s="381"/>
      <c r="E22" s="382"/>
      <c r="F22" s="382"/>
      <c r="G22" s="376">
        <f>SUM(D22:F22)</f>
        <v>0</v>
      </c>
      <c r="H22" s="383"/>
      <c r="I22" s="382"/>
      <c r="J22" s="382"/>
      <c r="K22" s="382"/>
      <c r="L22" s="382"/>
      <c r="M22" s="384"/>
      <c r="N22" s="384"/>
      <c r="O22" s="385"/>
      <c r="P22" s="38"/>
      <c r="Q22" s="38"/>
      <c r="R22" s="38"/>
      <c r="S22" s="38"/>
      <c r="T22" s="38"/>
      <c r="U22" s="38"/>
      <c r="V22" s="38"/>
      <c r="W22" s="38"/>
      <c r="X22" s="38"/>
      <c r="Y22" s="38"/>
    </row>
    <row r="23" spans="1:25">
      <c r="A23" s="2734"/>
      <c r="B23" s="2732"/>
      <c r="C23" s="380">
        <v>2020</v>
      </c>
      <c r="D23" s="381"/>
      <c r="E23" s="382"/>
      <c r="F23" s="382"/>
      <c r="G23" s="376">
        <f t="shared" si="0"/>
        <v>0</v>
      </c>
      <c r="H23" s="383"/>
      <c r="I23" s="382"/>
      <c r="J23" s="382"/>
      <c r="K23" s="382"/>
      <c r="L23" s="382"/>
      <c r="M23" s="384"/>
      <c r="N23" s="384"/>
      <c r="O23" s="385"/>
      <c r="P23" s="38"/>
      <c r="Q23" s="38"/>
      <c r="R23" s="38"/>
      <c r="S23" s="38"/>
      <c r="T23" s="38"/>
      <c r="U23" s="38"/>
      <c r="V23" s="38"/>
      <c r="W23" s="38"/>
      <c r="X23" s="38"/>
      <c r="Y23" s="38"/>
    </row>
    <row r="24" spans="1:25" ht="30.75" customHeight="1" thickBot="1">
      <c r="A24" s="2735"/>
      <c r="B24" s="2733"/>
      <c r="C24" s="387" t="s">
        <v>13</v>
      </c>
      <c r="D24" s="388">
        <f>SUM(D17:D23)</f>
        <v>11</v>
      </c>
      <c r="E24" s="389">
        <f>SUM(E17:E23)</f>
        <v>0</v>
      </c>
      <c r="F24" s="389">
        <f>SUM(F17:F23)</f>
        <v>0</v>
      </c>
      <c r="G24" s="390">
        <f>SUM(D24:F24)</f>
        <v>11</v>
      </c>
      <c r="H24" s="391">
        <f>SUM(H17:H23)</f>
        <v>11</v>
      </c>
      <c r="I24" s="392">
        <f>SUM(I17:I23)</f>
        <v>0</v>
      </c>
      <c r="J24" s="392">
        <f t="shared" ref="J24:N24" si="1">SUM(J17:J23)</f>
        <v>0</v>
      </c>
      <c r="K24" s="392">
        <f t="shared" si="1"/>
        <v>0</v>
      </c>
      <c r="L24" s="392">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734" t="s">
        <v>187</v>
      </c>
      <c r="B28" s="2732"/>
      <c r="C28" s="58">
        <v>2014</v>
      </c>
      <c r="D28" s="393"/>
      <c r="E28" s="375"/>
      <c r="F28" s="375"/>
      <c r="G28" s="394">
        <f>SUM(D28:F28)</f>
        <v>0</v>
      </c>
      <c r="H28" s="38"/>
      <c r="I28" s="38"/>
      <c r="J28" s="38"/>
      <c r="K28" s="38"/>
      <c r="L28" s="38"/>
      <c r="M28" s="38"/>
      <c r="N28" s="38"/>
      <c r="O28" s="38"/>
      <c r="P28" s="38"/>
      <c r="Q28" s="8"/>
    </row>
    <row r="29" spans="1:25">
      <c r="A29" s="2734"/>
      <c r="B29" s="2732"/>
      <c r="C29" s="60">
        <v>2015</v>
      </c>
      <c r="D29" s="395"/>
      <c r="E29" s="382"/>
      <c r="F29" s="382"/>
      <c r="G29" s="394">
        <f>SUM(D29:F29)</f>
        <v>0</v>
      </c>
      <c r="H29" s="38"/>
      <c r="I29" s="38"/>
      <c r="J29" s="38"/>
      <c r="K29" s="38"/>
      <c r="L29" s="38"/>
      <c r="M29" s="38"/>
      <c r="N29" s="38"/>
      <c r="O29" s="38"/>
      <c r="P29" s="38"/>
      <c r="Q29" s="8"/>
    </row>
    <row r="30" spans="1:25">
      <c r="A30" s="2734"/>
      <c r="B30" s="2732"/>
      <c r="C30" s="60">
        <v>2016</v>
      </c>
      <c r="D30" s="383"/>
      <c r="E30" s="382">
        <v>546</v>
      </c>
      <c r="F30" s="382"/>
      <c r="G30" s="394">
        <f t="shared" ref="G30:G35" si="2">SUM(D30:F30)</f>
        <v>546</v>
      </c>
      <c r="H30" s="38"/>
      <c r="I30" s="38"/>
      <c r="J30" s="38"/>
      <c r="K30" s="38"/>
      <c r="L30" s="38"/>
      <c r="M30" s="38"/>
      <c r="N30" s="38"/>
      <c r="O30" s="38"/>
      <c r="P30" s="38"/>
      <c r="Q30" s="8"/>
    </row>
    <row r="31" spans="1:25">
      <c r="A31" s="2734"/>
      <c r="B31" s="2732"/>
      <c r="C31" s="60">
        <v>2017</v>
      </c>
      <c r="D31" s="383"/>
      <c r="E31" s="382"/>
      <c r="F31" s="382"/>
      <c r="G31" s="394">
        <f t="shared" si="2"/>
        <v>0</v>
      </c>
      <c r="H31" s="38"/>
      <c r="I31" s="38"/>
      <c r="J31" s="38"/>
      <c r="K31" s="38"/>
      <c r="L31" s="38"/>
      <c r="M31" s="38"/>
      <c r="N31" s="38"/>
      <c r="O31" s="38"/>
      <c r="P31" s="38"/>
      <c r="Q31" s="8"/>
    </row>
    <row r="32" spans="1:25">
      <c r="A32" s="2734"/>
      <c r="B32" s="2732"/>
      <c r="C32" s="60">
        <v>2018</v>
      </c>
      <c r="D32" s="395"/>
      <c r="E32" s="382"/>
      <c r="F32" s="382"/>
      <c r="G32" s="394">
        <f>SUM(D32:F32)</f>
        <v>0</v>
      </c>
      <c r="H32" s="38"/>
      <c r="I32" s="38"/>
      <c r="J32" s="38"/>
      <c r="K32" s="38"/>
      <c r="L32" s="38"/>
      <c r="M32" s="38"/>
      <c r="N32" s="38"/>
      <c r="O32" s="38"/>
      <c r="P32" s="38"/>
      <c r="Q32" s="8"/>
    </row>
    <row r="33" spans="1:17">
      <c r="A33" s="2734"/>
      <c r="B33" s="2732"/>
      <c r="C33" s="61">
        <v>2019</v>
      </c>
      <c r="D33" s="395"/>
      <c r="E33" s="382"/>
      <c r="F33" s="382"/>
      <c r="G33" s="394">
        <f t="shared" si="2"/>
        <v>0</v>
      </c>
      <c r="H33" s="38"/>
      <c r="I33" s="38"/>
      <c r="J33" s="38"/>
      <c r="K33" s="38"/>
      <c r="L33" s="38"/>
      <c r="M33" s="38"/>
      <c r="N33" s="38"/>
      <c r="O33" s="38"/>
      <c r="P33" s="38"/>
      <c r="Q33" s="8"/>
    </row>
    <row r="34" spans="1:17">
      <c r="A34" s="2734"/>
      <c r="B34" s="2732"/>
      <c r="C34" s="60">
        <v>2020</v>
      </c>
      <c r="D34" s="395"/>
      <c r="E34" s="382"/>
      <c r="F34" s="382"/>
      <c r="G34" s="394">
        <f t="shared" si="2"/>
        <v>0</v>
      </c>
      <c r="H34" s="38"/>
      <c r="I34" s="38"/>
      <c r="J34" s="38"/>
      <c r="K34" s="38"/>
      <c r="L34" s="38"/>
      <c r="M34" s="38"/>
      <c r="N34" s="38"/>
      <c r="O34" s="38"/>
      <c r="P34" s="38"/>
      <c r="Q34" s="8"/>
    </row>
    <row r="35" spans="1:17" ht="67.5" customHeight="1" thickBot="1">
      <c r="A35" s="2735"/>
      <c r="B35" s="2733"/>
      <c r="C35" s="62" t="s">
        <v>13</v>
      </c>
      <c r="D35" s="49">
        <f>SUM(D28:D34)</f>
        <v>0</v>
      </c>
      <c r="E35" s="47">
        <f>SUM(E28:E34)</f>
        <v>546</v>
      </c>
      <c r="F35" s="47">
        <f>SUM(F28:F34)</f>
        <v>0</v>
      </c>
      <c r="G35" s="51">
        <f t="shared" si="2"/>
        <v>546</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v>0</v>
      </c>
      <c r="C39" s="69" t="s">
        <v>9</v>
      </c>
      <c r="D39" s="70" t="s">
        <v>27</v>
      </c>
      <c r="E39" s="71" t="s">
        <v>28</v>
      </c>
      <c r="F39" s="72"/>
      <c r="G39" s="30"/>
      <c r="H39" s="30"/>
    </row>
    <row r="40" spans="1:17">
      <c r="A40" s="2674"/>
      <c r="B40" s="2068"/>
      <c r="C40" s="73">
        <v>2014</v>
      </c>
      <c r="D40" s="396"/>
      <c r="E40" s="397"/>
      <c r="F40" s="8"/>
      <c r="G40" s="38"/>
      <c r="H40" s="38"/>
    </row>
    <row r="41" spans="1:17">
      <c r="A41" s="2654"/>
      <c r="B41" s="2068"/>
      <c r="C41" s="74">
        <v>2015</v>
      </c>
      <c r="D41" s="398"/>
      <c r="E41" s="399"/>
      <c r="F41" s="8"/>
      <c r="G41" s="38"/>
      <c r="H41" s="38"/>
    </row>
    <row r="42" spans="1:17">
      <c r="A42" s="2654"/>
      <c r="B42" s="2068"/>
      <c r="C42" s="74">
        <v>2016</v>
      </c>
      <c r="D42" s="381">
        <v>184194</v>
      </c>
      <c r="E42" s="400">
        <v>36622</v>
      </c>
      <c r="F42" s="8"/>
      <c r="G42" s="38"/>
      <c r="H42" s="38"/>
    </row>
    <row r="43" spans="1:17">
      <c r="A43" s="2654"/>
      <c r="B43" s="2068"/>
      <c r="C43" s="74">
        <v>2017</v>
      </c>
      <c r="D43" s="381">
        <v>101788</v>
      </c>
      <c r="E43" s="380">
        <v>19755</v>
      </c>
      <c r="F43" s="8"/>
      <c r="G43" s="38"/>
      <c r="H43" s="38"/>
    </row>
    <row r="44" spans="1:17">
      <c r="A44" s="2654"/>
      <c r="B44" s="2068"/>
      <c r="C44" s="74">
        <v>2018</v>
      </c>
      <c r="D44" s="398"/>
      <c r="E44" s="380"/>
      <c r="F44" s="8"/>
      <c r="G44" s="38"/>
      <c r="H44" s="38"/>
    </row>
    <row r="45" spans="1:17">
      <c r="A45" s="2654"/>
      <c r="B45" s="2068"/>
      <c r="C45" s="74">
        <v>2019</v>
      </c>
      <c r="D45" s="398"/>
      <c r="E45" s="399"/>
      <c r="F45" s="8"/>
      <c r="G45" s="38"/>
      <c r="H45" s="38"/>
    </row>
    <row r="46" spans="1:17">
      <c r="A46" s="2654"/>
      <c r="B46" s="2068"/>
      <c r="C46" s="74">
        <v>2020</v>
      </c>
      <c r="D46" s="398"/>
      <c r="E46" s="399"/>
      <c r="F46" s="8"/>
      <c r="G46" s="38"/>
      <c r="H46" s="38"/>
    </row>
    <row r="47" spans="1:17" ht="15.75" thickBot="1">
      <c r="A47" s="2070"/>
      <c r="B47" s="2071"/>
      <c r="C47" s="45" t="s">
        <v>13</v>
      </c>
      <c r="D47" s="46">
        <f>SUM(D40:D46)</f>
        <v>285982</v>
      </c>
      <c r="E47" s="76">
        <f>SUM(E40:E46)</f>
        <v>56377</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727"/>
      <c r="B62" s="2728" t="s">
        <v>188</v>
      </c>
      <c r="C62" s="401">
        <v>2014</v>
      </c>
      <c r="D62" s="378"/>
      <c r="E62" s="402"/>
      <c r="F62" s="403"/>
      <c r="G62" s="403"/>
      <c r="H62" s="403"/>
      <c r="I62" s="403"/>
      <c r="J62" s="403"/>
      <c r="K62" s="403"/>
      <c r="L62" s="379"/>
      <c r="M62" s="8"/>
      <c r="N62" s="8"/>
      <c r="O62" s="8"/>
    </row>
    <row r="63" spans="1:15">
      <c r="A63" s="2727"/>
      <c r="B63" s="2729"/>
      <c r="C63" s="404">
        <v>2015</v>
      </c>
      <c r="D63" s="384"/>
      <c r="E63" s="405"/>
      <c r="F63" s="384"/>
      <c r="G63" s="384"/>
      <c r="H63" s="384"/>
      <c r="I63" s="384"/>
      <c r="J63" s="384"/>
      <c r="K63" s="384"/>
      <c r="L63" s="406"/>
      <c r="M63" s="8"/>
      <c r="N63" s="8"/>
      <c r="O63" s="8"/>
    </row>
    <row r="64" spans="1:15">
      <c r="A64" s="2727"/>
      <c r="B64" s="2729"/>
      <c r="C64" s="404">
        <v>2016</v>
      </c>
      <c r="D64" s="382">
        <v>68</v>
      </c>
      <c r="E64" s="407">
        <v>68</v>
      </c>
      <c r="F64" s="382"/>
      <c r="G64" s="382"/>
      <c r="H64" s="382"/>
      <c r="I64" s="382"/>
      <c r="J64" s="382"/>
      <c r="K64" s="382"/>
      <c r="L64" s="408"/>
      <c r="M64" s="8"/>
      <c r="N64" s="8"/>
      <c r="O64" s="8"/>
    </row>
    <row r="65" spans="1:20">
      <c r="A65" s="2727"/>
      <c r="B65" s="2729"/>
      <c r="C65" s="404">
        <v>2017</v>
      </c>
      <c r="D65" s="382">
        <v>5</v>
      </c>
      <c r="E65" s="407">
        <v>5</v>
      </c>
      <c r="F65" s="382"/>
      <c r="G65" s="382"/>
      <c r="H65" s="382"/>
      <c r="I65" s="382"/>
      <c r="J65" s="382"/>
      <c r="K65" s="382"/>
      <c r="L65" s="408">
        <v>5</v>
      </c>
      <c r="M65" s="8"/>
      <c r="N65" s="8"/>
      <c r="O65" s="8"/>
    </row>
    <row r="66" spans="1:20">
      <c r="A66" s="2727"/>
      <c r="B66" s="2729"/>
      <c r="C66" s="404">
        <v>2018</v>
      </c>
      <c r="D66" s="382"/>
      <c r="E66" s="407"/>
      <c r="F66" s="382"/>
      <c r="G66" s="382"/>
      <c r="H66" s="382"/>
      <c r="I66" s="382"/>
      <c r="J66" s="382"/>
      <c r="K66" s="382"/>
      <c r="L66" s="408"/>
      <c r="M66" s="8"/>
      <c r="N66" s="8"/>
      <c r="O66" s="8"/>
    </row>
    <row r="67" spans="1:20" ht="17.25" customHeight="1">
      <c r="A67" s="2727"/>
      <c r="B67" s="2729"/>
      <c r="C67" s="404">
        <v>2019</v>
      </c>
      <c r="D67" s="384"/>
      <c r="E67" s="405"/>
      <c r="F67" s="384"/>
      <c r="G67" s="384"/>
      <c r="H67" s="384"/>
      <c r="I67" s="384"/>
      <c r="J67" s="384"/>
      <c r="K67" s="384"/>
      <c r="L67" s="406"/>
      <c r="M67" s="8"/>
      <c r="N67" s="8"/>
      <c r="O67" s="8"/>
    </row>
    <row r="68" spans="1:20" ht="16.5" customHeight="1">
      <c r="A68" s="2727"/>
      <c r="B68" s="2729"/>
      <c r="C68" s="404">
        <v>2020</v>
      </c>
      <c r="D68" s="384"/>
      <c r="E68" s="405"/>
      <c r="F68" s="384"/>
      <c r="G68" s="384"/>
      <c r="H68" s="384"/>
      <c r="I68" s="384"/>
      <c r="J68" s="384"/>
      <c r="K68" s="384"/>
      <c r="L68" s="406"/>
      <c r="M68" s="77"/>
      <c r="N68" s="77"/>
      <c r="O68" s="77"/>
    </row>
    <row r="69" spans="1:20" ht="74.25" customHeight="1" thickBot="1">
      <c r="A69" s="2194"/>
      <c r="B69" s="2730"/>
      <c r="C69" s="409" t="s">
        <v>13</v>
      </c>
      <c r="D69" s="107">
        <f>SUM(D62:D68)</f>
        <v>73</v>
      </c>
      <c r="E69" s="108">
        <f>SUM(E62:E68)</f>
        <v>73</v>
      </c>
      <c r="F69" s="109">
        <f t="shared" ref="F69:I69" si="4">SUM(F62:F68)</f>
        <v>0</v>
      </c>
      <c r="G69" s="109">
        <f t="shared" si="4"/>
        <v>0</v>
      </c>
      <c r="H69" s="109">
        <f t="shared" si="4"/>
        <v>0</v>
      </c>
      <c r="I69" s="109">
        <f t="shared" si="4"/>
        <v>0</v>
      </c>
      <c r="J69" s="109"/>
      <c r="K69" s="109">
        <f>SUM(K62:K68)</f>
        <v>0</v>
      </c>
      <c r="L69" s="110">
        <f>SUM(L62:L68)</f>
        <v>5</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731"/>
      <c r="B72" s="2732" t="s">
        <v>189</v>
      </c>
      <c r="C72" s="73">
        <v>2014</v>
      </c>
      <c r="D72" s="410"/>
      <c r="E72" s="410"/>
      <c r="F72" s="410"/>
      <c r="G72" s="411">
        <f>SUM(D72:F72)</f>
        <v>0</v>
      </c>
      <c r="H72" s="374"/>
      <c r="I72" s="412"/>
      <c r="J72" s="413"/>
      <c r="K72" s="413"/>
      <c r="L72" s="413"/>
      <c r="M72" s="413"/>
      <c r="N72" s="413"/>
      <c r="O72" s="414"/>
    </row>
    <row r="73" spans="1:20">
      <c r="A73" s="2731"/>
      <c r="B73" s="2732"/>
      <c r="C73" s="74">
        <v>2015</v>
      </c>
      <c r="D73" s="369"/>
      <c r="E73" s="369"/>
      <c r="F73" s="369"/>
      <c r="G73" s="411">
        <f t="shared" ref="G73:G78" si="5">SUM(D73:F73)</f>
        <v>0</v>
      </c>
      <c r="H73" s="381"/>
      <c r="I73" s="381"/>
      <c r="J73" s="382"/>
      <c r="K73" s="382"/>
      <c r="L73" s="382"/>
      <c r="M73" s="382"/>
      <c r="N73" s="382"/>
      <c r="O73" s="408"/>
    </row>
    <row r="74" spans="1:20">
      <c r="A74" s="2731"/>
      <c r="B74" s="2732"/>
      <c r="C74" s="74">
        <v>2016</v>
      </c>
      <c r="D74" s="369"/>
      <c r="E74" s="369">
        <v>6</v>
      </c>
      <c r="F74" s="369"/>
      <c r="G74" s="411">
        <f t="shared" si="5"/>
        <v>6</v>
      </c>
      <c r="H74" s="381">
        <v>6</v>
      </c>
      <c r="I74" s="381"/>
      <c r="J74" s="382"/>
      <c r="K74" s="382"/>
      <c r="L74" s="382"/>
      <c r="M74" s="382"/>
      <c r="N74" s="382"/>
      <c r="O74" s="408"/>
    </row>
    <row r="75" spans="1:20">
      <c r="A75" s="2731"/>
      <c r="B75" s="2732"/>
      <c r="C75" s="74">
        <v>2017</v>
      </c>
      <c r="D75" s="369"/>
      <c r="E75" s="369"/>
      <c r="F75" s="369">
        <v>3</v>
      </c>
      <c r="G75" s="411">
        <f t="shared" si="5"/>
        <v>3</v>
      </c>
      <c r="H75" s="381"/>
      <c r="I75" s="381"/>
      <c r="J75" s="382"/>
      <c r="K75" s="382"/>
      <c r="L75" s="382"/>
      <c r="M75" s="382"/>
      <c r="N75" s="382"/>
      <c r="O75" s="408">
        <v>3</v>
      </c>
    </row>
    <row r="76" spans="1:20">
      <c r="A76" s="2731"/>
      <c r="B76" s="2732"/>
      <c r="C76" s="74">
        <v>2018</v>
      </c>
      <c r="D76" s="369"/>
      <c r="E76" s="369"/>
      <c r="F76" s="369"/>
      <c r="G76" s="411">
        <f t="shared" si="5"/>
        <v>0</v>
      </c>
      <c r="H76" s="381"/>
      <c r="I76" s="381"/>
      <c r="J76" s="382"/>
      <c r="K76" s="382"/>
      <c r="L76" s="382"/>
      <c r="M76" s="382"/>
      <c r="N76" s="382"/>
      <c r="O76" s="408"/>
    </row>
    <row r="77" spans="1:20" ht="15.75" customHeight="1">
      <c r="A77" s="2731"/>
      <c r="B77" s="2732"/>
      <c r="C77" s="74">
        <v>2019</v>
      </c>
      <c r="D77" s="369"/>
      <c r="E77" s="369"/>
      <c r="F77" s="369"/>
      <c r="G77" s="411">
        <f t="shared" si="5"/>
        <v>0</v>
      </c>
      <c r="H77" s="381"/>
      <c r="I77" s="381"/>
      <c r="J77" s="382"/>
      <c r="K77" s="382"/>
      <c r="L77" s="382"/>
      <c r="M77" s="382"/>
      <c r="N77" s="382"/>
      <c r="O77" s="408"/>
    </row>
    <row r="78" spans="1:20" ht="17.25" customHeight="1">
      <c r="A78" s="2731"/>
      <c r="B78" s="2732"/>
      <c r="C78" s="74">
        <v>2020</v>
      </c>
      <c r="D78" s="369"/>
      <c r="E78" s="369"/>
      <c r="F78" s="369"/>
      <c r="G78" s="411">
        <f t="shared" si="5"/>
        <v>0</v>
      </c>
      <c r="H78" s="381"/>
      <c r="I78" s="381"/>
      <c r="J78" s="382"/>
      <c r="K78" s="382"/>
      <c r="L78" s="382"/>
      <c r="M78" s="382"/>
      <c r="N78" s="382"/>
      <c r="O78" s="408"/>
    </row>
    <row r="79" spans="1:20" ht="94.5" customHeight="1" thickBot="1">
      <c r="A79" s="2202"/>
      <c r="B79" s="2733"/>
      <c r="C79" s="129" t="s">
        <v>13</v>
      </c>
      <c r="D79" s="415">
        <f>SUM(D72:D78)</f>
        <v>0</v>
      </c>
      <c r="E79" s="415">
        <f>SUM(E72:E78)</f>
        <v>6</v>
      </c>
      <c r="F79" s="415">
        <f>SUM(F72:F78)</f>
        <v>3</v>
      </c>
      <c r="G79" s="416">
        <f>SUM(G72:G78)</f>
        <v>9</v>
      </c>
      <c r="H79" s="417">
        <f>SUM(H73:H78)</f>
        <v>6</v>
      </c>
      <c r="I79" s="418">
        <f t="shared" ref="I79:O79" si="6">SUM(I72:I78)</f>
        <v>0</v>
      </c>
      <c r="J79" s="419">
        <f t="shared" si="6"/>
        <v>0</v>
      </c>
      <c r="K79" s="419">
        <f t="shared" si="6"/>
        <v>0</v>
      </c>
      <c r="L79" s="419">
        <f t="shared" si="6"/>
        <v>0</v>
      </c>
      <c r="M79" s="419">
        <f t="shared" si="6"/>
        <v>0</v>
      </c>
      <c r="N79" s="419">
        <f t="shared" si="6"/>
        <v>0</v>
      </c>
      <c r="O79" s="420">
        <f t="shared" si="6"/>
        <v>3</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722"/>
      <c r="B178" s="2724"/>
      <c r="C178" s="99">
        <v>2014</v>
      </c>
      <c r="D178" s="33"/>
      <c r="E178" s="34"/>
      <c r="F178" s="34"/>
      <c r="G178" s="278">
        <f>SUM(D178:F178)</f>
        <v>0</v>
      </c>
      <c r="H178" s="148"/>
      <c r="I178" s="148"/>
      <c r="J178" s="34"/>
      <c r="K178" s="34"/>
      <c r="L178" s="34"/>
      <c r="M178" s="34"/>
      <c r="N178" s="34"/>
      <c r="O178" s="37"/>
    </row>
    <row r="179" spans="1:15">
      <c r="A179" s="2722"/>
      <c r="B179" s="2725"/>
      <c r="C179" s="103">
        <v>2015</v>
      </c>
      <c r="D179" s="40"/>
      <c r="E179" s="41"/>
      <c r="F179" s="41"/>
      <c r="G179" s="278">
        <f t="shared" ref="G179:G184" si="19">SUM(D179:F179)</f>
        <v>0</v>
      </c>
      <c r="H179" s="279"/>
      <c r="I179" s="105"/>
      <c r="J179" s="41"/>
      <c r="K179" s="41"/>
      <c r="L179" s="41"/>
      <c r="M179" s="41"/>
      <c r="N179" s="41"/>
      <c r="O179" s="86"/>
    </row>
    <row r="180" spans="1:15">
      <c r="A180" s="2722"/>
      <c r="B180" s="2725"/>
      <c r="C180" s="103">
        <v>2016</v>
      </c>
      <c r="D180" s="398"/>
      <c r="E180" s="384"/>
      <c r="F180" s="41"/>
      <c r="G180" s="278">
        <f t="shared" si="19"/>
        <v>0</v>
      </c>
      <c r="H180" s="279"/>
      <c r="I180" s="105"/>
      <c r="J180" s="41"/>
      <c r="K180" s="41"/>
      <c r="L180" s="41"/>
      <c r="M180" s="41"/>
      <c r="N180" s="41"/>
      <c r="O180" s="86"/>
    </row>
    <row r="181" spans="1:15">
      <c r="A181" s="2722"/>
      <c r="B181" s="2725"/>
      <c r="C181" s="103">
        <v>2017</v>
      </c>
      <c r="D181" s="40"/>
      <c r="E181" s="41"/>
      <c r="F181" s="41"/>
      <c r="G181" s="278">
        <f t="shared" si="19"/>
        <v>0</v>
      </c>
      <c r="H181" s="279"/>
      <c r="I181" s="105"/>
      <c r="J181" s="41"/>
      <c r="K181" s="41"/>
      <c r="L181" s="41"/>
      <c r="M181" s="41"/>
      <c r="N181" s="41"/>
      <c r="O181" s="86"/>
    </row>
    <row r="182" spans="1:15">
      <c r="A182" s="2722"/>
      <c r="B182" s="2725"/>
      <c r="C182" s="103">
        <v>2018</v>
      </c>
      <c r="D182" s="40"/>
      <c r="E182" s="41"/>
      <c r="F182" s="41"/>
      <c r="G182" s="278">
        <f t="shared" si="19"/>
        <v>0</v>
      </c>
      <c r="H182" s="279"/>
      <c r="I182" s="105"/>
      <c r="J182" s="41"/>
      <c r="K182" s="41"/>
      <c r="L182" s="41"/>
      <c r="M182" s="41"/>
      <c r="N182" s="41"/>
      <c r="O182" s="86"/>
    </row>
    <row r="183" spans="1:15">
      <c r="A183" s="2722"/>
      <c r="B183" s="2725"/>
      <c r="C183" s="103">
        <v>2019</v>
      </c>
      <c r="D183" s="40"/>
      <c r="E183" s="41"/>
      <c r="F183" s="41"/>
      <c r="G183" s="278">
        <f t="shared" si="19"/>
        <v>0</v>
      </c>
      <c r="H183" s="279"/>
      <c r="I183" s="105"/>
      <c r="J183" s="41"/>
      <c r="K183" s="41"/>
      <c r="L183" s="41"/>
      <c r="M183" s="41"/>
      <c r="N183" s="41"/>
      <c r="O183" s="86"/>
    </row>
    <row r="184" spans="1:15">
      <c r="A184" s="2722"/>
      <c r="B184" s="2725"/>
      <c r="C184" s="103">
        <v>2020</v>
      </c>
      <c r="D184" s="40"/>
      <c r="E184" s="41"/>
      <c r="F184" s="41"/>
      <c r="G184" s="278">
        <f t="shared" si="19"/>
        <v>0</v>
      </c>
      <c r="H184" s="279"/>
      <c r="I184" s="105"/>
      <c r="J184" s="41"/>
      <c r="K184" s="41"/>
      <c r="L184" s="41"/>
      <c r="M184" s="41"/>
      <c r="N184" s="41"/>
      <c r="O184" s="86"/>
    </row>
    <row r="185" spans="1:15" ht="15.75" customHeight="1" thickBot="1">
      <c r="A185" s="2723"/>
      <c r="B185" s="2726"/>
      <c r="C185" s="106" t="s">
        <v>13</v>
      </c>
      <c r="D185" s="132">
        <f>SUM(D178:D184)</f>
        <v>0</v>
      </c>
      <c r="E185" s="109">
        <f>SUM(E178:E184)</f>
        <v>0</v>
      </c>
      <c r="F185" s="109">
        <f>SUM(F178:F184)</f>
        <v>0</v>
      </c>
      <c r="G185" s="217">
        <f t="shared" ref="G185:O185" si="20">SUM(G178:G184)</f>
        <v>0</v>
      </c>
      <c r="H185" s="280">
        <f t="shared" si="20"/>
        <v>0</v>
      </c>
      <c r="I185" s="108">
        <f t="shared" si="20"/>
        <v>0</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c r="E191" s="41"/>
      <c r="F191" s="41"/>
      <c r="G191" s="286">
        <f t="shared" si="21"/>
        <v>0</v>
      </c>
      <c r="H191" s="105"/>
      <c r="I191" s="41"/>
      <c r="J191" s="41"/>
      <c r="K191" s="41"/>
      <c r="L191" s="86"/>
    </row>
    <row r="192" spans="1:15">
      <c r="A192" s="2658"/>
      <c r="B192" s="2068"/>
      <c r="C192" s="74">
        <v>2017</v>
      </c>
      <c r="D192" s="40"/>
      <c r="E192" s="41"/>
      <c r="F192" s="41"/>
      <c r="G192" s="286">
        <f t="shared" si="21"/>
        <v>0</v>
      </c>
      <c r="H192" s="105"/>
      <c r="I192" s="41"/>
      <c r="J192" s="41"/>
      <c r="K192" s="41"/>
      <c r="L192" s="86"/>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0</v>
      </c>
      <c r="E196" s="109">
        <f t="shared" si="22"/>
        <v>0</v>
      </c>
      <c r="F196" s="109">
        <f t="shared" si="22"/>
        <v>0</v>
      </c>
      <c r="G196" s="290">
        <f t="shared" si="22"/>
        <v>0</v>
      </c>
      <c r="H196" s="108">
        <f t="shared" si="22"/>
        <v>0</v>
      </c>
      <c r="I196" s="109">
        <f t="shared" si="22"/>
        <v>0</v>
      </c>
      <c r="J196" s="109">
        <f t="shared" si="22"/>
        <v>0</v>
      </c>
      <c r="K196" s="109">
        <f t="shared" si="22"/>
        <v>0</v>
      </c>
      <c r="L196" s="110">
        <f t="shared" si="22"/>
        <v>0</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C213" s="73"/>
      <c r="D213" s="421"/>
      <c r="E213" s="369">
        <f>SUM(E214:E217)</f>
        <v>117783.11</v>
      </c>
      <c r="F213" s="369">
        <f>SUM(F214:F217)</f>
        <v>34205.360000000001</v>
      </c>
      <c r="G213" s="421"/>
      <c r="H213" s="421"/>
      <c r="I213" s="422"/>
    </row>
    <row r="214" spans="1:12">
      <c r="A214" t="s">
        <v>153</v>
      </c>
      <c r="B214" s="423"/>
      <c r="C214" s="73"/>
      <c r="D214" s="424"/>
      <c r="E214" s="369">
        <v>117783.11</v>
      </c>
      <c r="F214" s="369">
        <f>33631.95+395.41+178</f>
        <v>34205.360000000001</v>
      </c>
      <c r="G214" s="421"/>
      <c r="H214" s="421"/>
      <c r="I214" s="422"/>
    </row>
    <row r="215" spans="1:12">
      <c r="A215" t="s">
        <v>155</v>
      </c>
      <c r="B215" s="423"/>
      <c r="C215" s="73"/>
      <c r="D215" s="424"/>
      <c r="E215" s="369"/>
      <c r="F215" s="369"/>
      <c r="G215" s="421"/>
      <c r="H215" s="421"/>
      <c r="I215" s="422"/>
    </row>
    <row r="216" spans="1:12">
      <c r="A216" t="s">
        <v>157</v>
      </c>
      <c r="B216" s="423"/>
      <c r="C216" s="73"/>
      <c r="D216" s="424"/>
      <c r="E216" s="369"/>
      <c r="F216" s="369"/>
      <c r="G216" s="421"/>
      <c r="H216" s="421"/>
      <c r="I216" s="422"/>
    </row>
    <row r="217" spans="1:12">
      <c r="A217" t="s">
        <v>158</v>
      </c>
      <c r="B217" s="423"/>
      <c r="C217" s="73"/>
      <c r="D217" s="424"/>
      <c r="E217" s="369"/>
      <c r="F217" s="369"/>
      <c r="G217" s="421"/>
      <c r="H217" s="421"/>
      <c r="I217" s="422"/>
    </row>
    <row r="218" spans="1:12" ht="240">
      <c r="A218" s="31" t="s">
        <v>159</v>
      </c>
      <c r="B218" s="425" t="s">
        <v>190</v>
      </c>
      <c r="C218" s="73"/>
      <c r="D218" s="424"/>
      <c r="E218" s="369">
        <v>83426.12</v>
      </c>
      <c r="F218" s="369">
        <v>4696.1400000000003</v>
      </c>
      <c r="G218" s="421"/>
      <c r="H218" s="421"/>
      <c r="I218" s="422"/>
    </row>
    <row r="219" spans="1:12" ht="15.75" thickBot="1">
      <c r="A219" s="349"/>
      <c r="B219" s="426"/>
      <c r="C219" s="45" t="s">
        <v>13</v>
      </c>
      <c r="D219" s="427">
        <f>SUM(D214:D218)</f>
        <v>0</v>
      </c>
      <c r="E219" s="370">
        <f>SUM(E214:E218)</f>
        <v>201209.22999999998</v>
      </c>
      <c r="F219" s="370">
        <f>SUM(F214:F218)</f>
        <v>38901.5</v>
      </c>
      <c r="G219" s="333">
        <f t="shared" ref="G219:I219" si="24">SUM(G214:G218)</f>
        <v>0</v>
      </c>
      <c r="H219" s="333">
        <f t="shared" si="24"/>
        <v>0</v>
      </c>
      <c r="I219" s="333">
        <f t="shared" si="24"/>
        <v>0</v>
      </c>
    </row>
    <row r="227" spans="1:1">
      <c r="A227" s="31"/>
    </row>
  </sheetData>
  <mergeCells count="58">
    <mergeCell ref="D60:D61"/>
    <mergeCell ref="B1:F1"/>
    <mergeCell ref="F3:O3"/>
    <mergeCell ref="A4:O10"/>
    <mergeCell ref="D15:G15"/>
    <mergeCell ref="A17:B24"/>
    <mergeCell ref="D26:G26"/>
    <mergeCell ref="A28:B35"/>
    <mergeCell ref="A40:B47"/>
    <mergeCell ref="A50:B58"/>
    <mergeCell ref="A60:A61"/>
    <mergeCell ref="C60:C61"/>
    <mergeCell ref="A62:A69"/>
    <mergeCell ref="B62:B69"/>
    <mergeCell ref="A72:A79"/>
    <mergeCell ref="B72:B79"/>
    <mergeCell ref="A85:B92"/>
    <mergeCell ref="A120:B127"/>
    <mergeCell ref="C96:C97"/>
    <mergeCell ref="D96:E96"/>
    <mergeCell ref="A98:B105"/>
    <mergeCell ref="A107:A108"/>
    <mergeCell ref="B107:B108"/>
    <mergeCell ref="C107:C108"/>
    <mergeCell ref="D107:D108"/>
    <mergeCell ref="A96:A97"/>
    <mergeCell ref="B96:B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H187:L187"/>
    <mergeCell ref="A189:B196"/>
    <mergeCell ref="A165:B172"/>
    <mergeCell ref="A176:A177"/>
    <mergeCell ref="B176:B177"/>
    <mergeCell ref="C176:C177"/>
    <mergeCell ref="I176:O176"/>
    <mergeCell ref="A178:A185"/>
    <mergeCell ref="B178:B185"/>
    <mergeCell ref="A202:B209"/>
    <mergeCell ref="A187:A188"/>
    <mergeCell ref="B187:B188"/>
    <mergeCell ref="C187:C188"/>
    <mergeCell ref="D187:G1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Y227"/>
  <sheetViews>
    <sheetView topLeftCell="A172" zoomScale="40" zoomScaleNormal="40" workbookViewId="0">
      <selection activeCell="E213" sqref="E213:F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191</v>
      </c>
      <c r="C1" s="1996"/>
      <c r="D1" s="1996"/>
      <c r="E1" s="1996"/>
      <c r="F1" s="1996"/>
    </row>
    <row r="2" spans="1:25" s="2" customFormat="1" ht="20.100000000000001" customHeight="1" thickBot="1"/>
    <row r="3" spans="1:25" s="5" customFormat="1" ht="20.100000000000001" customHeight="1">
      <c r="A3" s="1942" t="s">
        <v>2</v>
      </c>
      <c r="B3" s="1943"/>
      <c r="C3" s="1943"/>
      <c r="D3" s="1943"/>
      <c r="E3" s="1943"/>
      <c r="F3" s="2763"/>
      <c r="G3" s="2763"/>
      <c r="H3" s="2763"/>
      <c r="I3" s="2763"/>
      <c r="J3" s="2763"/>
      <c r="K3" s="2763"/>
      <c r="L3" s="2763"/>
      <c r="M3" s="2763"/>
      <c r="N3" s="2763"/>
      <c r="O3" s="2764"/>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765"/>
      <c r="B10" s="2766"/>
      <c r="C10" s="2766"/>
      <c r="D10" s="2766"/>
      <c r="E10" s="2766"/>
      <c r="F10" s="2766"/>
      <c r="G10" s="2766"/>
      <c r="H10" s="2766"/>
      <c r="I10" s="2766"/>
      <c r="J10" s="2766"/>
      <c r="K10" s="2766"/>
      <c r="L10" s="2766"/>
      <c r="M10" s="2766"/>
      <c r="N10" s="2766"/>
      <c r="O10" s="2767"/>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944"/>
      <c r="B15" s="1945"/>
      <c r="C15" s="11"/>
      <c r="D15" s="2112" t="s">
        <v>5</v>
      </c>
      <c r="E15" s="2768"/>
      <c r="F15" s="2768"/>
      <c r="G15" s="2768"/>
      <c r="H15" s="12"/>
      <c r="I15" s="13" t="s">
        <v>6</v>
      </c>
      <c r="J15" s="14"/>
      <c r="K15" s="14"/>
      <c r="L15" s="14"/>
      <c r="M15" s="14"/>
      <c r="N15" s="14"/>
      <c r="O15" s="15"/>
      <c r="P15" s="16"/>
      <c r="Q15" s="17"/>
      <c r="R15" s="18"/>
      <c r="S15" s="18"/>
      <c r="T15" s="18"/>
      <c r="U15" s="18"/>
      <c r="V15" s="18"/>
      <c r="W15" s="16"/>
      <c r="X15" s="16"/>
      <c r="Y15" s="17"/>
    </row>
    <row r="16" spans="1:25" s="194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216" t="s">
        <v>192</v>
      </c>
      <c r="B17" s="2217"/>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218"/>
      <c r="B18" s="2217"/>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218"/>
      <c r="B19" s="2217"/>
      <c r="C19" s="39">
        <v>2016</v>
      </c>
      <c r="D19" s="40">
        <v>5</v>
      </c>
      <c r="E19" s="41">
        <v>1</v>
      </c>
      <c r="F19" s="41"/>
      <c r="G19" s="35">
        <f t="shared" si="0"/>
        <v>6</v>
      </c>
      <c r="H19" s="42">
        <v>6</v>
      </c>
      <c r="I19" s="41"/>
      <c r="J19" s="41"/>
      <c r="K19" s="41"/>
      <c r="L19" s="41"/>
      <c r="M19" s="41"/>
      <c r="N19" s="41"/>
      <c r="O19" s="43"/>
      <c r="P19" s="38"/>
      <c r="Q19" s="38"/>
      <c r="R19" s="38"/>
      <c r="S19" s="38"/>
      <c r="T19" s="38"/>
      <c r="U19" s="38"/>
      <c r="V19" s="38"/>
      <c r="W19" s="38"/>
      <c r="X19" s="38"/>
      <c r="Y19" s="38"/>
    </row>
    <row r="20" spans="1:25">
      <c r="A20" s="2218"/>
      <c r="B20" s="2217"/>
      <c r="C20" s="39">
        <v>2017</v>
      </c>
      <c r="D20" s="40">
        <v>3</v>
      </c>
      <c r="E20" s="41"/>
      <c r="F20" s="41">
        <v>1</v>
      </c>
      <c r="G20" s="35">
        <f t="shared" si="0"/>
        <v>4</v>
      </c>
      <c r="H20" s="42">
        <v>4</v>
      </c>
      <c r="I20" s="41"/>
      <c r="J20" s="41"/>
      <c r="K20" s="41"/>
      <c r="L20" s="41"/>
      <c r="M20" s="41"/>
      <c r="N20" s="41"/>
      <c r="O20" s="43"/>
      <c r="P20" s="38"/>
      <c r="Q20" s="38"/>
      <c r="R20" s="38"/>
      <c r="S20" s="38"/>
      <c r="T20" s="38"/>
      <c r="U20" s="38"/>
      <c r="V20" s="38"/>
      <c r="W20" s="38"/>
      <c r="X20" s="38"/>
      <c r="Y20" s="38"/>
    </row>
    <row r="21" spans="1:25">
      <c r="A21" s="2218"/>
      <c r="B21" s="2217"/>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218"/>
      <c r="B22" s="2217"/>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218"/>
      <c r="B23" s="2217"/>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85.25" customHeight="1" thickBot="1">
      <c r="A24" s="2219"/>
      <c r="B24" s="2769"/>
      <c r="C24" s="45" t="s">
        <v>13</v>
      </c>
      <c r="D24" s="46">
        <f>SUM(D17:D23)</f>
        <v>8</v>
      </c>
      <c r="E24" s="47">
        <f>SUM(E17:E23)</f>
        <v>1</v>
      </c>
      <c r="F24" s="47">
        <f>SUM(F17:F23)</f>
        <v>1</v>
      </c>
      <c r="G24" s="48">
        <f>SUM(D24:F24)</f>
        <v>10</v>
      </c>
      <c r="H24" s="49">
        <f>SUM(H17:H23)</f>
        <v>10</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1944"/>
      <c r="B26" s="1945"/>
      <c r="C26" s="53"/>
      <c r="D26" s="2011" t="s">
        <v>5</v>
      </c>
      <c r="E26" s="2770"/>
      <c r="F26" s="2770"/>
      <c r="G26" s="2771"/>
      <c r="H26" s="16"/>
      <c r="I26" s="17"/>
      <c r="J26" s="18"/>
      <c r="K26" s="18"/>
      <c r="L26" s="18"/>
      <c r="M26" s="18"/>
      <c r="N26" s="18"/>
      <c r="O26" s="16"/>
      <c r="P26" s="16"/>
    </row>
    <row r="27" spans="1:25" s="1941"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216" t="s">
        <v>193</v>
      </c>
      <c r="B28" s="2772"/>
      <c r="C28" s="58">
        <v>2014</v>
      </c>
      <c r="D28" s="36"/>
      <c r="E28" s="34"/>
      <c r="F28" s="34"/>
      <c r="G28" s="59">
        <f>SUM(D28:F28)</f>
        <v>0</v>
      </c>
      <c r="H28" s="38"/>
      <c r="I28" s="38"/>
      <c r="J28" s="38"/>
      <c r="K28" s="38"/>
      <c r="L28" s="38"/>
      <c r="M28" s="38"/>
      <c r="N28" s="38"/>
      <c r="O28" s="38"/>
      <c r="P28" s="38"/>
      <c r="Q28" s="8"/>
    </row>
    <row r="29" spans="1:25">
      <c r="A29" s="2191"/>
      <c r="B29" s="2772"/>
      <c r="C29" s="60">
        <v>2015</v>
      </c>
      <c r="D29" s="42"/>
      <c r="E29" s="41"/>
      <c r="F29" s="41"/>
      <c r="G29" s="59">
        <f t="shared" ref="G29:G35" si="2">SUM(D29:F29)</f>
        <v>0</v>
      </c>
      <c r="H29" s="38"/>
      <c r="I29" s="38"/>
      <c r="J29" s="38"/>
      <c r="K29" s="38"/>
      <c r="L29" s="38"/>
      <c r="M29" s="38"/>
      <c r="N29" s="38"/>
      <c r="O29" s="38"/>
      <c r="P29" s="38"/>
      <c r="Q29" s="8"/>
    </row>
    <row r="30" spans="1:25">
      <c r="A30" s="2191"/>
      <c r="B30" s="2772"/>
      <c r="C30" s="60">
        <v>2016</v>
      </c>
      <c r="D30" s="42">
        <v>65000</v>
      </c>
      <c r="E30" s="41"/>
      <c r="F30" s="41"/>
      <c r="G30" s="59">
        <f t="shared" si="2"/>
        <v>65000</v>
      </c>
      <c r="H30" s="38"/>
      <c r="I30" s="38"/>
      <c r="J30" s="38"/>
      <c r="K30" s="38"/>
      <c r="L30" s="38"/>
      <c r="M30" s="38"/>
      <c r="N30" s="38"/>
      <c r="O30" s="38"/>
      <c r="P30" s="38"/>
      <c r="Q30" s="8"/>
    </row>
    <row r="31" spans="1:25">
      <c r="A31" s="2191"/>
      <c r="B31" s="2772"/>
      <c r="C31" s="60">
        <v>2017</v>
      </c>
      <c r="D31" s="42">
        <v>33000</v>
      </c>
      <c r="E31" s="41"/>
      <c r="F31" s="41">
        <v>31000</v>
      </c>
      <c r="G31" s="59">
        <f t="shared" si="2"/>
        <v>64000</v>
      </c>
      <c r="H31" s="38"/>
      <c r="I31" s="38"/>
      <c r="J31" s="38"/>
      <c r="K31" s="38"/>
      <c r="L31" s="38"/>
      <c r="M31" s="38"/>
      <c r="N31" s="38"/>
      <c r="O31" s="38"/>
      <c r="P31" s="38"/>
      <c r="Q31" s="8"/>
    </row>
    <row r="32" spans="1:25">
      <c r="A32" s="2191"/>
      <c r="B32" s="2772"/>
      <c r="C32" s="60">
        <v>2018</v>
      </c>
      <c r="D32" s="42"/>
      <c r="E32" s="41"/>
      <c r="F32" s="41"/>
      <c r="G32" s="59">
        <f>SUM(D32:F32)</f>
        <v>0</v>
      </c>
      <c r="H32" s="38"/>
      <c r="I32" s="38"/>
      <c r="J32" s="38"/>
      <c r="K32" s="38"/>
      <c r="L32" s="38"/>
      <c r="M32" s="38"/>
      <c r="N32" s="38"/>
      <c r="O32" s="38"/>
      <c r="P32" s="38"/>
      <c r="Q32" s="8"/>
    </row>
    <row r="33" spans="1:17">
      <c r="A33" s="2191"/>
      <c r="B33" s="2772"/>
      <c r="C33" s="61">
        <v>2019</v>
      </c>
      <c r="D33" s="42"/>
      <c r="E33" s="41"/>
      <c r="F33" s="41"/>
      <c r="G33" s="59">
        <f t="shared" si="2"/>
        <v>0</v>
      </c>
      <c r="H33" s="38"/>
      <c r="I33" s="38"/>
      <c r="J33" s="38"/>
      <c r="K33" s="38"/>
      <c r="L33" s="38"/>
      <c r="M33" s="38"/>
      <c r="N33" s="38"/>
      <c r="O33" s="38"/>
      <c r="P33" s="38"/>
      <c r="Q33" s="8"/>
    </row>
    <row r="34" spans="1:17">
      <c r="A34" s="2191"/>
      <c r="B34" s="2772"/>
      <c r="C34" s="60">
        <v>2020</v>
      </c>
      <c r="D34" s="42"/>
      <c r="E34" s="41"/>
      <c r="F34" s="41"/>
      <c r="G34" s="59">
        <f t="shared" si="2"/>
        <v>0</v>
      </c>
      <c r="H34" s="38"/>
      <c r="I34" s="38"/>
      <c r="J34" s="38"/>
      <c r="K34" s="38"/>
      <c r="L34" s="38"/>
      <c r="M34" s="38"/>
      <c r="N34" s="38"/>
      <c r="O34" s="38"/>
      <c r="P34" s="38"/>
      <c r="Q34" s="8"/>
    </row>
    <row r="35" spans="1:17" ht="197.25" customHeight="1" thickBot="1">
      <c r="A35" s="2191"/>
      <c r="B35" s="2772"/>
      <c r="C35" s="62" t="s">
        <v>13</v>
      </c>
      <c r="D35" s="49">
        <f>SUM(D28:D34)</f>
        <v>98000</v>
      </c>
      <c r="E35" s="47">
        <f>SUM(E28:E34)</f>
        <v>0</v>
      </c>
      <c r="F35" s="47">
        <f>SUM(F28:F34)</f>
        <v>31000</v>
      </c>
      <c r="G35" s="51">
        <f t="shared" si="2"/>
        <v>129000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1946" t="s">
        <v>26</v>
      </c>
      <c r="B39" s="1947" t="s">
        <v>8</v>
      </c>
      <c r="C39" s="69" t="s">
        <v>9</v>
      </c>
      <c r="D39" s="70" t="s">
        <v>27</v>
      </c>
      <c r="E39" s="71" t="s">
        <v>28</v>
      </c>
      <c r="F39" s="72"/>
      <c r="G39" s="30"/>
      <c r="H39" s="30"/>
    </row>
    <row r="40" spans="1:17">
      <c r="A40" s="2025" t="s">
        <v>194</v>
      </c>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40">
        <v>191435</v>
      </c>
      <c r="E42" s="39">
        <v>116115</v>
      </c>
      <c r="F42" s="8"/>
      <c r="G42" s="38"/>
      <c r="H42" s="38"/>
    </row>
    <row r="43" spans="1:17">
      <c r="A43" s="2069"/>
      <c r="B43" s="2068"/>
      <c r="C43" s="74">
        <v>2017</v>
      </c>
      <c r="D43" s="40">
        <v>107227</v>
      </c>
      <c r="E43" s="39">
        <v>68855</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736"/>
      <c r="C47" s="45" t="s">
        <v>13</v>
      </c>
      <c r="D47" s="46">
        <f>SUM(D40:D46)</f>
        <v>298662</v>
      </c>
      <c r="E47" s="76">
        <f>SUM(E40:E46)</f>
        <v>184970</v>
      </c>
      <c r="F47" s="77"/>
      <c r="G47" s="38"/>
      <c r="H47" s="38"/>
    </row>
    <row r="48" spans="1:17" s="38" customFormat="1" ht="15.75" thickBot="1">
      <c r="A48" s="1948"/>
      <c r="B48" s="79"/>
      <c r="C48" s="80"/>
    </row>
    <row r="49" spans="1:15" ht="83.25" customHeight="1">
      <c r="A49" s="81" t="s">
        <v>30</v>
      </c>
      <c r="B49" s="1947"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v>0</v>
      </c>
      <c r="E53" s="41">
        <v>0</v>
      </c>
      <c r="F53" s="41">
        <v>0</v>
      </c>
      <c r="G53" s="41">
        <v>0</v>
      </c>
      <c r="H53" s="41">
        <v>0</v>
      </c>
      <c r="I53" s="41">
        <v>0</v>
      </c>
      <c r="J53" s="41">
        <v>0</v>
      </c>
      <c r="K53" s="86">
        <v>0</v>
      </c>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740"/>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773" t="s">
        <v>41</v>
      </c>
      <c r="B60" s="1949"/>
      <c r="C60" s="2774" t="s">
        <v>9</v>
      </c>
      <c r="D60" s="1993" t="s">
        <v>42</v>
      </c>
      <c r="E60" s="89" t="s">
        <v>6</v>
      </c>
      <c r="F60" s="1950"/>
      <c r="G60" s="1950"/>
      <c r="H60" s="1950"/>
      <c r="I60" s="1950"/>
      <c r="J60" s="1950"/>
      <c r="K60" s="1950"/>
      <c r="L60" s="195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761" t="s">
        <v>195</v>
      </c>
      <c r="B62" s="2746"/>
      <c r="C62" s="428">
        <v>2014</v>
      </c>
      <c r="D62" s="100"/>
      <c r="E62" s="101"/>
      <c r="F62" s="102"/>
      <c r="G62" s="102"/>
      <c r="H62" s="102"/>
      <c r="I62" s="102"/>
      <c r="J62" s="102"/>
      <c r="K62" s="102"/>
      <c r="L62" s="37"/>
      <c r="M62" s="8"/>
      <c r="N62" s="8"/>
      <c r="O62" s="8"/>
    </row>
    <row r="63" spans="1:15">
      <c r="A63" s="2745"/>
      <c r="B63" s="2746"/>
      <c r="C63" s="103">
        <v>2015</v>
      </c>
      <c r="D63" s="104"/>
      <c r="E63" s="105"/>
      <c r="F63" s="41"/>
      <c r="G63" s="41"/>
      <c r="H63" s="41"/>
      <c r="I63" s="41"/>
      <c r="J63" s="41"/>
      <c r="K63" s="41"/>
      <c r="L63" s="86"/>
      <c r="M63" s="8"/>
      <c r="N63" s="8"/>
      <c r="O63" s="8"/>
    </row>
    <row r="64" spans="1:15">
      <c r="A64" s="2745"/>
      <c r="B64" s="2746"/>
      <c r="C64" s="103">
        <v>2016</v>
      </c>
      <c r="D64" s="104">
        <v>43</v>
      </c>
      <c r="E64" s="105">
        <v>43</v>
      </c>
      <c r="F64" s="41"/>
      <c r="G64" s="41"/>
      <c r="H64" s="41"/>
      <c r="I64" s="41"/>
      <c r="J64" s="41"/>
      <c r="K64" s="41"/>
      <c r="L64" s="86"/>
      <c r="M64" s="8"/>
      <c r="N64" s="8"/>
      <c r="O64" s="8"/>
    </row>
    <row r="65" spans="1:20">
      <c r="A65" s="2745"/>
      <c r="B65" s="2746"/>
      <c r="C65" s="103">
        <v>2017</v>
      </c>
      <c r="D65" s="104">
        <v>26</v>
      </c>
      <c r="E65" s="105">
        <v>26</v>
      </c>
      <c r="F65" s="41"/>
      <c r="G65" s="41"/>
      <c r="H65" s="41"/>
      <c r="I65" s="41"/>
      <c r="J65" s="41"/>
      <c r="K65" s="41"/>
      <c r="L65" s="86"/>
      <c r="M65" s="8"/>
      <c r="N65" s="8"/>
      <c r="O65" s="8"/>
    </row>
    <row r="66" spans="1:20">
      <c r="A66" s="2745"/>
      <c r="B66" s="2746"/>
      <c r="C66" s="103">
        <v>2018</v>
      </c>
      <c r="D66" s="104"/>
      <c r="E66" s="105"/>
      <c r="F66" s="41"/>
      <c r="G66" s="41"/>
      <c r="H66" s="41"/>
      <c r="I66" s="41"/>
      <c r="J66" s="41"/>
      <c r="K66" s="41"/>
      <c r="L66" s="86"/>
      <c r="M66" s="8"/>
      <c r="N66" s="8"/>
      <c r="O66" s="8"/>
    </row>
    <row r="67" spans="1:20" ht="17.25" customHeight="1">
      <c r="A67" s="2745"/>
      <c r="B67" s="2746"/>
      <c r="C67" s="103">
        <v>2019</v>
      </c>
      <c r="D67" s="104"/>
      <c r="E67" s="105"/>
      <c r="F67" s="41"/>
      <c r="G67" s="41"/>
      <c r="H67" s="41"/>
      <c r="I67" s="41"/>
      <c r="J67" s="41"/>
      <c r="K67" s="41"/>
      <c r="L67" s="86"/>
      <c r="M67" s="8"/>
      <c r="N67" s="8"/>
      <c r="O67" s="8"/>
    </row>
    <row r="68" spans="1:20" ht="16.5" customHeight="1">
      <c r="A68" s="2745"/>
      <c r="B68" s="2746"/>
      <c r="C68" s="103">
        <v>2020</v>
      </c>
      <c r="D68" s="104"/>
      <c r="E68" s="105"/>
      <c r="F68" s="41"/>
      <c r="G68" s="41"/>
      <c r="H68" s="41"/>
      <c r="I68" s="41"/>
      <c r="J68" s="41"/>
      <c r="K68" s="41"/>
      <c r="L68" s="86"/>
      <c r="M68" s="77"/>
      <c r="N68" s="77"/>
      <c r="O68" s="77"/>
    </row>
    <row r="69" spans="1:20" ht="18" customHeight="1" thickBot="1">
      <c r="A69" s="2762"/>
      <c r="B69" s="2748"/>
      <c r="C69" s="106" t="s">
        <v>13</v>
      </c>
      <c r="D69" s="107">
        <f>SUM(D62:D68)</f>
        <v>69</v>
      </c>
      <c r="E69" s="108">
        <f>SUM(E62:E68)</f>
        <v>69</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1941"/>
      <c r="Q70" s="1941"/>
      <c r="R70" s="1941"/>
      <c r="S70" s="1941"/>
      <c r="T70" s="1941"/>
    </row>
    <row r="71" spans="1:20" ht="132" customHeight="1">
      <c r="A71" s="1946" t="s">
        <v>44</v>
      </c>
      <c r="B71" s="1947"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216" t="s">
        <v>196</v>
      </c>
      <c r="B72" s="2746"/>
      <c r="C72" s="73">
        <v>2014</v>
      </c>
      <c r="D72" s="124"/>
      <c r="E72" s="124"/>
      <c r="F72" s="124"/>
      <c r="G72" s="125">
        <f>SUM(D72:F72)</f>
        <v>0</v>
      </c>
      <c r="H72" s="33"/>
      <c r="I72" s="126"/>
      <c r="J72" s="102"/>
      <c r="K72" s="102"/>
      <c r="L72" s="102"/>
      <c r="M72" s="102"/>
      <c r="N72" s="102"/>
      <c r="O72" s="127"/>
    </row>
    <row r="73" spans="1:20">
      <c r="A73" s="2218"/>
      <c r="B73" s="2746"/>
      <c r="C73" s="74">
        <v>2015</v>
      </c>
      <c r="D73" s="128"/>
      <c r="E73" s="128"/>
      <c r="F73" s="128"/>
      <c r="G73" s="125">
        <f t="shared" ref="G73:G78" si="5">SUM(D73:F73)</f>
        <v>0</v>
      </c>
      <c r="H73" s="40"/>
      <c r="I73" s="40"/>
      <c r="J73" s="41"/>
      <c r="K73" s="41"/>
      <c r="L73" s="41"/>
      <c r="M73" s="41"/>
      <c r="N73" s="41"/>
      <c r="O73" s="86"/>
    </row>
    <row r="74" spans="1:20">
      <c r="A74" s="2218"/>
      <c r="B74" s="2746"/>
      <c r="C74" s="74">
        <v>2016</v>
      </c>
      <c r="D74" s="128">
        <v>0</v>
      </c>
      <c r="E74" s="128">
        <v>0</v>
      </c>
      <c r="F74" s="128">
        <v>0</v>
      </c>
      <c r="G74" s="125">
        <f t="shared" si="5"/>
        <v>0</v>
      </c>
      <c r="H74" s="40"/>
      <c r="I74" s="40"/>
      <c r="J74" s="41"/>
      <c r="K74" s="41"/>
      <c r="L74" s="41"/>
      <c r="M74" s="41"/>
      <c r="N74" s="41"/>
      <c r="O74" s="86"/>
    </row>
    <row r="75" spans="1:20">
      <c r="A75" s="2218"/>
      <c r="B75" s="2746"/>
      <c r="C75" s="74">
        <v>2017</v>
      </c>
      <c r="D75" s="128">
        <v>1</v>
      </c>
      <c r="E75" s="128"/>
      <c r="F75" s="128"/>
      <c r="G75" s="125">
        <f t="shared" si="5"/>
        <v>1</v>
      </c>
      <c r="H75" s="40">
        <v>1</v>
      </c>
      <c r="I75" s="40"/>
      <c r="J75" s="41"/>
      <c r="K75" s="41"/>
      <c r="L75" s="41"/>
      <c r="M75" s="41"/>
      <c r="N75" s="41"/>
      <c r="O75" s="86"/>
    </row>
    <row r="76" spans="1:20">
      <c r="A76" s="2218"/>
      <c r="B76" s="2746"/>
      <c r="C76" s="74">
        <v>2018</v>
      </c>
      <c r="D76" s="128"/>
      <c r="E76" s="128"/>
      <c r="F76" s="128"/>
      <c r="G76" s="125">
        <f t="shared" si="5"/>
        <v>0</v>
      </c>
      <c r="H76" s="40"/>
      <c r="I76" s="40"/>
      <c r="J76" s="41"/>
      <c r="K76" s="41"/>
      <c r="L76" s="41"/>
      <c r="M76" s="41"/>
      <c r="N76" s="41"/>
      <c r="O76" s="86"/>
    </row>
    <row r="77" spans="1:20" ht="15.75" customHeight="1">
      <c r="A77" s="2218"/>
      <c r="B77" s="2746"/>
      <c r="C77" s="74">
        <v>2019</v>
      </c>
      <c r="D77" s="128"/>
      <c r="E77" s="128"/>
      <c r="F77" s="128"/>
      <c r="G77" s="125">
        <f t="shared" si="5"/>
        <v>0</v>
      </c>
      <c r="H77" s="40"/>
      <c r="I77" s="40"/>
      <c r="J77" s="41"/>
      <c r="K77" s="41"/>
      <c r="L77" s="41"/>
      <c r="M77" s="41"/>
      <c r="N77" s="41"/>
      <c r="O77" s="86"/>
    </row>
    <row r="78" spans="1:20" ht="17.25" customHeight="1">
      <c r="A78" s="2218"/>
      <c r="B78" s="2746"/>
      <c r="C78" s="74">
        <v>2020</v>
      </c>
      <c r="D78" s="128"/>
      <c r="E78" s="128"/>
      <c r="F78" s="128"/>
      <c r="G78" s="125">
        <f t="shared" si="5"/>
        <v>0</v>
      </c>
      <c r="H78" s="40"/>
      <c r="I78" s="40"/>
      <c r="J78" s="41"/>
      <c r="K78" s="41"/>
      <c r="L78" s="41"/>
      <c r="M78" s="41"/>
      <c r="N78" s="41"/>
      <c r="O78" s="86"/>
    </row>
    <row r="79" spans="1:20" ht="20.25" customHeight="1" thickBot="1">
      <c r="A79" s="2762"/>
      <c r="B79" s="2748"/>
      <c r="C79" s="129" t="s">
        <v>13</v>
      </c>
      <c r="D79" s="107">
        <f>SUM(D72:D78)</f>
        <v>1</v>
      </c>
      <c r="E79" s="107">
        <f>SUM(E72:E78)</f>
        <v>0</v>
      </c>
      <c r="F79" s="107">
        <f>SUM(F72:F78)</f>
        <v>0</v>
      </c>
      <c r="G79" s="130">
        <f>SUM(G72:G78)</f>
        <v>1</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941" customFormat="1" ht="128.25" customHeight="1">
      <c r="A84" s="1952" t="s">
        <v>50</v>
      </c>
      <c r="B84" s="1953"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75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757" t="s">
        <v>61</v>
      </c>
      <c r="B96" s="2758" t="s">
        <v>62</v>
      </c>
      <c r="C96" s="2760" t="s">
        <v>9</v>
      </c>
      <c r="D96" s="2050" t="s">
        <v>63</v>
      </c>
      <c r="E96" s="2051"/>
      <c r="F96" s="155" t="s">
        <v>64</v>
      </c>
      <c r="G96" s="1954"/>
      <c r="H96" s="1954"/>
      <c r="I96" s="1954"/>
      <c r="J96" s="1954"/>
      <c r="K96" s="1954"/>
      <c r="L96" s="1954"/>
      <c r="M96" s="1955"/>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40"/>
      <c r="E100" s="41"/>
      <c r="F100" s="170"/>
      <c r="G100" s="171"/>
      <c r="H100" s="171"/>
      <c r="I100" s="171"/>
      <c r="J100" s="171"/>
      <c r="K100" s="171"/>
      <c r="L100" s="171"/>
      <c r="M100" s="172"/>
      <c r="N100" s="158"/>
      <c r="O100" s="158"/>
      <c r="P100" s="158"/>
    </row>
    <row r="101" spans="1:16" ht="16.5" customHeight="1">
      <c r="A101" s="2048"/>
      <c r="B101" s="2039"/>
      <c r="C101" s="103">
        <v>2017</v>
      </c>
      <c r="D101" s="40"/>
      <c r="E101" s="41"/>
      <c r="F101" s="170"/>
      <c r="G101" s="171"/>
      <c r="H101" s="171"/>
      <c r="I101" s="171"/>
      <c r="J101" s="171"/>
      <c r="K101" s="171"/>
      <c r="L101" s="171"/>
      <c r="M101" s="172"/>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75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757" t="s">
        <v>69</v>
      </c>
      <c r="B107" s="2758" t="s">
        <v>62</v>
      </c>
      <c r="C107" s="2760" t="s">
        <v>9</v>
      </c>
      <c r="D107" s="2060" t="s">
        <v>70</v>
      </c>
      <c r="E107" s="155" t="s">
        <v>71</v>
      </c>
      <c r="F107" s="1954"/>
      <c r="G107" s="1954"/>
      <c r="H107" s="1954"/>
      <c r="I107" s="1954"/>
      <c r="J107" s="1954"/>
      <c r="K107" s="1954"/>
      <c r="L107" s="1955"/>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75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757" t="s">
        <v>72</v>
      </c>
      <c r="B118" s="2758" t="s">
        <v>62</v>
      </c>
      <c r="C118" s="2760" t="s">
        <v>9</v>
      </c>
      <c r="D118" s="2060" t="s">
        <v>73</v>
      </c>
      <c r="E118" s="155" t="s">
        <v>71</v>
      </c>
      <c r="F118" s="1954"/>
      <c r="G118" s="1954"/>
      <c r="H118" s="1954"/>
      <c r="I118" s="1954"/>
      <c r="J118" s="1954"/>
      <c r="K118" s="1954"/>
      <c r="L118" s="1955"/>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75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757" t="s">
        <v>75</v>
      </c>
      <c r="B129" s="2758" t="s">
        <v>62</v>
      </c>
      <c r="C129" s="1956" t="s">
        <v>9</v>
      </c>
      <c r="D129" s="182" t="s">
        <v>76</v>
      </c>
      <c r="E129" s="1957"/>
      <c r="F129" s="1957"/>
      <c r="G129" s="184"/>
      <c r="H129" s="178"/>
      <c r="I129" s="178"/>
      <c r="J129" s="178"/>
      <c r="K129" s="178"/>
      <c r="L129" s="178"/>
      <c r="M129" s="178"/>
      <c r="N129" s="178"/>
    </row>
    <row r="130" spans="1:16" ht="77.25" customHeight="1">
      <c r="A130" s="2044"/>
      <c r="B130" s="2046"/>
      <c r="C130" s="1938"/>
      <c r="D130" s="159" t="s">
        <v>77</v>
      </c>
      <c r="E130" s="186" t="s">
        <v>78</v>
      </c>
      <c r="F130" s="160" t="s">
        <v>79</v>
      </c>
      <c r="G130" s="187" t="s">
        <v>13</v>
      </c>
      <c r="H130" s="178"/>
      <c r="I130" s="178"/>
      <c r="J130" s="178"/>
      <c r="K130" s="178"/>
      <c r="L130" s="178"/>
      <c r="M130" s="178"/>
      <c r="N130" s="178"/>
    </row>
    <row r="131" spans="1:16" ht="15" customHeight="1">
      <c r="A131" s="2025"/>
      <c r="B131" s="2068"/>
      <c r="C131" s="99">
        <v>2015</v>
      </c>
      <c r="D131" s="33"/>
      <c r="E131" s="34"/>
      <c r="F131" s="34"/>
      <c r="G131" s="191">
        <f t="shared" ref="G131:G136" si="11">SUM(D131:F131)</f>
        <v>0</v>
      </c>
      <c r="H131" s="178"/>
      <c r="I131" s="178"/>
      <c r="J131" s="178"/>
      <c r="K131" s="178"/>
      <c r="L131" s="178"/>
      <c r="M131" s="178"/>
      <c r="N131" s="178"/>
    </row>
    <row r="132" spans="1:16">
      <c r="A132" s="2069"/>
      <c r="B132" s="2068"/>
      <c r="C132" s="103">
        <v>2016</v>
      </c>
      <c r="D132" s="40"/>
      <c r="E132" s="41"/>
      <c r="F132" s="41"/>
      <c r="G132" s="191">
        <f t="shared" si="11"/>
        <v>0</v>
      </c>
      <c r="H132" s="178"/>
      <c r="I132" s="178"/>
      <c r="J132" s="178"/>
      <c r="K132" s="178"/>
      <c r="L132" s="178"/>
      <c r="M132" s="178"/>
      <c r="N132" s="178"/>
    </row>
    <row r="133" spans="1:16">
      <c r="A133" s="2069"/>
      <c r="B133" s="2068"/>
      <c r="C133" s="103">
        <v>2017</v>
      </c>
      <c r="D133" s="40"/>
      <c r="E133" s="41"/>
      <c r="F133" s="41"/>
      <c r="G133" s="191">
        <f t="shared" si="11"/>
        <v>0</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736"/>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759" t="s">
        <v>81</v>
      </c>
      <c r="B142" s="2754" t="s">
        <v>62</v>
      </c>
      <c r="C142" s="2756" t="s">
        <v>9</v>
      </c>
      <c r="D142" s="1958" t="s">
        <v>82</v>
      </c>
      <c r="E142" s="1959"/>
      <c r="F142" s="1959"/>
      <c r="G142" s="1959"/>
      <c r="H142" s="1959"/>
      <c r="I142" s="1960"/>
      <c r="J142" s="2749" t="s">
        <v>83</v>
      </c>
      <c r="K142" s="2750"/>
      <c r="L142" s="2750"/>
      <c r="M142" s="2750"/>
      <c r="N142" s="2751"/>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75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753" t="s">
        <v>94</v>
      </c>
      <c r="B153" s="2754" t="s">
        <v>62</v>
      </c>
      <c r="C153" s="2755" t="s">
        <v>9</v>
      </c>
      <c r="D153" s="1961" t="s">
        <v>95</v>
      </c>
      <c r="E153" s="1961"/>
      <c r="F153" s="1962"/>
      <c r="G153" s="1962"/>
      <c r="H153" s="1961" t="s">
        <v>96</v>
      </c>
      <c r="I153" s="1961"/>
      <c r="J153" s="1963"/>
      <c r="K153" s="1941"/>
      <c r="L153" s="1941"/>
      <c r="M153" s="1941"/>
      <c r="N153" s="1941"/>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1941"/>
      <c r="L154" s="1941"/>
      <c r="M154" s="1941"/>
      <c r="N154" s="1941"/>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75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1964"/>
      <c r="F163" s="158"/>
      <c r="G163" s="158"/>
      <c r="H163" s="158"/>
      <c r="I163" s="158"/>
      <c r="J163" s="238"/>
      <c r="K163" s="1965"/>
    </row>
    <row r="164" spans="1:18" ht="95.25" customHeight="1">
      <c r="A164" s="240" t="s">
        <v>103</v>
      </c>
      <c r="B164" s="241" t="s">
        <v>104</v>
      </c>
      <c r="C164" s="242" t="s">
        <v>9</v>
      </c>
      <c r="D164" s="243" t="s">
        <v>105</v>
      </c>
      <c r="E164" s="243" t="s">
        <v>106</v>
      </c>
      <c r="F164" s="1966" t="s">
        <v>107</v>
      </c>
      <c r="G164" s="243" t="s">
        <v>108</v>
      </c>
      <c r="H164" s="243" t="s">
        <v>109</v>
      </c>
      <c r="I164" s="245" t="s">
        <v>110</v>
      </c>
      <c r="J164" s="246" t="s">
        <v>111</v>
      </c>
      <c r="K164" s="246" t="s">
        <v>112</v>
      </c>
      <c r="L164" s="1939"/>
    </row>
    <row r="165" spans="1:18" ht="15.75" customHeight="1">
      <c r="A165" s="2094"/>
      <c r="B165" s="2024"/>
      <c r="C165" s="248">
        <v>2014</v>
      </c>
      <c r="D165" s="168"/>
      <c r="E165" s="168"/>
      <c r="F165" s="168"/>
      <c r="G165" s="168"/>
      <c r="H165" s="168"/>
      <c r="I165" s="169"/>
      <c r="J165" s="476">
        <f>SUM(D165,F165,H165)</f>
        <v>0</v>
      </c>
      <c r="K165" s="250">
        <f>SUM(E165,G165,I165)</f>
        <v>0</v>
      </c>
      <c r="L165" s="1939"/>
    </row>
    <row r="166" spans="1:18">
      <c r="A166" s="2095"/>
      <c r="B166" s="2026"/>
      <c r="C166" s="251">
        <v>2015</v>
      </c>
      <c r="D166" s="252"/>
      <c r="E166" s="252"/>
      <c r="F166" s="252"/>
      <c r="G166" s="252"/>
      <c r="H166" s="252"/>
      <c r="I166" s="253"/>
      <c r="J166" s="477">
        <f t="shared" ref="J166:K171" si="17">SUM(D166,F166,H166)</f>
        <v>0</v>
      </c>
      <c r="K166" s="255">
        <f t="shared" si="17"/>
        <v>0</v>
      </c>
      <c r="L166" s="1939"/>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1939"/>
    </row>
    <row r="170" spans="1:18">
      <c r="A170" s="2095"/>
      <c r="B170" s="2026"/>
      <c r="C170" s="251">
        <v>2019</v>
      </c>
      <c r="D170" s="158"/>
      <c r="E170" s="252"/>
      <c r="F170" s="252"/>
      <c r="G170" s="252"/>
      <c r="H170" s="257"/>
      <c r="I170" s="253"/>
      <c r="J170" s="477">
        <f t="shared" si="17"/>
        <v>0</v>
      </c>
      <c r="K170" s="255">
        <f t="shared" si="17"/>
        <v>0</v>
      </c>
      <c r="L170" s="1939"/>
    </row>
    <row r="171" spans="1:18">
      <c r="A171" s="2095"/>
      <c r="B171" s="2026"/>
      <c r="C171" s="256">
        <v>2020</v>
      </c>
      <c r="D171" s="252"/>
      <c r="E171" s="252"/>
      <c r="F171" s="252"/>
      <c r="G171" s="252"/>
      <c r="H171" s="252"/>
      <c r="I171" s="253"/>
      <c r="J171" s="477">
        <f t="shared" si="17"/>
        <v>0</v>
      </c>
      <c r="K171" s="255">
        <f t="shared" si="17"/>
        <v>0</v>
      </c>
      <c r="L171" s="1939"/>
    </row>
    <row r="172" spans="1:18" ht="41.25" customHeight="1" thickBot="1">
      <c r="A172" s="2096"/>
      <c r="B172" s="2740"/>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1939"/>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941" customFormat="1" ht="22.5" customHeight="1" thickBot="1">
      <c r="A176" s="2741" t="s">
        <v>115</v>
      </c>
      <c r="B176" s="2737" t="s">
        <v>116</v>
      </c>
      <c r="C176" s="2742" t="s">
        <v>9</v>
      </c>
      <c r="D176" s="267" t="s">
        <v>117</v>
      </c>
      <c r="E176" s="1967"/>
      <c r="F176" s="1967"/>
      <c r="G176" s="1968"/>
      <c r="H176" s="270"/>
      <c r="I176" s="2103" t="s">
        <v>118</v>
      </c>
      <c r="J176" s="2743"/>
      <c r="K176" s="2743"/>
      <c r="L176" s="2743"/>
      <c r="M176" s="2743"/>
      <c r="N176" s="2743"/>
      <c r="O176" s="2744"/>
    </row>
    <row r="177" spans="1:15" s="194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745" t="s">
        <v>197</v>
      </c>
      <c r="B178" s="2746"/>
      <c r="C178" s="99">
        <v>2014</v>
      </c>
      <c r="D178" s="33"/>
      <c r="E178" s="34"/>
      <c r="F178" s="34"/>
      <c r="G178" s="278">
        <f>SUM(D178:F178)</f>
        <v>0</v>
      </c>
      <c r="H178" s="148"/>
      <c r="I178" s="148"/>
      <c r="J178" s="34"/>
      <c r="K178" s="34"/>
      <c r="L178" s="34"/>
      <c r="M178" s="34"/>
      <c r="N178" s="34"/>
      <c r="O178" s="37"/>
    </row>
    <row r="179" spans="1:15">
      <c r="A179" s="2745"/>
      <c r="B179" s="2746"/>
      <c r="C179" s="103">
        <v>2015</v>
      </c>
      <c r="D179" s="40"/>
      <c r="E179" s="41"/>
      <c r="F179" s="41"/>
      <c r="G179" s="278">
        <f t="shared" ref="G179:G184" si="19">SUM(D179:F179)</f>
        <v>0</v>
      </c>
      <c r="H179" s="279"/>
      <c r="I179" s="105"/>
      <c r="J179" s="41"/>
      <c r="K179" s="41"/>
      <c r="L179" s="41"/>
      <c r="M179" s="41"/>
      <c r="N179" s="41"/>
      <c r="O179" s="86"/>
    </row>
    <row r="180" spans="1:15">
      <c r="A180" s="2745"/>
      <c r="B180" s="2746"/>
      <c r="C180" s="103">
        <v>2016</v>
      </c>
      <c r="D180" s="40">
        <v>57</v>
      </c>
      <c r="E180" s="41">
        <v>2</v>
      </c>
      <c r="F180" s="41"/>
      <c r="G180" s="278">
        <f t="shared" si="19"/>
        <v>59</v>
      </c>
      <c r="H180" s="279">
        <v>44</v>
      </c>
      <c r="I180" s="105">
        <v>56</v>
      </c>
      <c r="J180" s="41">
        <v>3</v>
      </c>
      <c r="K180" s="41"/>
      <c r="L180" s="41"/>
      <c r="M180" s="41"/>
      <c r="N180" s="41"/>
      <c r="O180" s="86"/>
    </row>
    <row r="181" spans="1:15">
      <c r="A181" s="2745"/>
      <c r="B181" s="2746"/>
      <c r="C181" s="103">
        <v>2017</v>
      </c>
      <c r="D181" s="40">
        <v>29</v>
      </c>
      <c r="E181" s="41"/>
      <c r="F181" s="41"/>
      <c r="G181" s="278">
        <f t="shared" si="19"/>
        <v>29</v>
      </c>
      <c r="H181" s="279">
        <v>23</v>
      </c>
      <c r="I181" s="105">
        <v>8</v>
      </c>
      <c r="J181" s="41">
        <v>21</v>
      </c>
      <c r="K181" s="41"/>
      <c r="L181" s="41"/>
      <c r="M181" s="41"/>
      <c r="N181" s="41"/>
      <c r="O181" s="86"/>
    </row>
    <row r="182" spans="1:15">
      <c r="A182" s="2745"/>
      <c r="B182" s="2746"/>
      <c r="C182" s="103">
        <v>2018</v>
      </c>
      <c r="D182" s="40"/>
      <c r="E182" s="41"/>
      <c r="F182" s="41"/>
      <c r="G182" s="278">
        <f t="shared" si="19"/>
        <v>0</v>
      </c>
      <c r="H182" s="279"/>
      <c r="I182" s="105"/>
      <c r="J182" s="41"/>
      <c r="K182" s="41"/>
      <c r="L182" s="41"/>
      <c r="M182" s="41"/>
      <c r="N182" s="41"/>
      <c r="O182" s="86"/>
    </row>
    <row r="183" spans="1:15">
      <c r="A183" s="2745"/>
      <c r="B183" s="2746"/>
      <c r="C183" s="103">
        <v>2019</v>
      </c>
      <c r="D183" s="40"/>
      <c r="E183" s="41"/>
      <c r="F183" s="41"/>
      <c r="G183" s="278">
        <f t="shared" si="19"/>
        <v>0</v>
      </c>
      <c r="H183" s="279"/>
      <c r="I183" s="105"/>
      <c r="J183" s="41"/>
      <c r="K183" s="41"/>
      <c r="L183" s="41"/>
      <c r="M183" s="41"/>
      <c r="N183" s="41"/>
      <c r="O183" s="86"/>
    </row>
    <row r="184" spans="1:15">
      <c r="A184" s="2745"/>
      <c r="B184" s="2746"/>
      <c r="C184" s="103">
        <v>2020</v>
      </c>
      <c r="D184" s="40"/>
      <c r="E184" s="41"/>
      <c r="F184" s="41"/>
      <c r="G184" s="278">
        <f t="shared" si="19"/>
        <v>0</v>
      </c>
      <c r="H184" s="279"/>
      <c r="I184" s="105"/>
      <c r="J184" s="41"/>
      <c r="K184" s="41"/>
      <c r="L184" s="41"/>
      <c r="M184" s="41"/>
      <c r="N184" s="41"/>
      <c r="O184" s="86"/>
    </row>
    <row r="185" spans="1:15" ht="69" customHeight="1" thickBot="1">
      <c r="A185" s="2747"/>
      <c r="B185" s="2748"/>
      <c r="C185" s="106" t="s">
        <v>13</v>
      </c>
      <c r="D185" s="132">
        <f>SUM(D178:D184)</f>
        <v>86</v>
      </c>
      <c r="E185" s="109">
        <f>SUM(E178:E184)</f>
        <v>2</v>
      </c>
      <c r="F185" s="109">
        <f>SUM(F178:F184)</f>
        <v>0</v>
      </c>
      <c r="G185" s="217">
        <f t="shared" ref="G185:O185" si="20">SUM(G178:G184)</f>
        <v>88</v>
      </c>
      <c r="H185" s="280">
        <f t="shared" si="20"/>
        <v>67</v>
      </c>
      <c r="I185" s="108">
        <f t="shared" si="20"/>
        <v>64</v>
      </c>
      <c r="J185" s="109">
        <f t="shared" si="20"/>
        <v>24</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737" t="s">
        <v>116</v>
      </c>
      <c r="C187" s="2089" t="s">
        <v>9</v>
      </c>
      <c r="D187" s="2085" t="s">
        <v>126</v>
      </c>
      <c r="E187" s="2738"/>
      <c r="F187" s="2738"/>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739" t="s">
        <v>198</v>
      </c>
      <c r="B189" s="2127" t="s">
        <v>199</v>
      </c>
      <c r="C189" s="285">
        <v>2014</v>
      </c>
      <c r="D189" s="126"/>
      <c r="E189" s="102"/>
      <c r="F189" s="102"/>
      <c r="G189" s="286">
        <f>SUM(D189:F189)</f>
        <v>0</v>
      </c>
      <c r="H189" s="101"/>
      <c r="I189" s="102"/>
      <c r="J189" s="102"/>
      <c r="K189" s="102"/>
      <c r="L189" s="127"/>
    </row>
    <row r="190" spans="1:15">
      <c r="A190" s="2183"/>
      <c r="B190" s="2068"/>
      <c r="C190" s="74">
        <v>2015</v>
      </c>
      <c r="D190" s="40"/>
      <c r="E190" s="41"/>
      <c r="F190" s="41"/>
      <c r="G190" s="286">
        <f t="shared" ref="G190:G195" si="21">SUM(D190:F190)</f>
        <v>0</v>
      </c>
      <c r="H190" s="105"/>
      <c r="I190" s="41"/>
      <c r="J190" s="41"/>
      <c r="K190" s="41"/>
      <c r="L190" s="86"/>
    </row>
    <row r="191" spans="1:15">
      <c r="A191" s="2183"/>
      <c r="B191" s="2068"/>
      <c r="C191" s="74">
        <v>2016</v>
      </c>
      <c r="D191" s="40">
        <v>744</v>
      </c>
      <c r="E191" s="41"/>
      <c r="F191" s="41"/>
      <c r="G191" s="286">
        <f t="shared" si="21"/>
        <v>744</v>
      </c>
      <c r="H191" s="105"/>
      <c r="I191" s="41">
        <v>22</v>
      </c>
      <c r="J191" s="41">
        <v>168</v>
      </c>
      <c r="K191" s="41"/>
      <c r="L191" s="86">
        <v>554</v>
      </c>
    </row>
    <row r="192" spans="1:15">
      <c r="A192" s="2183"/>
      <c r="B192" s="2068"/>
      <c r="C192" s="74">
        <v>2017</v>
      </c>
      <c r="D192" s="40">
        <v>268</v>
      </c>
      <c r="E192" s="41"/>
      <c r="F192" s="41"/>
      <c r="G192" s="286">
        <f t="shared" si="21"/>
        <v>268</v>
      </c>
      <c r="H192" s="105"/>
      <c r="I192" s="41"/>
      <c r="J192" s="41"/>
      <c r="K192" s="41"/>
      <c r="L192" s="86">
        <v>268</v>
      </c>
    </row>
    <row r="193" spans="1:14">
      <c r="A193" s="2183"/>
      <c r="B193" s="2068"/>
      <c r="C193" s="74">
        <v>2018</v>
      </c>
      <c r="D193" s="40"/>
      <c r="E193" s="41"/>
      <c r="F193" s="41"/>
      <c r="G193" s="286">
        <f t="shared" si="21"/>
        <v>0</v>
      </c>
      <c r="H193" s="105"/>
      <c r="I193" s="41"/>
      <c r="J193" s="41"/>
      <c r="K193" s="41"/>
      <c r="L193" s="86"/>
    </row>
    <row r="194" spans="1:14">
      <c r="A194" s="2183"/>
      <c r="B194" s="2068"/>
      <c r="C194" s="74">
        <v>2019</v>
      </c>
      <c r="D194" s="40"/>
      <c r="E194" s="41"/>
      <c r="F194" s="41"/>
      <c r="G194" s="286">
        <f t="shared" si="21"/>
        <v>0</v>
      </c>
      <c r="H194" s="105"/>
      <c r="I194" s="41"/>
      <c r="J194" s="41"/>
      <c r="K194" s="41"/>
      <c r="L194" s="86"/>
    </row>
    <row r="195" spans="1:14">
      <c r="A195" s="2183"/>
      <c r="B195" s="2068"/>
      <c r="C195" s="74">
        <v>2020</v>
      </c>
      <c r="D195" s="40"/>
      <c r="E195" s="41"/>
      <c r="F195" s="41"/>
      <c r="G195" s="286">
        <f t="shared" si="21"/>
        <v>0</v>
      </c>
      <c r="H195" s="105"/>
      <c r="I195" s="41"/>
      <c r="J195" s="41"/>
      <c r="K195" s="41"/>
      <c r="L195" s="86"/>
    </row>
    <row r="196" spans="1:14" ht="74.25" customHeight="1" thickBot="1">
      <c r="A196" s="2185"/>
      <c r="B196" s="2736"/>
      <c r="C196" s="129" t="s">
        <v>13</v>
      </c>
      <c r="D196" s="132">
        <f t="shared" ref="D196:L196" si="22">SUM(D189:D195)</f>
        <v>1012</v>
      </c>
      <c r="E196" s="109">
        <f t="shared" si="22"/>
        <v>0</v>
      </c>
      <c r="F196" s="109">
        <f t="shared" si="22"/>
        <v>0</v>
      </c>
      <c r="G196" s="290">
        <f t="shared" si="22"/>
        <v>1012</v>
      </c>
      <c r="H196" s="108">
        <f t="shared" si="22"/>
        <v>0</v>
      </c>
      <c r="I196" s="109">
        <f t="shared" si="22"/>
        <v>22</v>
      </c>
      <c r="J196" s="109">
        <f t="shared" si="22"/>
        <v>168</v>
      </c>
      <c r="K196" s="109">
        <f t="shared" si="22"/>
        <v>0</v>
      </c>
      <c r="L196" s="110">
        <f t="shared" si="22"/>
        <v>822</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941" customFormat="1" ht="101.25" customHeight="1">
      <c r="A201" s="1969" t="s">
        <v>138</v>
      </c>
      <c r="B201" s="295" t="s">
        <v>116</v>
      </c>
      <c r="C201" s="296" t="s">
        <v>9</v>
      </c>
      <c r="D201" s="297" t="s">
        <v>139</v>
      </c>
      <c r="E201" s="298" t="s">
        <v>140</v>
      </c>
      <c r="F201" s="298" t="s">
        <v>141</v>
      </c>
      <c r="G201" s="296" t="s">
        <v>142</v>
      </c>
      <c r="H201" s="1970"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1940"/>
      <c r="E208" s="310"/>
      <c r="F208" s="310"/>
      <c r="G208" s="311"/>
      <c r="H208" s="312"/>
      <c r="I208" s="313"/>
      <c r="J208" s="314"/>
      <c r="K208" s="310"/>
      <c r="L208" s="315"/>
    </row>
    <row r="209" spans="1:12" ht="20.25" customHeight="1" thickBot="1">
      <c r="A209" s="2070"/>
      <c r="B209" s="2736"/>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1971" t="s">
        <v>148</v>
      </c>
      <c r="B212" s="317" t="s">
        <v>149</v>
      </c>
      <c r="C212" s="318">
        <v>2014</v>
      </c>
      <c r="D212" s="319">
        <v>2015</v>
      </c>
      <c r="E212" s="319">
        <v>2016</v>
      </c>
      <c r="F212" s="319">
        <v>2017</v>
      </c>
      <c r="G212" s="319">
        <v>2018</v>
      </c>
      <c r="H212" s="319">
        <v>2019</v>
      </c>
      <c r="I212" s="320">
        <v>2020</v>
      </c>
    </row>
    <row r="213" spans="1:12" ht="15" customHeight="1">
      <c r="A213" t="s">
        <v>150</v>
      </c>
      <c r="B213" s="2177" t="s">
        <v>200</v>
      </c>
      <c r="C213" s="73"/>
      <c r="D213" s="128"/>
      <c r="E213" s="431">
        <f>SUM(E214:E217)</f>
        <v>97421.239999999991</v>
      </c>
      <c r="F213" s="431">
        <f>SUM(F214:F217)</f>
        <v>775.57</v>
      </c>
      <c r="G213" s="128"/>
      <c r="H213" s="128"/>
      <c r="I213" s="327"/>
    </row>
    <row r="214" spans="1:12">
      <c r="A214" t="s">
        <v>153</v>
      </c>
      <c r="B214" s="2171"/>
      <c r="C214" s="73"/>
      <c r="D214" s="128"/>
      <c r="E214" s="128">
        <v>50628.03</v>
      </c>
      <c r="F214" s="128"/>
      <c r="G214" s="128"/>
      <c r="H214" s="128"/>
      <c r="I214" s="327"/>
    </row>
    <row r="215" spans="1:12">
      <c r="A215" t="s">
        <v>155</v>
      </c>
      <c r="B215" s="2171"/>
      <c r="C215" s="73"/>
      <c r="D215" s="128"/>
      <c r="E215" s="128">
        <v>0</v>
      </c>
      <c r="F215" s="128"/>
      <c r="G215" s="128"/>
      <c r="H215" s="128"/>
      <c r="I215" s="327"/>
    </row>
    <row r="216" spans="1:12">
      <c r="A216" t="s">
        <v>157</v>
      </c>
      <c r="B216" s="2171"/>
      <c r="C216" s="73"/>
      <c r="D216" s="128"/>
      <c r="E216" s="128">
        <v>0</v>
      </c>
      <c r="F216" s="128"/>
      <c r="G216" s="128"/>
      <c r="H216" s="128"/>
      <c r="I216" s="327"/>
    </row>
    <row r="217" spans="1:12">
      <c r="A217" t="s">
        <v>158</v>
      </c>
      <c r="B217" s="2171"/>
      <c r="C217" s="73"/>
      <c r="D217" s="128"/>
      <c r="E217" s="128">
        <v>46793.21</v>
      </c>
      <c r="F217" s="128">
        <v>775.57</v>
      </c>
      <c r="G217" s="128"/>
      <c r="H217" s="128"/>
      <c r="I217" s="327"/>
    </row>
    <row r="218" spans="1:12" ht="30">
      <c r="A218" s="1941" t="s">
        <v>159</v>
      </c>
      <c r="B218" s="2171"/>
      <c r="C218" s="73"/>
      <c r="D218" s="128"/>
      <c r="E218" s="128">
        <v>145053.96</v>
      </c>
      <c r="F218" s="128">
        <v>73494.5</v>
      </c>
      <c r="G218" s="128"/>
      <c r="H218" s="128"/>
      <c r="I218" s="327"/>
    </row>
    <row r="219" spans="1:12" ht="15.75" thickBot="1">
      <c r="A219" s="1972"/>
      <c r="B219" s="2172"/>
      <c r="C219" s="45" t="s">
        <v>13</v>
      </c>
      <c r="D219" s="333">
        <f>SUM(D214:D218)</f>
        <v>0</v>
      </c>
      <c r="E219" s="333">
        <f>SUM(E214:E218)</f>
        <v>242475.19999999998</v>
      </c>
      <c r="F219" s="333">
        <f t="shared" ref="F219:I219" si="24">SUM(F214:F218)</f>
        <v>74270.070000000007</v>
      </c>
      <c r="G219" s="333">
        <f t="shared" si="24"/>
        <v>0</v>
      </c>
      <c r="H219" s="333">
        <f t="shared" si="24"/>
        <v>0</v>
      </c>
      <c r="I219" s="333">
        <f t="shared" si="24"/>
        <v>0</v>
      </c>
    </row>
    <row r="227" spans="1:1">
      <c r="A227" s="1941"/>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A196"/>
    <mergeCell ref="B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Y227"/>
  <sheetViews>
    <sheetView topLeftCell="B202" zoomScale="80" zoomScaleNormal="80" workbookViewId="0">
      <selection activeCell="G223" sqref="G22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201</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21</v>
      </c>
      <c r="E19" s="41"/>
      <c r="F19" s="41"/>
      <c r="G19" s="35">
        <f t="shared" si="0"/>
        <v>21</v>
      </c>
      <c r="H19" s="42">
        <v>20</v>
      </c>
      <c r="I19" s="41">
        <v>1</v>
      </c>
      <c r="J19" s="41"/>
      <c r="K19" s="41"/>
      <c r="L19" s="41"/>
      <c r="M19" s="41"/>
      <c r="N19" s="41"/>
      <c r="O19" s="43"/>
      <c r="P19" s="38"/>
      <c r="Q19" s="38"/>
      <c r="R19" s="38"/>
      <c r="S19" s="38"/>
      <c r="T19" s="38"/>
      <c r="U19" s="38"/>
      <c r="V19" s="38"/>
      <c r="W19" s="38"/>
      <c r="X19" s="38"/>
      <c r="Y19" s="38"/>
    </row>
    <row r="20" spans="1:25">
      <c r="A20" s="2654"/>
      <c r="B20" s="2068"/>
      <c r="C20" s="39">
        <v>2017</v>
      </c>
      <c r="D20" s="40">
        <v>1</v>
      </c>
      <c r="E20" s="41"/>
      <c r="F20" s="41"/>
      <c r="G20" s="35">
        <f t="shared" si="0"/>
        <v>1</v>
      </c>
      <c r="H20" s="42">
        <v>1</v>
      </c>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22</v>
      </c>
      <c r="E24" s="47">
        <f>SUM(E17:E23)</f>
        <v>0</v>
      </c>
      <c r="F24" s="47">
        <f>SUM(F17:F23)</f>
        <v>0</v>
      </c>
      <c r="G24" s="48">
        <f>SUM(D24:F24)</f>
        <v>22</v>
      </c>
      <c r="H24" s="49">
        <f>SUM(H17:H23)</f>
        <v>21</v>
      </c>
      <c r="I24" s="50">
        <f>SUM(I17:I23)</f>
        <v>1</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1"/>
      <c r="F29" s="41"/>
      <c r="G29" s="59">
        <f t="shared" ref="G29:G35" si="2">SUM(D29:F29)</f>
        <v>0</v>
      </c>
      <c r="H29" s="38"/>
      <c r="I29" s="38"/>
      <c r="J29" s="38"/>
      <c r="K29" s="38"/>
      <c r="L29" s="38"/>
      <c r="M29" s="38"/>
      <c r="N29" s="38"/>
      <c r="O29" s="38"/>
      <c r="P29" s="38"/>
      <c r="Q29" s="8"/>
    </row>
    <row r="30" spans="1:25">
      <c r="A30" s="2654"/>
      <c r="B30" s="2068"/>
      <c r="C30" s="60">
        <v>2016</v>
      </c>
      <c r="D30" s="42">
        <v>324</v>
      </c>
      <c r="E30" s="41"/>
      <c r="F30" s="41"/>
      <c r="G30" s="59">
        <f t="shared" si="2"/>
        <v>324</v>
      </c>
      <c r="H30" s="38"/>
      <c r="I30" s="38"/>
      <c r="J30" s="38"/>
      <c r="K30" s="38"/>
      <c r="L30" s="38"/>
      <c r="M30" s="38"/>
      <c r="N30" s="38"/>
      <c r="O30" s="38"/>
      <c r="P30" s="38"/>
      <c r="Q30" s="8"/>
    </row>
    <row r="31" spans="1:25">
      <c r="A31" s="2654"/>
      <c r="B31" s="2068"/>
      <c r="C31" s="60">
        <v>2017</v>
      </c>
      <c r="D31" s="42">
        <v>55</v>
      </c>
      <c r="E31" s="41"/>
      <c r="F31" s="41"/>
      <c r="G31" s="59">
        <f t="shared" si="2"/>
        <v>55</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379</v>
      </c>
      <c r="E35" s="47">
        <f>SUM(E28:E34)</f>
        <v>0</v>
      </c>
      <c r="F35" s="47">
        <f>SUM(F28:F34)</f>
        <v>0</v>
      </c>
      <c r="G35" s="51">
        <f t="shared" si="2"/>
        <v>379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t="s">
        <v>202</v>
      </c>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40"/>
      <c r="E42" s="39"/>
      <c r="F42" s="8"/>
      <c r="G42" s="38"/>
      <c r="H42" s="38"/>
    </row>
    <row r="43" spans="1:17">
      <c r="A43" s="2654"/>
      <c r="B43" s="2068"/>
      <c r="C43" s="74">
        <v>2017</v>
      </c>
      <c r="D43" s="40"/>
      <c r="E43" s="39"/>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0</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v>1</v>
      </c>
      <c r="E64" s="105">
        <v>1</v>
      </c>
      <c r="F64" s="41"/>
      <c r="G64" s="41"/>
      <c r="H64" s="41"/>
      <c r="I64" s="41"/>
      <c r="J64" s="41"/>
      <c r="K64" s="41"/>
      <c r="L64" s="86"/>
      <c r="M64" s="8"/>
      <c r="N64" s="8"/>
      <c r="O64" s="8"/>
    </row>
    <row r="65" spans="1:20">
      <c r="A65" s="2659"/>
      <c r="B65" s="2039"/>
      <c r="C65" s="103">
        <v>2017</v>
      </c>
      <c r="D65" s="104"/>
      <c r="E65" s="105"/>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1</v>
      </c>
      <c r="E69" s="108">
        <f>SUM(E62:E68)</f>
        <v>1</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c r="E74" s="128"/>
      <c r="F74" s="128"/>
      <c r="G74" s="125">
        <f t="shared" si="5"/>
        <v>0</v>
      </c>
      <c r="H74" s="40"/>
      <c r="I74" s="40"/>
      <c r="J74" s="41"/>
      <c r="K74" s="41"/>
      <c r="L74" s="41"/>
      <c r="M74" s="41"/>
      <c r="N74" s="41"/>
      <c r="O74" s="86"/>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59"/>
      <c r="B178" s="2039"/>
      <c r="C178" s="99">
        <v>2014</v>
      </c>
      <c r="D178" s="33"/>
      <c r="E178" s="34"/>
      <c r="F178" s="34"/>
      <c r="G178" s="278">
        <f>SUM(D178:F178)</f>
        <v>0</v>
      </c>
      <c r="H178" s="148"/>
      <c r="I178" s="148"/>
      <c r="J178" s="34"/>
      <c r="K178" s="34"/>
      <c r="L178" s="34"/>
      <c r="M178" s="34"/>
      <c r="N178" s="34"/>
      <c r="O178" s="37"/>
    </row>
    <row r="179" spans="1:15">
      <c r="A179" s="2659"/>
      <c r="B179" s="2039"/>
      <c r="C179" s="103">
        <v>2015</v>
      </c>
      <c r="D179" s="40"/>
      <c r="E179" s="41"/>
      <c r="F179" s="41"/>
      <c r="G179" s="278">
        <f t="shared" ref="G179:G184" si="19">SUM(D179:F179)</f>
        <v>0</v>
      </c>
      <c r="H179" s="279"/>
      <c r="I179" s="105"/>
      <c r="J179" s="41"/>
      <c r="K179" s="41"/>
      <c r="L179" s="41"/>
      <c r="M179" s="41"/>
      <c r="N179" s="41"/>
      <c r="O179" s="86"/>
    </row>
    <row r="180" spans="1:15">
      <c r="A180" s="2659"/>
      <c r="B180" s="2039"/>
      <c r="C180" s="103">
        <v>2016</v>
      </c>
      <c r="D180" s="40">
        <v>19</v>
      </c>
      <c r="E180" s="41">
        <v>2</v>
      </c>
      <c r="F180" s="41"/>
      <c r="G180" s="278">
        <f t="shared" si="19"/>
        <v>21</v>
      </c>
      <c r="H180" s="279">
        <v>22</v>
      </c>
      <c r="I180" s="105">
        <v>20</v>
      </c>
      <c r="J180" s="41">
        <v>1</v>
      </c>
      <c r="K180" s="41"/>
      <c r="L180" s="41"/>
      <c r="M180" s="41"/>
      <c r="N180" s="41"/>
      <c r="O180" s="86"/>
    </row>
    <row r="181" spans="1:15">
      <c r="A181" s="2659"/>
      <c r="B181" s="2039"/>
      <c r="C181" s="103">
        <v>2017</v>
      </c>
      <c r="D181" s="40"/>
      <c r="E181" s="41">
        <v>1</v>
      </c>
      <c r="F181" s="41"/>
      <c r="G181" s="278">
        <f t="shared" si="19"/>
        <v>1</v>
      </c>
      <c r="H181" s="279">
        <v>2</v>
      </c>
      <c r="I181" s="105">
        <v>1</v>
      </c>
      <c r="J181" s="41"/>
      <c r="K181" s="41"/>
      <c r="L181" s="41"/>
      <c r="M181" s="41"/>
      <c r="N181" s="41"/>
      <c r="O181" s="86"/>
    </row>
    <row r="182" spans="1:15">
      <c r="A182" s="2659"/>
      <c r="B182" s="2039"/>
      <c r="C182" s="103">
        <v>2018</v>
      </c>
      <c r="D182" s="40"/>
      <c r="E182" s="41"/>
      <c r="F182" s="41"/>
      <c r="G182" s="278">
        <f t="shared" si="19"/>
        <v>0</v>
      </c>
      <c r="H182" s="279"/>
      <c r="I182" s="105"/>
      <c r="J182" s="41"/>
      <c r="K182" s="41"/>
      <c r="L182" s="41"/>
      <c r="M182" s="41"/>
      <c r="N182" s="41"/>
      <c r="O182" s="86"/>
    </row>
    <row r="183" spans="1:15">
      <c r="A183" s="2659"/>
      <c r="B183" s="2039"/>
      <c r="C183" s="103">
        <v>2019</v>
      </c>
      <c r="D183" s="40"/>
      <c r="E183" s="41"/>
      <c r="F183" s="41"/>
      <c r="G183" s="278">
        <f t="shared" si="19"/>
        <v>0</v>
      </c>
      <c r="H183" s="279"/>
      <c r="I183" s="105"/>
      <c r="J183" s="41"/>
      <c r="K183" s="41"/>
      <c r="L183" s="41"/>
      <c r="M183" s="41"/>
      <c r="N183" s="41"/>
      <c r="O183" s="86"/>
    </row>
    <row r="184" spans="1:15">
      <c r="A184" s="2659"/>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19</v>
      </c>
      <c r="E185" s="109">
        <f>SUM(E178:E184)</f>
        <v>3</v>
      </c>
      <c r="F185" s="109">
        <f>SUM(F178:F184)</f>
        <v>0</v>
      </c>
      <c r="G185" s="217">
        <f t="shared" ref="G185:O185" si="20">SUM(G178:G184)</f>
        <v>22</v>
      </c>
      <c r="H185" s="280">
        <f t="shared" si="20"/>
        <v>24</v>
      </c>
      <c r="I185" s="108">
        <f t="shared" si="20"/>
        <v>21</v>
      </c>
      <c r="J185" s="109">
        <f t="shared" si="20"/>
        <v>1</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203</v>
      </c>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v>226</v>
      </c>
      <c r="E191" s="41">
        <v>98</v>
      </c>
      <c r="F191" s="41"/>
      <c r="G191" s="286">
        <f t="shared" si="21"/>
        <v>324</v>
      </c>
      <c r="H191" s="105"/>
      <c r="I191" s="41">
        <v>7</v>
      </c>
      <c r="J191" s="41">
        <v>92</v>
      </c>
      <c r="K191" s="41">
        <v>39</v>
      </c>
      <c r="L191" s="86">
        <v>186</v>
      </c>
    </row>
    <row r="192" spans="1:15">
      <c r="A192" s="2658"/>
      <c r="B192" s="2068"/>
      <c r="C192" s="74">
        <v>2017</v>
      </c>
      <c r="D192" s="40"/>
      <c r="E192" s="41">
        <v>55</v>
      </c>
      <c r="F192" s="41"/>
      <c r="G192" s="286">
        <f t="shared" si="21"/>
        <v>55</v>
      </c>
      <c r="H192" s="429"/>
      <c r="I192" s="190"/>
      <c r="J192" s="190">
        <v>36</v>
      </c>
      <c r="K192" s="190">
        <v>1</v>
      </c>
      <c r="L192" s="430">
        <v>18</v>
      </c>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226</v>
      </c>
      <c r="E196" s="109">
        <f t="shared" si="22"/>
        <v>153</v>
      </c>
      <c r="F196" s="109">
        <f t="shared" si="22"/>
        <v>0</v>
      </c>
      <c r="G196" s="290">
        <f t="shared" si="22"/>
        <v>379</v>
      </c>
      <c r="H196" s="108">
        <f t="shared" si="22"/>
        <v>0</v>
      </c>
      <c r="I196" s="109">
        <f t="shared" si="22"/>
        <v>7</v>
      </c>
      <c r="J196" s="109">
        <f t="shared" si="22"/>
        <v>128</v>
      </c>
      <c r="K196" s="109">
        <f t="shared" si="22"/>
        <v>40</v>
      </c>
      <c r="L196" s="110">
        <f t="shared" si="22"/>
        <v>204</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204</v>
      </c>
      <c r="C213" s="73"/>
      <c r="D213" s="128"/>
      <c r="E213" s="128">
        <v>73629.61</v>
      </c>
      <c r="F213" s="431">
        <v>1925</v>
      </c>
      <c r="G213" s="128"/>
      <c r="H213" s="128"/>
      <c r="I213" s="327"/>
    </row>
    <row r="214" spans="1:12">
      <c r="A214" t="s">
        <v>153</v>
      </c>
      <c r="B214" s="2171"/>
      <c r="C214" s="73"/>
      <c r="D214" s="128"/>
      <c r="E214" s="128">
        <v>73629.61</v>
      </c>
      <c r="F214" s="431">
        <v>1925</v>
      </c>
      <c r="G214" s="128"/>
      <c r="H214" s="128"/>
      <c r="I214" s="327"/>
    </row>
    <row r="215" spans="1:12">
      <c r="A215" t="s">
        <v>155</v>
      </c>
      <c r="B215" s="2171"/>
      <c r="C215" s="73"/>
      <c r="D215" s="128"/>
      <c r="E215" s="128"/>
      <c r="F215" s="128"/>
      <c r="G215" s="128"/>
      <c r="H215" s="128"/>
      <c r="I215" s="327"/>
    </row>
    <row r="216" spans="1:12">
      <c r="A216" t="s">
        <v>157</v>
      </c>
      <c r="B216" s="2171"/>
      <c r="C216" s="73"/>
      <c r="D216" s="128"/>
      <c r="E216" s="128"/>
      <c r="F216" s="128"/>
      <c r="G216" s="128"/>
      <c r="H216" s="128"/>
      <c r="I216" s="327"/>
    </row>
    <row r="217" spans="1:12">
      <c r="A217" t="s">
        <v>158</v>
      </c>
      <c r="B217" s="2171"/>
      <c r="C217" s="73"/>
      <c r="D217" s="128"/>
      <c r="E217" s="128"/>
      <c r="F217" s="128"/>
      <c r="G217" s="128"/>
      <c r="H217" s="128"/>
      <c r="I217" s="327"/>
    </row>
    <row r="218" spans="1:12" ht="30">
      <c r="A218" s="31" t="s">
        <v>159</v>
      </c>
      <c r="B218" s="2171"/>
      <c r="C218" s="73"/>
      <c r="D218" s="128"/>
      <c r="E218" s="128">
        <v>70535.520000000004</v>
      </c>
      <c r="F218" s="128">
        <v>35055.58</v>
      </c>
      <c r="G218" s="128"/>
      <c r="H218" s="128"/>
      <c r="I218" s="327"/>
    </row>
    <row r="219" spans="1:12" ht="65.25" customHeight="1" thickBot="1">
      <c r="A219" s="349"/>
      <c r="B219" s="2172"/>
      <c r="C219" s="45" t="s">
        <v>13</v>
      </c>
      <c r="D219" s="333">
        <f>SUM(D214:D218)</f>
        <v>0</v>
      </c>
      <c r="E219" s="333">
        <f t="shared" ref="E219:I219" si="24">SUM(E214:E218)</f>
        <v>144165.13</v>
      </c>
      <c r="F219" s="333">
        <f t="shared" si="24"/>
        <v>36980.58</v>
      </c>
      <c r="G219" s="333">
        <f t="shared" si="24"/>
        <v>0</v>
      </c>
      <c r="H219" s="333">
        <f t="shared" si="24"/>
        <v>0</v>
      </c>
      <c r="I219" s="45">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Y227"/>
  <sheetViews>
    <sheetView topLeftCell="A202" zoomScale="60" zoomScaleNormal="60" workbookViewId="0">
      <selection activeCell="H219" sqref="H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205</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731"/>
      <c r="B17" s="2187" t="s">
        <v>206</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731"/>
      <c r="B18" s="2187"/>
      <c r="C18" s="39">
        <v>2015</v>
      </c>
      <c r="D18" s="381"/>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731"/>
      <c r="B19" s="2187"/>
      <c r="C19" s="39">
        <v>2016</v>
      </c>
      <c r="D19" s="40"/>
      <c r="E19" s="41">
        <v>2</v>
      </c>
      <c r="F19" s="41"/>
      <c r="G19" s="35">
        <f>D19+2</f>
        <v>2</v>
      </c>
      <c r="H19" s="42">
        <v>2</v>
      </c>
      <c r="I19" s="41"/>
      <c r="J19" s="41"/>
      <c r="K19" s="41"/>
      <c r="L19" s="41"/>
      <c r="M19" s="41"/>
      <c r="N19" s="41"/>
      <c r="O19" s="43"/>
      <c r="P19" s="38"/>
      <c r="Q19" s="38"/>
      <c r="R19" s="38"/>
      <c r="S19" s="38"/>
      <c r="T19" s="38"/>
      <c r="U19" s="38"/>
      <c r="V19" s="38"/>
      <c r="W19" s="38"/>
      <c r="X19" s="38"/>
      <c r="Y19" s="38"/>
    </row>
    <row r="20" spans="1:25">
      <c r="A20" s="2731"/>
      <c r="B20" s="2187"/>
      <c r="C20" s="39">
        <v>2017</v>
      </c>
      <c r="D20" s="40"/>
      <c r="E20" s="41">
        <v>1</v>
      </c>
      <c r="F20" s="41"/>
      <c r="G20" s="35">
        <f t="shared" si="0"/>
        <v>1</v>
      </c>
      <c r="H20" s="42">
        <v>1</v>
      </c>
      <c r="I20" s="41"/>
      <c r="J20" s="41"/>
      <c r="K20" s="41"/>
      <c r="L20" s="41"/>
      <c r="M20" s="41"/>
      <c r="N20" s="41"/>
      <c r="O20" s="43"/>
      <c r="P20" s="38"/>
      <c r="Q20" s="38"/>
      <c r="R20" s="38"/>
      <c r="S20" s="38"/>
      <c r="T20" s="38"/>
      <c r="U20" s="38"/>
      <c r="V20" s="38"/>
      <c r="W20" s="38"/>
      <c r="X20" s="38"/>
      <c r="Y20" s="38"/>
    </row>
    <row r="21" spans="1:25">
      <c r="A21" s="2731"/>
      <c r="B21" s="2187"/>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731"/>
      <c r="B22" s="2187"/>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731"/>
      <c r="B23" s="2187"/>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01.25" customHeight="1" thickBot="1">
      <c r="A24" s="2202"/>
      <c r="B24" s="2188"/>
      <c r="C24" s="45" t="s">
        <v>13</v>
      </c>
      <c r="D24" s="46">
        <f>SUM(D17:D23)</f>
        <v>0</v>
      </c>
      <c r="E24" s="47">
        <v>2</v>
      </c>
      <c r="F24" s="47">
        <f>SUM(F17:F23)</f>
        <v>0</v>
      </c>
      <c r="G24" s="48">
        <f>SUM(D24:F24)</f>
        <v>2</v>
      </c>
      <c r="H24" s="49">
        <f>SUM(H17:H23)</f>
        <v>3</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731"/>
      <c r="B28" s="2187" t="s">
        <v>207</v>
      </c>
      <c r="C28" s="58">
        <v>2014</v>
      </c>
      <c r="D28" s="36"/>
      <c r="E28" s="34"/>
      <c r="F28" s="34"/>
      <c r="G28" s="59">
        <f>SUM(D28:F28)</f>
        <v>0</v>
      </c>
      <c r="H28" s="38"/>
      <c r="I28" s="38"/>
      <c r="J28" s="38"/>
      <c r="K28" s="38"/>
      <c r="L28" s="38"/>
      <c r="M28" s="38"/>
      <c r="N28" s="38"/>
      <c r="O28" s="38"/>
      <c r="P28" s="38"/>
      <c r="Q28" s="8"/>
    </row>
    <row r="29" spans="1:25">
      <c r="A29" s="2731"/>
      <c r="B29" s="2187"/>
      <c r="C29" s="60">
        <v>2015</v>
      </c>
      <c r="D29" s="42"/>
      <c r="E29" s="41"/>
      <c r="F29" s="41"/>
      <c r="G29" s="59">
        <f t="shared" ref="G29:G35" si="2">SUM(D29:F29)</f>
        <v>0</v>
      </c>
      <c r="H29" s="38"/>
      <c r="I29" s="38"/>
      <c r="J29" s="38"/>
      <c r="K29" s="38"/>
      <c r="L29" s="38"/>
      <c r="M29" s="38"/>
      <c r="N29" s="38"/>
      <c r="O29" s="38"/>
      <c r="P29" s="38"/>
      <c r="Q29" s="8"/>
    </row>
    <row r="30" spans="1:25">
      <c r="A30" s="2731"/>
      <c r="B30" s="2187"/>
      <c r="C30" s="60">
        <v>2016</v>
      </c>
      <c r="D30" s="42"/>
      <c r="E30" s="41">
        <v>250</v>
      </c>
      <c r="F30" s="41"/>
      <c r="G30" s="59">
        <f t="shared" si="2"/>
        <v>250</v>
      </c>
      <c r="H30" s="38"/>
      <c r="I30" s="38"/>
      <c r="J30" s="38"/>
      <c r="K30" s="38"/>
      <c r="L30" s="38"/>
      <c r="M30" s="38"/>
      <c r="N30" s="38"/>
      <c r="O30" s="38"/>
      <c r="P30" s="38"/>
      <c r="Q30" s="8"/>
    </row>
    <row r="31" spans="1:25">
      <c r="A31" s="2731"/>
      <c r="B31" s="2187"/>
      <c r="C31" s="60">
        <v>2017</v>
      </c>
      <c r="D31" s="42"/>
      <c r="E31" s="41">
        <v>100</v>
      </c>
      <c r="F31" s="41"/>
      <c r="G31" s="59">
        <f t="shared" si="2"/>
        <v>100</v>
      </c>
      <c r="H31" s="38"/>
      <c r="I31" s="38"/>
      <c r="J31" s="38"/>
      <c r="K31" s="38"/>
      <c r="L31" s="38"/>
      <c r="M31" s="38"/>
      <c r="N31" s="38"/>
      <c r="O31" s="38"/>
      <c r="P31" s="38"/>
      <c r="Q31" s="8"/>
    </row>
    <row r="32" spans="1:25">
      <c r="A32" s="2731"/>
      <c r="B32" s="2187"/>
      <c r="C32" s="60">
        <v>2018</v>
      </c>
      <c r="D32" s="42"/>
      <c r="E32" s="41"/>
      <c r="F32" s="41"/>
      <c r="G32" s="59">
        <f>SUM(D32:F32)</f>
        <v>0</v>
      </c>
      <c r="H32" s="38"/>
      <c r="I32" s="38"/>
      <c r="J32" s="38"/>
      <c r="K32" s="38"/>
      <c r="L32" s="38"/>
      <c r="M32" s="38"/>
      <c r="N32" s="38"/>
      <c r="O32" s="38"/>
      <c r="P32" s="38"/>
      <c r="Q32" s="8"/>
    </row>
    <row r="33" spans="1:17">
      <c r="A33" s="2731"/>
      <c r="B33" s="2187"/>
      <c r="C33" s="61">
        <v>2019</v>
      </c>
      <c r="D33" s="42"/>
      <c r="E33" s="41"/>
      <c r="F33" s="41"/>
      <c r="G33" s="59">
        <f t="shared" si="2"/>
        <v>0</v>
      </c>
      <c r="H33" s="38"/>
      <c r="I33" s="38"/>
      <c r="J33" s="38"/>
      <c r="K33" s="38"/>
      <c r="L33" s="38"/>
      <c r="M33" s="38"/>
      <c r="N33" s="38"/>
      <c r="O33" s="38"/>
      <c r="P33" s="38"/>
      <c r="Q33" s="8"/>
    </row>
    <row r="34" spans="1:17">
      <c r="A34" s="2731"/>
      <c r="B34" s="2187"/>
      <c r="C34" s="60">
        <v>2020</v>
      </c>
      <c r="D34" s="42"/>
      <c r="E34" s="41"/>
      <c r="F34" s="41"/>
      <c r="G34" s="59">
        <f t="shared" si="2"/>
        <v>0</v>
      </c>
      <c r="H34" s="38"/>
      <c r="I34" s="38"/>
      <c r="J34" s="38"/>
      <c r="K34" s="38"/>
      <c r="L34" s="38"/>
      <c r="M34" s="38"/>
      <c r="N34" s="38"/>
      <c r="O34" s="38"/>
      <c r="P34" s="38"/>
      <c r="Q34" s="8"/>
    </row>
    <row r="35" spans="1:17" ht="195" customHeight="1" thickBot="1">
      <c r="A35" s="2202"/>
      <c r="B35" s="2188"/>
      <c r="C35" s="62" t="s">
        <v>13</v>
      </c>
      <c r="D35" s="49">
        <f>SUM(D28:D34)</f>
        <v>0</v>
      </c>
      <c r="E35" s="47">
        <f>SUM(E28:E34)</f>
        <v>350</v>
      </c>
      <c r="F35" s="47">
        <f>SUM(F28:F34)</f>
        <v>0</v>
      </c>
      <c r="G35" s="51">
        <f t="shared" si="2"/>
        <v>350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731"/>
      <c r="B40" s="2187" t="s">
        <v>208</v>
      </c>
      <c r="C40" s="73">
        <v>2014</v>
      </c>
      <c r="D40" s="33"/>
      <c r="E40" s="32"/>
      <c r="F40" s="8"/>
      <c r="G40" s="38"/>
      <c r="H40" s="38"/>
    </row>
    <row r="41" spans="1:17">
      <c r="A41" s="2731"/>
      <c r="B41" s="2187"/>
      <c r="C41" s="74">
        <v>2015</v>
      </c>
      <c r="D41" s="40"/>
      <c r="E41" s="39"/>
      <c r="F41" s="8"/>
      <c r="G41" s="38"/>
      <c r="H41" s="38"/>
    </row>
    <row r="42" spans="1:17">
      <c r="A42" s="2731"/>
      <c r="B42" s="2187"/>
      <c r="C42" s="74">
        <v>2016</v>
      </c>
      <c r="D42" s="432">
        <v>9715</v>
      </c>
      <c r="E42" s="39"/>
      <c r="F42" s="8"/>
      <c r="G42" s="38"/>
      <c r="H42" s="38"/>
    </row>
    <row r="43" spans="1:17">
      <c r="A43" s="2731"/>
      <c r="B43" s="2187"/>
      <c r="C43" s="74">
        <v>2017</v>
      </c>
      <c r="D43" s="40">
        <v>6075</v>
      </c>
      <c r="E43" s="39"/>
      <c r="F43" s="8"/>
      <c r="G43" s="38"/>
      <c r="H43" s="38"/>
    </row>
    <row r="44" spans="1:17">
      <c r="A44" s="2731"/>
      <c r="B44" s="2187"/>
      <c r="C44" s="74">
        <v>2018</v>
      </c>
      <c r="D44" s="40"/>
      <c r="E44" s="39"/>
      <c r="F44" s="8" t="s">
        <v>209</v>
      </c>
      <c r="G44" s="38"/>
      <c r="H44" s="38"/>
    </row>
    <row r="45" spans="1:17">
      <c r="A45" s="2731"/>
      <c r="B45" s="2187"/>
      <c r="C45" s="74">
        <v>2019</v>
      </c>
      <c r="D45" s="40"/>
      <c r="E45" s="39"/>
      <c r="F45" s="8"/>
      <c r="G45" s="38"/>
      <c r="H45" s="38"/>
    </row>
    <row r="46" spans="1:17">
      <c r="A46" s="2731"/>
      <c r="B46" s="2187"/>
      <c r="C46" s="74">
        <v>2020</v>
      </c>
      <c r="D46" s="40"/>
      <c r="E46" s="39"/>
      <c r="F46" s="8"/>
      <c r="G46" s="38"/>
      <c r="H46" s="38"/>
    </row>
    <row r="47" spans="1:17" ht="15.75" thickBot="1">
      <c r="A47" s="2202"/>
      <c r="B47" s="2188"/>
      <c r="C47" s="45" t="s">
        <v>13</v>
      </c>
      <c r="D47" s="46">
        <f>SUM(D40:D46)</f>
        <v>15790</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v>3</v>
      </c>
      <c r="E64" s="105">
        <v>3</v>
      </c>
      <c r="F64" s="41"/>
      <c r="G64" s="41"/>
      <c r="H64" s="41"/>
      <c r="I64" s="41"/>
      <c r="J64" s="41"/>
      <c r="K64" s="41"/>
      <c r="L64" s="86"/>
      <c r="M64" s="8"/>
      <c r="N64" s="8"/>
      <c r="O64" s="8"/>
    </row>
    <row r="65" spans="1:20">
      <c r="A65" s="2659"/>
      <c r="B65" s="2039"/>
      <c r="C65" s="103">
        <v>2017</v>
      </c>
      <c r="D65" s="104">
        <v>2</v>
      </c>
      <c r="E65" s="105">
        <v>2</v>
      </c>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5</v>
      </c>
      <c r="E69" s="108">
        <f>SUM(E62:E68)</f>
        <v>5</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731"/>
      <c r="B72" s="2063"/>
      <c r="C72" s="73">
        <v>2014</v>
      </c>
      <c r="D72" s="124"/>
      <c r="E72" s="124"/>
      <c r="F72" s="124"/>
      <c r="G72" s="125">
        <f>SUM(D72:F72)</f>
        <v>0</v>
      </c>
      <c r="H72" s="33"/>
      <c r="I72" s="126"/>
      <c r="J72" s="102"/>
      <c r="K72" s="102"/>
      <c r="L72" s="102"/>
      <c r="M72" s="102"/>
      <c r="N72" s="102"/>
      <c r="O72" s="127"/>
    </row>
    <row r="73" spans="1:20">
      <c r="A73" s="2731"/>
      <c r="B73" s="2063"/>
      <c r="C73" s="74">
        <v>2015</v>
      </c>
      <c r="D73" s="128"/>
      <c r="E73" s="128"/>
      <c r="F73" s="128"/>
      <c r="G73" s="125">
        <f t="shared" ref="G73:G78" si="5">SUM(D73:F73)</f>
        <v>0</v>
      </c>
      <c r="H73" s="40"/>
      <c r="I73" s="40"/>
      <c r="J73" s="41"/>
      <c r="K73" s="41"/>
      <c r="L73" s="41"/>
      <c r="M73" s="41"/>
      <c r="N73" s="41"/>
      <c r="O73" s="86"/>
    </row>
    <row r="74" spans="1:20">
      <c r="A74" s="2731"/>
      <c r="B74" s="2063"/>
      <c r="C74" s="74">
        <v>2016</v>
      </c>
      <c r="D74" s="128"/>
      <c r="E74" s="128"/>
      <c r="F74" s="128"/>
      <c r="G74" s="125">
        <f t="shared" si="5"/>
        <v>0</v>
      </c>
      <c r="H74" s="40"/>
      <c r="I74" s="40"/>
      <c r="J74" s="41"/>
      <c r="K74" s="41"/>
      <c r="L74" s="41"/>
      <c r="M74" s="41"/>
      <c r="N74" s="41"/>
      <c r="O74" s="86"/>
    </row>
    <row r="75" spans="1:20">
      <c r="A75" s="2731"/>
      <c r="B75" s="2063"/>
      <c r="C75" s="74">
        <v>2017</v>
      </c>
      <c r="D75" s="128"/>
      <c r="E75" s="128"/>
      <c r="F75" s="128"/>
      <c r="G75" s="125">
        <f t="shared" si="5"/>
        <v>0</v>
      </c>
      <c r="H75" s="40"/>
      <c r="I75" s="40"/>
      <c r="J75" s="41"/>
      <c r="K75" s="41"/>
      <c r="L75" s="41"/>
      <c r="M75" s="41"/>
      <c r="N75" s="41"/>
      <c r="O75" s="86"/>
    </row>
    <row r="76" spans="1:20">
      <c r="A76" s="2731"/>
      <c r="B76" s="2063"/>
      <c r="C76" s="74">
        <v>2018</v>
      </c>
      <c r="D76" s="128"/>
      <c r="E76" s="128"/>
      <c r="F76" s="128"/>
      <c r="G76" s="125">
        <f t="shared" si="5"/>
        <v>0</v>
      </c>
      <c r="H76" s="40"/>
      <c r="I76" s="40"/>
      <c r="J76" s="41"/>
      <c r="K76" s="41"/>
      <c r="L76" s="41"/>
      <c r="M76" s="41"/>
      <c r="N76" s="41"/>
      <c r="O76" s="86"/>
    </row>
    <row r="77" spans="1:20" ht="15.75" customHeight="1">
      <c r="A77" s="2731"/>
      <c r="B77" s="2063"/>
      <c r="C77" s="74">
        <v>2019</v>
      </c>
      <c r="D77" s="128"/>
      <c r="E77" s="128"/>
      <c r="F77" s="128"/>
      <c r="G77" s="125">
        <f t="shared" si="5"/>
        <v>0</v>
      </c>
      <c r="H77" s="40"/>
      <c r="I77" s="40"/>
      <c r="J77" s="41"/>
      <c r="K77" s="41"/>
      <c r="L77" s="41"/>
      <c r="M77" s="41"/>
      <c r="N77" s="41"/>
      <c r="O77" s="86"/>
    </row>
    <row r="78" spans="1:20" ht="17.25" customHeight="1">
      <c r="A78" s="2731"/>
      <c r="B78" s="2063"/>
      <c r="C78" s="74">
        <v>2020</v>
      </c>
      <c r="D78" s="128"/>
      <c r="E78" s="128"/>
      <c r="F78" s="128"/>
      <c r="G78" s="125">
        <f t="shared" si="5"/>
        <v>0</v>
      </c>
      <c r="H78" s="40"/>
      <c r="I78" s="40"/>
      <c r="J78" s="41"/>
      <c r="K78" s="41"/>
      <c r="L78" s="41"/>
      <c r="M78" s="41"/>
      <c r="N78" s="41"/>
      <c r="O78" s="86"/>
    </row>
    <row r="79" spans="1:20" ht="20.25" customHeight="1" thickBot="1">
      <c r="A79" s="2202"/>
      <c r="B79" s="2066"/>
      <c r="C79" s="129" t="s">
        <v>13</v>
      </c>
      <c r="D79" s="107">
        <f>SUM(D72:D78)</f>
        <v>0</v>
      </c>
      <c r="E79" s="107">
        <f>SUM(E72:E78)</f>
        <v>0</v>
      </c>
      <c r="F79" s="107">
        <f>SUM(F72:F78)</f>
        <v>0</v>
      </c>
      <c r="G79" s="130">
        <f>SUM(G72:G78)</f>
        <v>0</v>
      </c>
      <c r="H79" s="131">
        <f>SUM(H72:H78)</f>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722"/>
      <c r="B178" s="2778" t="s">
        <v>210</v>
      </c>
      <c r="C178" s="99">
        <v>2014</v>
      </c>
      <c r="D178" s="33"/>
      <c r="E178" s="34"/>
      <c r="F178" s="34"/>
      <c r="G178" s="278">
        <f>SUM(D178:F178)</f>
        <v>0</v>
      </c>
      <c r="H178" s="148"/>
      <c r="I178" s="148"/>
      <c r="J178" s="34"/>
      <c r="K178" s="34"/>
      <c r="L178" s="34"/>
      <c r="M178" s="34"/>
      <c r="N178" s="34"/>
      <c r="O178" s="37"/>
    </row>
    <row r="179" spans="1:15">
      <c r="A179" s="2722"/>
      <c r="B179" s="2779"/>
      <c r="C179" s="103">
        <v>2015</v>
      </c>
      <c r="D179" s="40"/>
      <c r="E179" s="41"/>
      <c r="F179" s="41"/>
      <c r="G179" s="278">
        <f t="shared" ref="G179:G184" si="19">SUM(D179:F179)</f>
        <v>0</v>
      </c>
      <c r="H179" s="279"/>
      <c r="I179" s="105"/>
      <c r="J179" s="41"/>
      <c r="K179" s="41"/>
      <c r="L179" s="41"/>
      <c r="M179" s="41"/>
      <c r="N179" s="41"/>
      <c r="O179" s="86"/>
    </row>
    <row r="180" spans="1:15">
      <c r="A180" s="2722"/>
      <c r="B180" s="2779"/>
      <c r="C180" s="103">
        <v>2016</v>
      </c>
      <c r="D180" s="40">
        <v>7</v>
      </c>
      <c r="E180" s="41">
        <v>1</v>
      </c>
      <c r="F180" s="41">
        <v>6</v>
      </c>
      <c r="G180" s="278">
        <f t="shared" si="19"/>
        <v>14</v>
      </c>
      <c r="H180" s="279">
        <v>17</v>
      </c>
      <c r="I180" s="105">
        <v>7</v>
      </c>
      <c r="J180" s="41">
        <v>1</v>
      </c>
      <c r="K180" s="41">
        <v>6</v>
      </c>
      <c r="L180" s="41"/>
      <c r="M180" s="41"/>
      <c r="N180" s="41"/>
      <c r="O180" s="86"/>
    </row>
    <row r="181" spans="1:15">
      <c r="A181" s="2722"/>
      <c r="B181" s="2779"/>
      <c r="C181" s="103">
        <v>2017</v>
      </c>
      <c r="D181" s="40"/>
      <c r="E181" s="41"/>
      <c r="F181" s="41"/>
      <c r="G181" s="278">
        <f t="shared" si="19"/>
        <v>0</v>
      </c>
      <c r="H181" s="279"/>
      <c r="I181" s="105"/>
      <c r="J181" s="41"/>
      <c r="K181" s="41"/>
      <c r="L181" s="41"/>
      <c r="M181" s="41"/>
      <c r="N181" s="41"/>
      <c r="O181" s="86"/>
    </row>
    <row r="182" spans="1:15">
      <c r="A182" s="2722"/>
      <c r="B182" s="2779"/>
      <c r="C182" s="103">
        <v>2018</v>
      </c>
      <c r="D182" s="40"/>
      <c r="E182" s="41"/>
      <c r="F182" s="41"/>
      <c r="G182" s="278">
        <f t="shared" si="19"/>
        <v>0</v>
      </c>
      <c r="H182" s="279"/>
      <c r="I182" s="105"/>
      <c r="J182" s="41"/>
      <c r="K182" s="41"/>
      <c r="L182" s="41"/>
      <c r="M182" s="41"/>
      <c r="N182" s="41"/>
      <c r="O182" s="86"/>
    </row>
    <row r="183" spans="1:15">
      <c r="A183" s="2722"/>
      <c r="B183" s="2779"/>
      <c r="C183" s="103">
        <v>2019</v>
      </c>
      <c r="D183" s="40"/>
      <c r="E183" s="41"/>
      <c r="F183" s="41"/>
      <c r="G183" s="278">
        <f t="shared" si="19"/>
        <v>0</v>
      </c>
      <c r="H183" s="279"/>
      <c r="I183" s="105"/>
      <c r="J183" s="41"/>
      <c r="K183" s="41"/>
      <c r="L183" s="41"/>
      <c r="M183" s="41"/>
      <c r="N183" s="41"/>
      <c r="O183" s="86"/>
    </row>
    <row r="184" spans="1:15">
      <c r="A184" s="2722"/>
      <c r="B184" s="2779"/>
      <c r="C184" s="103">
        <v>2020</v>
      </c>
      <c r="D184" s="40"/>
      <c r="E184" s="41"/>
      <c r="F184" s="41"/>
      <c r="G184" s="278">
        <f t="shared" si="19"/>
        <v>0</v>
      </c>
      <c r="H184" s="279"/>
      <c r="I184" s="105"/>
      <c r="J184" s="41"/>
      <c r="K184" s="41"/>
      <c r="L184" s="41"/>
      <c r="M184" s="41"/>
      <c r="N184" s="41"/>
      <c r="O184" s="86"/>
    </row>
    <row r="185" spans="1:15" ht="271.5" customHeight="1" thickBot="1">
      <c r="A185" s="2723"/>
      <c r="B185" s="2780"/>
      <c r="C185" s="106" t="s">
        <v>13</v>
      </c>
      <c r="D185" s="132">
        <f>SUM(D178:D184)</f>
        <v>7</v>
      </c>
      <c r="E185" s="109">
        <f>SUM(E178:E184)</f>
        <v>1</v>
      </c>
      <c r="F185" s="109">
        <f>SUM(F178:F184)</f>
        <v>6</v>
      </c>
      <c r="G185" s="217">
        <f t="shared" ref="G185:O185" si="20">SUM(G178:G184)</f>
        <v>14</v>
      </c>
      <c r="H185" s="280">
        <f t="shared" si="20"/>
        <v>17</v>
      </c>
      <c r="I185" s="108">
        <f t="shared" si="20"/>
        <v>7</v>
      </c>
      <c r="J185" s="109">
        <f t="shared" si="20"/>
        <v>1</v>
      </c>
      <c r="K185" s="109">
        <f t="shared" si="20"/>
        <v>6</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775"/>
      <c r="B189" s="2778" t="s">
        <v>211</v>
      </c>
      <c r="C189" s="285">
        <v>2014</v>
      </c>
      <c r="D189" s="126"/>
      <c r="E189" s="102"/>
      <c r="F189" s="102"/>
      <c r="G189" s="286">
        <f>SUM(D189:F189)</f>
        <v>0</v>
      </c>
      <c r="H189" s="101"/>
      <c r="I189" s="102"/>
      <c r="J189" s="102"/>
      <c r="K189" s="102"/>
      <c r="L189" s="127"/>
    </row>
    <row r="190" spans="1:15">
      <c r="A190" s="2776"/>
      <c r="B190" s="2779"/>
      <c r="C190" s="74">
        <v>2015</v>
      </c>
      <c r="D190" s="40"/>
      <c r="E190" s="41"/>
      <c r="F190" s="41"/>
      <c r="G190" s="286">
        <f t="shared" ref="G190:G195" si="21">SUM(D190:F190)</f>
        <v>0</v>
      </c>
      <c r="H190" s="105"/>
      <c r="I190" s="41"/>
      <c r="J190" s="41"/>
      <c r="K190" s="41"/>
      <c r="L190" s="86"/>
    </row>
    <row r="191" spans="1:15">
      <c r="A191" s="2776"/>
      <c r="B191" s="2779"/>
      <c r="C191" s="74">
        <v>2016</v>
      </c>
      <c r="D191" s="40">
        <v>690</v>
      </c>
      <c r="E191" s="41">
        <v>50</v>
      </c>
      <c r="F191" s="41">
        <f>180+150+25+100</f>
        <v>455</v>
      </c>
      <c r="G191" s="286">
        <f>SUM(D191:F191)</f>
        <v>1195</v>
      </c>
      <c r="H191" s="105"/>
      <c r="I191" s="41">
        <v>3</v>
      </c>
      <c r="J191" s="41">
        <v>850</v>
      </c>
      <c r="K191" s="41"/>
      <c r="L191" s="86">
        <v>342</v>
      </c>
    </row>
    <row r="192" spans="1:15">
      <c r="A192" s="2776"/>
      <c r="B192" s="2779"/>
      <c r="C192" s="74">
        <v>2017</v>
      </c>
      <c r="D192" s="40"/>
      <c r="E192" s="41"/>
      <c r="F192" s="41"/>
      <c r="G192" s="286">
        <f t="shared" si="21"/>
        <v>0</v>
      </c>
      <c r="H192" s="105"/>
      <c r="I192" s="41"/>
      <c r="J192" s="41"/>
      <c r="K192" s="41"/>
      <c r="L192" s="86"/>
    </row>
    <row r="193" spans="1:14">
      <c r="A193" s="2776"/>
      <c r="B193" s="2779"/>
      <c r="C193" s="74">
        <v>2018</v>
      </c>
      <c r="D193" s="40"/>
      <c r="E193" s="41"/>
      <c r="F193" s="41"/>
      <c r="G193" s="286">
        <f t="shared" si="21"/>
        <v>0</v>
      </c>
      <c r="H193" s="105"/>
      <c r="I193" s="41"/>
      <c r="J193" s="41"/>
      <c r="K193" s="41"/>
      <c r="L193" s="86"/>
    </row>
    <row r="194" spans="1:14">
      <c r="A194" s="2776"/>
      <c r="B194" s="2779"/>
      <c r="C194" s="74">
        <v>2019</v>
      </c>
      <c r="D194" s="40"/>
      <c r="E194" s="41"/>
      <c r="F194" s="41"/>
      <c r="G194" s="286">
        <f t="shared" si="21"/>
        <v>0</v>
      </c>
      <c r="H194" s="105"/>
      <c r="I194" s="41"/>
      <c r="J194" s="41"/>
      <c r="K194" s="41"/>
      <c r="L194" s="86"/>
    </row>
    <row r="195" spans="1:14">
      <c r="A195" s="2776"/>
      <c r="B195" s="2779"/>
      <c r="C195" s="74">
        <v>2020</v>
      </c>
      <c r="D195" s="40"/>
      <c r="E195" s="41"/>
      <c r="F195" s="41"/>
      <c r="G195" s="286">
        <f t="shared" si="21"/>
        <v>0</v>
      </c>
      <c r="H195" s="105"/>
      <c r="I195" s="41"/>
      <c r="J195" s="41"/>
      <c r="K195" s="41"/>
      <c r="L195" s="86"/>
    </row>
    <row r="196" spans="1:14" ht="201.75" customHeight="1" thickBot="1">
      <c r="A196" s="2777"/>
      <c r="B196" s="2780"/>
      <c r="C196" s="129" t="s">
        <v>13</v>
      </c>
      <c r="D196" s="132">
        <f t="shared" ref="D196:K196" si="22">SUM(D189:D195)</f>
        <v>690</v>
      </c>
      <c r="E196" s="109">
        <f t="shared" si="22"/>
        <v>50</v>
      </c>
      <c r="F196" s="109">
        <v>345</v>
      </c>
      <c r="G196" s="290">
        <f t="shared" si="22"/>
        <v>1195</v>
      </c>
      <c r="H196" s="108">
        <f t="shared" si="22"/>
        <v>0</v>
      </c>
      <c r="I196" s="109">
        <f t="shared" si="22"/>
        <v>3</v>
      </c>
      <c r="J196" s="109">
        <f t="shared" si="22"/>
        <v>850</v>
      </c>
      <c r="K196" s="109">
        <f t="shared" si="22"/>
        <v>0</v>
      </c>
      <c r="L196" s="110">
        <f>SUM(L190:L195)</f>
        <v>342</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v>3</v>
      </c>
      <c r="E204" s="41">
        <v>32</v>
      </c>
      <c r="F204" s="41"/>
      <c r="G204" s="39"/>
      <c r="H204" s="306">
        <v>1</v>
      </c>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3</v>
      </c>
      <c r="E209" s="132">
        <f t="shared" ref="E209:L209" si="23">SUM(E202:E208)</f>
        <v>32</v>
      </c>
      <c r="F209" s="132">
        <f t="shared" si="23"/>
        <v>0</v>
      </c>
      <c r="G209" s="132">
        <f t="shared" si="23"/>
        <v>0</v>
      </c>
      <c r="H209" s="132">
        <f t="shared" si="23"/>
        <v>1</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212</v>
      </c>
      <c r="C213" s="73"/>
      <c r="D213" s="128"/>
      <c r="E213" s="433">
        <f>SUM(E214:E217)</f>
        <v>244564.83</v>
      </c>
      <c r="F213" s="433">
        <f>SUM(F214:F217)</f>
        <v>0</v>
      </c>
      <c r="G213" s="128"/>
      <c r="H213" s="128"/>
      <c r="I213" s="327"/>
    </row>
    <row r="214" spans="1:12">
      <c r="A214" t="s">
        <v>153</v>
      </c>
      <c r="B214" s="2171"/>
      <c r="C214" s="73"/>
      <c r="D214" s="326"/>
      <c r="E214" s="326">
        <v>0</v>
      </c>
      <c r="F214" s="326">
        <v>0</v>
      </c>
      <c r="G214" s="128"/>
      <c r="H214" s="128"/>
      <c r="I214" s="327"/>
    </row>
    <row r="215" spans="1:12">
      <c r="A215" t="s">
        <v>155</v>
      </c>
      <c r="B215" s="2171"/>
      <c r="C215" s="73"/>
      <c r="D215" s="326"/>
      <c r="E215" s="326">
        <v>0</v>
      </c>
      <c r="F215" s="326">
        <v>0</v>
      </c>
      <c r="G215" s="128"/>
      <c r="H215" s="128"/>
      <c r="I215" s="327"/>
    </row>
    <row r="216" spans="1:12">
      <c r="A216" t="s">
        <v>157</v>
      </c>
      <c r="B216" s="2171"/>
      <c r="C216" s="73"/>
      <c r="D216" s="326"/>
      <c r="E216" s="326">
        <v>0</v>
      </c>
      <c r="F216" s="326">
        <v>0</v>
      </c>
      <c r="G216" s="128"/>
      <c r="H216" s="128"/>
      <c r="I216" s="327"/>
    </row>
    <row r="217" spans="1:12">
      <c r="A217" t="s">
        <v>158</v>
      </c>
      <c r="B217" s="2171"/>
      <c r="C217" s="73"/>
      <c r="D217" s="326"/>
      <c r="E217" s="326">
        <v>244564.83</v>
      </c>
      <c r="F217" s="326">
        <v>0</v>
      </c>
      <c r="G217" s="128"/>
      <c r="H217" s="128"/>
      <c r="I217" s="327"/>
    </row>
    <row r="218" spans="1:12" ht="30">
      <c r="A218" s="31" t="s">
        <v>159</v>
      </c>
      <c r="B218" s="2171"/>
      <c r="C218" s="73"/>
      <c r="D218" s="433"/>
      <c r="E218" s="433">
        <v>41109.379999999997</v>
      </c>
      <c r="F218" s="326">
        <v>50819.62</v>
      </c>
      <c r="G218" s="128"/>
      <c r="H218" s="128"/>
      <c r="I218" s="327"/>
    </row>
    <row r="219" spans="1:12" ht="186.75" customHeight="1" thickBot="1">
      <c r="A219" s="349"/>
      <c r="B219" s="2172"/>
      <c r="C219" s="45" t="s">
        <v>13</v>
      </c>
      <c r="D219" s="331">
        <f>SUM(D214:D218)</f>
        <v>0</v>
      </c>
      <c r="E219" s="331">
        <f t="shared" ref="E219:I219" si="24">SUM(E214:E218)</f>
        <v>285674.20999999996</v>
      </c>
      <c r="F219" s="331">
        <f t="shared" si="24"/>
        <v>50819.62</v>
      </c>
      <c r="G219" s="333">
        <f t="shared" si="24"/>
        <v>0</v>
      </c>
      <c r="H219" s="333">
        <f t="shared" si="24"/>
        <v>0</v>
      </c>
      <c r="I219" s="333">
        <f t="shared" si="24"/>
        <v>0</v>
      </c>
    </row>
    <row r="227" spans="1:1">
      <c r="A227" s="31"/>
    </row>
  </sheetData>
  <mergeCells count="62">
    <mergeCell ref="A50:B58"/>
    <mergeCell ref="B1:F1"/>
    <mergeCell ref="F3:O3"/>
    <mergeCell ref="A4:O10"/>
    <mergeCell ref="D15:G15"/>
    <mergeCell ref="A17:A24"/>
    <mergeCell ref="B17:B24"/>
    <mergeCell ref="D26:G26"/>
    <mergeCell ref="A28:A35"/>
    <mergeCell ref="B28:B35"/>
    <mergeCell ref="A40:A47"/>
    <mergeCell ref="B40:B47"/>
    <mergeCell ref="A60:A61"/>
    <mergeCell ref="C60:C61"/>
    <mergeCell ref="D60:D61"/>
    <mergeCell ref="A62:B69"/>
    <mergeCell ref="A72:A79"/>
    <mergeCell ref="B72:B79"/>
    <mergeCell ref="A118:A119"/>
    <mergeCell ref="B118:B119"/>
    <mergeCell ref="C118:C119"/>
    <mergeCell ref="D118:D119"/>
    <mergeCell ref="A85:B92"/>
    <mergeCell ref="A96:A97"/>
    <mergeCell ref="B96:B97"/>
    <mergeCell ref="C96:C97"/>
    <mergeCell ref="D96:E96"/>
    <mergeCell ref="A98:B105"/>
    <mergeCell ref="A107:A108"/>
    <mergeCell ref="B107:B108"/>
    <mergeCell ref="C107:C108"/>
    <mergeCell ref="D107:D108"/>
    <mergeCell ref="A109:B116"/>
    <mergeCell ref="A120:B127"/>
    <mergeCell ref="A129:A130"/>
    <mergeCell ref="B129:B130"/>
    <mergeCell ref="A131:B137"/>
    <mergeCell ref="A142:A143"/>
    <mergeCell ref="B142:B143"/>
    <mergeCell ref="I176:O176"/>
    <mergeCell ref="C142:C143"/>
    <mergeCell ref="J142:N142"/>
    <mergeCell ref="A144:B151"/>
    <mergeCell ref="A153:A154"/>
    <mergeCell ref="B153:B154"/>
    <mergeCell ref="C153:C154"/>
    <mergeCell ref="A155:B162"/>
    <mergeCell ref="A165:B172"/>
    <mergeCell ref="A176:A177"/>
    <mergeCell ref="B176:B177"/>
    <mergeCell ref="C176:C177"/>
    <mergeCell ref="A178:A185"/>
    <mergeCell ref="B178:B185"/>
    <mergeCell ref="A187:A188"/>
    <mergeCell ref="B187:B188"/>
    <mergeCell ref="C187:C188"/>
    <mergeCell ref="H187:L187"/>
    <mergeCell ref="A189:A196"/>
    <mergeCell ref="B189:B196"/>
    <mergeCell ref="A202:B209"/>
    <mergeCell ref="B213:B219"/>
    <mergeCell ref="D187:G18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Y227"/>
  <sheetViews>
    <sheetView topLeftCell="A198" zoomScale="60" zoomScaleNormal="60" workbookViewId="0">
      <selection activeCell="I235" sqref="I23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213</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39.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t="s">
        <v>214</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6</v>
      </c>
      <c r="E19" s="41"/>
      <c r="F19" s="41"/>
      <c r="G19" s="35">
        <f t="shared" si="0"/>
        <v>6</v>
      </c>
      <c r="H19" s="42">
        <v>2</v>
      </c>
      <c r="I19" s="41"/>
      <c r="J19" s="41"/>
      <c r="K19" s="41"/>
      <c r="L19" s="41"/>
      <c r="M19" s="41"/>
      <c r="N19" s="41"/>
      <c r="O19" s="43">
        <v>4</v>
      </c>
      <c r="P19" s="38"/>
      <c r="Q19" s="38"/>
      <c r="R19" s="38"/>
      <c r="S19" s="38"/>
      <c r="T19" s="38"/>
      <c r="U19" s="38"/>
      <c r="V19" s="38"/>
      <c r="W19" s="38"/>
      <c r="X19" s="38"/>
      <c r="Y19" s="38"/>
    </row>
    <row r="20" spans="1:25">
      <c r="A20" s="2654"/>
      <c r="B20" s="2068"/>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63" customHeight="1" thickBot="1">
      <c r="A24" s="2070"/>
      <c r="B24" s="2071"/>
      <c r="C24" s="45" t="s">
        <v>13</v>
      </c>
      <c r="D24" s="46">
        <f>SUM(D17:D23)</f>
        <v>6</v>
      </c>
      <c r="E24" s="47">
        <f>SUM(E17:E23)</f>
        <v>0</v>
      </c>
      <c r="F24" s="47">
        <f>SUM(F17:F23)</f>
        <v>0</v>
      </c>
      <c r="G24" s="48">
        <f>SUM(D24:F24)</f>
        <v>6</v>
      </c>
      <c r="H24" s="49">
        <f>SUM(H17:H23)</f>
        <v>2</v>
      </c>
      <c r="I24" s="50">
        <f>SUM(I17:I23)</f>
        <v>0</v>
      </c>
      <c r="J24" s="50">
        <f t="shared" ref="J24:N24" si="1">SUM(J17:J23)</f>
        <v>0</v>
      </c>
      <c r="K24" s="50">
        <f t="shared" si="1"/>
        <v>0</v>
      </c>
      <c r="L24" s="50">
        <f t="shared" si="1"/>
        <v>0</v>
      </c>
      <c r="M24" s="50">
        <f t="shared" si="1"/>
        <v>0</v>
      </c>
      <c r="N24" s="50">
        <f t="shared" si="1"/>
        <v>0</v>
      </c>
      <c r="O24" s="51">
        <f>SUM(O17:O23)</f>
        <v>4</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t="s">
        <v>215</v>
      </c>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1"/>
      <c r="F29" s="41"/>
      <c r="G29" s="59"/>
      <c r="H29" s="38"/>
      <c r="I29" s="38"/>
      <c r="J29" s="38"/>
      <c r="K29" s="38"/>
      <c r="L29" s="38"/>
      <c r="M29" s="38"/>
      <c r="N29" s="38"/>
      <c r="O29" s="38"/>
      <c r="P29" s="38"/>
      <c r="Q29" s="8"/>
    </row>
    <row r="30" spans="1:25">
      <c r="A30" s="2654"/>
      <c r="B30" s="2068"/>
      <c r="C30" s="60">
        <v>2016</v>
      </c>
      <c r="D30" s="42">
        <v>728</v>
      </c>
      <c r="E30" s="41"/>
      <c r="F30" s="41"/>
      <c r="G30" s="59">
        <f t="shared" ref="G30:G35" si="2">SUM(D30:F30)</f>
        <v>728</v>
      </c>
      <c r="H30" s="38"/>
      <c r="I30" s="38"/>
      <c r="J30" s="38"/>
      <c r="K30" s="38"/>
      <c r="L30" s="38"/>
      <c r="M30" s="38"/>
      <c r="N30" s="38"/>
      <c r="O30" s="38"/>
      <c r="P30" s="38"/>
      <c r="Q30" s="8"/>
    </row>
    <row r="31" spans="1:25">
      <c r="A31" s="2654"/>
      <c r="B31" s="2068"/>
      <c r="C31" s="60">
        <v>2017</v>
      </c>
      <c r="D31" s="42"/>
      <c r="E31" s="41"/>
      <c r="F31" s="41"/>
      <c r="G31" s="59">
        <f t="shared" si="2"/>
        <v>0</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728</v>
      </c>
      <c r="E35" s="47">
        <f>SUM(E28:E34)</f>
        <v>0</v>
      </c>
      <c r="F35" s="47">
        <f>SUM(F28:F34)</f>
        <v>0</v>
      </c>
      <c r="G35" s="51">
        <f t="shared" si="2"/>
        <v>728</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t="s">
        <v>216</v>
      </c>
      <c r="B40" s="2068"/>
      <c r="C40" s="73">
        <v>2014</v>
      </c>
      <c r="D40" s="33"/>
      <c r="E40" s="32"/>
      <c r="F40" s="8"/>
      <c r="G40" s="38"/>
      <c r="H40" s="38"/>
    </row>
    <row r="41" spans="1:17">
      <c r="A41" s="2654"/>
      <c r="B41" s="2068"/>
      <c r="C41" s="74">
        <v>2015</v>
      </c>
      <c r="D41" s="434"/>
      <c r="E41" s="39"/>
      <c r="F41" s="8"/>
      <c r="G41" s="38"/>
      <c r="H41" s="38"/>
    </row>
    <row r="42" spans="1:17">
      <c r="A42" s="2654"/>
      <c r="B42" s="2068"/>
      <c r="C42" s="74">
        <v>2016</v>
      </c>
      <c r="D42" s="434">
        <v>358614</v>
      </c>
      <c r="E42" s="39"/>
      <c r="F42" s="8"/>
      <c r="G42" s="38"/>
      <c r="H42" s="38"/>
    </row>
    <row r="43" spans="1:17">
      <c r="A43" s="2654"/>
      <c r="B43" s="2068"/>
      <c r="C43" s="74">
        <v>2017</v>
      </c>
      <c r="D43" s="40">
        <v>1287</v>
      </c>
      <c r="E43" s="39"/>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359901</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27.1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t="s">
        <v>217</v>
      </c>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v>2</v>
      </c>
      <c r="E64" s="105"/>
      <c r="F64" s="41"/>
      <c r="G64" s="41"/>
      <c r="H64" s="41"/>
      <c r="I64" s="41"/>
      <c r="J64" s="41"/>
      <c r="K64" s="41"/>
      <c r="L64" s="86">
        <v>2</v>
      </c>
      <c r="M64" s="8"/>
      <c r="N64" s="8"/>
      <c r="O64" s="8"/>
    </row>
    <row r="65" spans="1:20">
      <c r="A65" s="2659"/>
      <c r="B65" s="2039"/>
      <c r="C65" s="103">
        <v>2017</v>
      </c>
      <c r="D65" s="104"/>
      <c r="E65" s="105"/>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2</v>
      </c>
      <c r="E69" s="108">
        <f>SUM(E62:E68)</f>
        <v>0</v>
      </c>
      <c r="F69" s="109">
        <f t="shared" ref="F69:I69" si="4">SUM(F62:F68)</f>
        <v>0</v>
      </c>
      <c r="G69" s="109">
        <f t="shared" si="4"/>
        <v>0</v>
      </c>
      <c r="H69" s="109">
        <f t="shared" si="4"/>
        <v>0</v>
      </c>
      <c r="I69" s="109">
        <f t="shared" si="4"/>
        <v>0</v>
      </c>
      <c r="J69" s="109"/>
      <c r="K69" s="109">
        <f>SUM(K62:K68)</f>
        <v>0</v>
      </c>
      <c r="L69" s="110">
        <f>SUM(L62:L68)</f>
        <v>2</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7.44999999999999"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t="s">
        <v>218</v>
      </c>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v>7</v>
      </c>
      <c r="E74" s="128">
        <v>1</v>
      </c>
      <c r="F74" s="128">
        <v>3</v>
      </c>
      <c r="G74" s="125">
        <f t="shared" si="5"/>
        <v>11</v>
      </c>
      <c r="H74" s="40">
        <v>5</v>
      </c>
      <c r="I74" s="40"/>
      <c r="J74" s="41"/>
      <c r="K74" s="41"/>
      <c r="L74" s="41"/>
      <c r="M74" s="41"/>
      <c r="N74" s="41"/>
      <c r="O74" s="86">
        <v>6</v>
      </c>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7</v>
      </c>
      <c r="E79" s="107">
        <f>SUM(E72:E78)</f>
        <v>1</v>
      </c>
      <c r="F79" s="107">
        <f>SUM(F72:F78)</f>
        <v>3</v>
      </c>
      <c r="G79" s="130">
        <f>SUM(G72:G78)</f>
        <v>11</v>
      </c>
      <c r="H79" s="131">
        <v>0</v>
      </c>
      <c r="I79" s="132">
        <f t="shared" ref="I79:O79" si="6">SUM(I72:I78)</f>
        <v>0</v>
      </c>
      <c r="J79" s="109">
        <f t="shared" si="6"/>
        <v>0</v>
      </c>
      <c r="K79" s="109">
        <f t="shared" si="6"/>
        <v>0</v>
      </c>
      <c r="L79" s="109">
        <f t="shared" si="6"/>
        <v>0</v>
      </c>
      <c r="M79" s="109">
        <f t="shared" si="6"/>
        <v>0</v>
      </c>
      <c r="N79" s="109">
        <f t="shared" si="6"/>
        <v>0</v>
      </c>
      <c r="O79" s="110">
        <f t="shared" si="6"/>
        <v>6</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12.9"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17.6"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21.1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39.1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63" t="s">
        <v>219</v>
      </c>
      <c r="B178" s="2039"/>
      <c r="C178" s="99">
        <v>2014</v>
      </c>
      <c r="D178" s="33"/>
      <c r="E178" s="34"/>
      <c r="F178" s="34"/>
      <c r="G178" s="278">
        <f>SUM(D178:F178)</f>
        <v>0</v>
      </c>
      <c r="H178" s="148"/>
      <c r="I178" s="148"/>
      <c r="J178" s="34"/>
      <c r="K178" s="34"/>
      <c r="L178" s="34"/>
      <c r="M178" s="34"/>
      <c r="N178" s="34"/>
      <c r="O178" s="37"/>
    </row>
    <row r="179" spans="1:15">
      <c r="A179" s="2659"/>
      <c r="B179" s="2039"/>
      <c r="C179" s="103">
        <v>2015</v>
      </c>
      <c r="D179" s="40"/>
      <c r="E179" s="41"/>
      <c r="F179" s="41"/>
      <c r="G179" s="278">
        <f t="shared" ref="G179:G184" si="19">SUM(D179:F179)</f>
        <v>0</v>
      </c>
      <c r="H179" s="279"/>
      <c r="I179" s="105"/>
      <c r="J179" s="41"/>
      <c r="K179" s="41"/>
      <c r="L179" s="41"/>
      <c r="M179" s="41"/>
      <c r="N179" s="41"/>
      <c r="O179" s="86"/>
    </row>
    <row r="180" spans="1:15">
      <c r="A180" s="2659"/>
      <c r="B180" s="2039"/>
      <c r="C180" s="103">
        <v>2016</v>
      </c>
      <c r="D180" s="40">
        <v>19</v>
      </c>
      <c r="E180" s="41"/>
      <c r="F180" s="41"/>
      <c r="G180" s="278">
        <f t="shared" si="19"/>
        <v>19</v>
      </c>
      <c r="H180" s="279">
        <v>20</v>
      </c>
      <c r="I180" s="105">
        <v>7</v>
      </c>
      <c r="J180" s="41"/>
      <c r="K180" s="41"/>
      <c r="L180" s="41"/>
      <c r="M180" s="41"/>
      <c r="N180" s="41"/>
      <c r="O180" s="86">
        <v>12</v>
      </c>
    </row>
    <row r="181" spans="1:15">
      <c r="A181" s="2659"/>
      <c r="B181" s="2039"/>
      <c r="C181" s="103">
        <v>2017</v>
      </c>
      <c r="D181" s="40"/>
      <c r="E181" s="41"/>
      <c r="F181" s="41"/>
      <c r="G181" s="278">
        <f t="shared" si="19"/>
        <v>0</v>
      </c>
      <c r="H181" s="279"/>
      <c r="I181" s="105"/>
      <c r="J181" s="41"/>
      <c r="K181" s="41"/>
      <c r="L181" s="41"/>
      <c r="M181" s="41"/>
      <c r="N181" s="41"/>
      <c r="O181" s="86"/>
    </row>
    <row r="182" spans="1:15">
      <c r="A182" s="2659"/>
      <c r="B182" s="2039"/>
      <c r="C182" s="103">
        <v>2018</v>
      </c>
      <c r="D182" s="40"/>
      <c r="E182" s="41"/>
      <c r="F182" s="41"/>
      <c r="G182" s="278">
        <f t="shared" si="19"/>
        <v>0</v>
      </c>
      <c r="H182" s="279"/>
      <c r="I182" s="105"/>
      <c r="J182" s="41"/>
      <c r="K182" s="41"/>
      <c r="L182" s="41"/>
      <c r="M182" s="41"/>
      <c r="N182" s="41"/>
      <c r="O182" s="86"/>
    </row>
    <row r="183" spans="1:15">
      <c r="A183" s="2659"/>
      <c r="B183" s="2039"/>
      <c r="C183" s="103">
        <v>2019</v>
      </c>
      <c r="D183" s="40"/>
      <c r="E183" s="41"/>
      <c r="F183" s="41"/>
      <c r="G183" s="278">
        <f t="shared" si="19"/>
        <v>0</v>
      </c>
      <c r="H183" s="279"/>
      <c r="I183" s="105"/>
      <c r="J183" s="41"/>
      <c r="K183" s="41"/>
      <c r="L183" s="41"/>
      <c r="M183" s="41"/>
      <c r="N183" s="41"/>
      <c r="O183" s="86"/>
    </row>
    <row r="184" spans="1:15">
      <c r="A184" s="2659"/>
      <c r="B184" s="2039"/>
      <c r="C184" s="103">
        <v>2020</v>
      </c>
      <c r="D184" s="40"/>
      <c r="E184" s="41"/>
      <c r="F184" s="41"/>
      <c r="G184" s="278">
        <f t="shared" si="19"/>
        <v>0</v>
      </c>
      <c r="H184" s="279"/>
      <c r="I184" s="105"/>
      <c r="J184" s="41"/>
      <c r="K184" s="41"/>
      <c r="L184" s="41"/>
      <c r="M184" s="41"/>
      <c r="N184" s="41"/>
      <c r="O184" s="86"/>
    </row>
    <row r="185" spans="1:15" ht="35.450000000000003" customHeight="1" thickBot="1">
      <c r="A185" s="2067"/>
      <c r="B185" s="2042"/>
      <c r="C185" s="106" t="s">
        <v>13</v>
      </c>
      <c r="D185" s="132">
        <f>SUM(D178:D184)</f>
        <v>19</v>
      </c>
      <c r="E185" s="109">
        <f>SUM(E178:E184)</f>
        <v>0</v>
      </c>
      <c r="F185" s="109">
        <f>SUM(F178:F184)</f>
        <v>0</v>
      </c>
      <c r="G185" s="217">
        <f t="shared" ref="G185:O185" si="20">SUM(G178:G184)</f>
        <v>19</v>
      </c>
      <c r="H185" s="280">
        <f t="shared" si="20"/>
        <v>20</v>
      </c>
      <c r="I185" s="108">
        <f t="shared" si="20"/>
        <v>7</v>
      </c>
      <c r="J185" s="109">
        <f t="shared" si="20"/>
        <v>0</v>
      </c>
      <c r="K185" s="109">
        <f t="shared" si="20"/>
        <v>0</v>
      </c>
      <c r="L185" s="109">
        <f t="shared" si="20"/>
        <v>0</v>
      </c>
      <c r="M185" s="109">
        <f t="shared" si="20"/>
        <v>0</v>
      </c>
      <c r="N185" s="109">
        <f t="shared" si="20"/>
        <v>0</v>
      </c>
      <c r="O185" s="110">
        <f t="shared" si="20"/>
        <v>12</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220</v>
      </c>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v>388</v>
      </c>
      <c r="E191" s="41"/>
      <c r="F191" s="41"/>
      <c r="G191" s="286">
        <f t="shared" si="21"/>
        <v>388</v>
      </c>
      <c r="H191" s="105"/>
      <c r="I191" s="41"/>
      <c r="J191" s="41">
        <v>100</v>
      </c>
      <c r="K191" s="41"/>
      <c r="L191" s="86">
        <v>288</v>
      </c>
    </row>
    <row r="192" spans="1:15">
      <c r="A192" s="2658"/>
      <c r="B192" s="2068"/>
      <c r="C192" s="74">
        <v>2017</v>
      </c>
      <c r="D192" s="40"/>
      <c r="E192" s="41"/>
      <c r="F192" s="41"/>
      <c r="G192" s="286">
        <f t="shared" si="21"/>
        <v>0</v>
      </c>
      <c r="H192" s="105"/>
      <c r="I192" s="41"/>
      <c r="J192" s="41"/>
      <c r="K192" s="41"/>
      <c r="L192" s="86"/>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50.45" customHeight="1" thickBot="1">
      <c r="A196" s="2129"/>
      <c r="B196" s="2071"/>
      <c r="C196" s="129" t="s">
        <v>13</v>
      </c>
      <c r="D196" s="132">
        <f t="shared" ref="D196:L196" si="22">SUM(D189:D195)</f>
        <v>388</v>
      </c>
      <c r="E196" s="109">
        <f t="shared" si="22"/>
        <v>0</v>
      </c>
      <c r="F196" s="109">
        <f t="shared" si="22"/>
        <v>0</v>
      </c>
      <c r="G196" s="290">
        <f t="shared" si="22"/>
        <v>388</v>
      </c>
      <c r="H196" s="108">
        <f t="shared" si="22"/>
        <v>0</v>
      </c>
      <c r="I196" s="109">
        <f t="shared" si="22"/>
        <v>0</v>
      </c>
      <c r="J196" s="109">
        <f t="shared" si="22"/>
        <v>100</v>
      </c>
      <c r="K196" s="109">
        <f t="shared" si="22"/>
        <v>0</v>
      </c>
      <c r="L196" s="110">
        <f t="shared" si="22"/>
        <v>288</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221</v>
      </c>
      <c r="C213" s="73"/>
      <c r="D213" s="128"/>
      <c r="E213" s="128">
        <v>115139.68</v>
      </c>
      <c r="F213" s="128">
        <v>0</v>
      </c>
      <c r="G213" s="128"/>
      <c r="H213" s="128"/>
      <c r="I213" s="327"/>
    </row>
    <row r="214" spans="1:12">
      <c r="A214" t="s">
        <v>153</v>
      </c>
      <c r="B214" s="2171"/>
      <c r="C214" s="73"/>
      <c r="D214" s="128"/>
      <c r="E214" s="128">
        <v>115139.68</v>
      </c>
      <c r="F214" s="128"/>
      <c r="G214" s="128"/>
      <c r="H214" s="128"/>
      <c r="I214" s="327"/>
    </row>
    <row r="215" spans="1:12">
      <c r="A215" t="s">
        <v>155</v>
      </c>
      <c r="B215" s="2171"/>
      <c r="C215" s="73"/>
      <c r="D215" s="128"/>
      <c r="E215" s="128"/>
      <c r="F215" s="128"/>
      <c r="G215" s="128"/>
      <c r="H215" s="128"/>
      <c r="I215" s="327"/>
    </row>
    <row r="216" spans="1:12">
      <c r="A216" t="s">
        <v>157</v>
      </c>
      <c r="B216" s="2171"/>
      <c r="C216" s="73"/>
      <c r="D216" s="128"/>
      <c r="E216" s="128"/>
      <c r="F216" s="128"/>
      <c r="G216" s="128"/>
      <c r="H216" s="128"/>
      <c r="I216" s="327"/>
    </row>
    <row r="217" spans="1:12">
      <c r="A217" t="s">
        <v>158</v>
      </c>
      <c r="B217" s="2171"/>
      <c r="C217" s="73"/>
      <c r="D217" s="128"/>
      <c r="E217" s="128"/>
      <c r="F217" s="128"/>
      <c r="G217" s="128"/>
      <c r="H217" s="128"/>
      <c r="I217" s="327"/>
    </row>
    <row r="218" spans="1:12" ht="30">
      <c r="A218" s="31" t="s">
        <v>159</v>
      </c>
      <c r="B218" s="2171"/>
      <c r="C218" s="73"/>
      <c r="D218" s="128"/>
      <c r="E218" s="128">
        <v>114195.07</v>
      </c>
      <c r="F218" s="128">
        <v>49082.09</v>
      </c>
      <c r="G218" s="128"/>
      <c r="H218" s="128"/>
      <c r="I218" s="327"/>
    </row>
    <row r="219" spans="1:12" ht="15.75" thickBot="1">
      <c r="A219" s="349"/>
      <c r="B219" s="2172"/>
      <c r="C219" s="45" t="s">
        <v>13</v>
      </c>
      <c r="D219" s="333">
        <f>SUM(D214:D218)</f>
        <v>0</v>
      </c>
      <c r="E219" s="333">
        <f t="shared" ref="E219:I219" si="24">SUM(E214:E218)</f>
        <v>229334.75</v>
      </c>
      <c r="F219" s="333">
        <f t="shared" si="24"/>
        <v>49082.09</v>
      </c>
      <c r="G219" s="333">
        <f t="shared" si="24"/>
        <v>0</v>
      </c>
      <c r="H219" s="333">
        <f t="shared" si="24"/>
        <v>0</v>
      </c>
      <c r="I219" s="33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Y226"/>
  <sheetViews>
    <sheetView topLeftCell="A202" zoomScale="60" zoomScaleNormal="60" workbookViewId="0">
      <selection activeCell="R24" sqref="R24"/>
    </sheetView>
  </sheetViews>
  <sheetFormatPr defaultColWidth="8.85546875" defaultRowHeight="15"/>
  <cols>
    <col min="1" max="1" width="91" customWidth="1"/>
    <col min="2" max="2" width="46.140625" customWidth="1"/>
    <col min="3" max="3" width="16.140625" customWidth="1"/>
    <col min="4" max="4" width="12.7109375" customWidth="1"/>
    <col min="5" max="5" width="13" customWidth="1"/>
    <col min="6" max="6" width="21.5703125" customWidth="1"/>
    <col min="7" max="7" width="18.28515625" customWidth="1"/>
    <col min="8" max="8" width="13.5703125" customWidth="1"/>
    <col min="9" max="9" width="13.85546875" customWidth="1"/>
    <col min="10" max="10" width="13.7109375" customWidth="1"/>
    <col min="11" max="11" width="11" customWidth="1"/>
    <col min="12" max="12" width="9.85546875" customWidth="1"/>
    <col min="13" max="13" width="11.140625" customWidth="1"/>
    <col min="14" max="14" width="9.28515625" customWidth="1"/>
    <col min="15" max="15" width="10.140625" customWidth="1"/>
    <col min="16" max="25" width="13.7109375" customWidth="1"/>
  </cols>
  <sheetData>
    <row r="1" spans="1:25" s="2" customFormat="1" ht="31.5">
      <c r="A1" s="1" t="s">
        <v>0</v>
      </c>
      <c r="B1" s="1995" t="s">
        <v>222</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05" customHeight="1">
      <c r="A16" s="435" t="s">
        <v>7</v>
      </c>
      <c r="B16" s="436" t="s">
        <v>223</v>
      </c>
      <c r="C16" s="437" t="s">
        <v>9</v>
      </c>
      <c r="D16" s="438" t="s">
        <v>10</v>
      </c>
      <c r="E16" s="439" t="s">
        <v>11</v>
      </c>
      <c r="F16" s="439" t="s">
        <v>12</v>
      </c>
      <c r="G16" s="440" t="s">
        <v>13</v>
      </c>
      <c r="H16" s="441" t="s">
        <v>14</v>
      </c>
      <c r="I16" s="442" t="s">
        <v>15</v>
      </c>
      <c r="J16" s="442" t="s">
        <v>16</v>
      </c>
      <c r="K16" s="442" t="s">
        <v>17</v>
      </c>
      <c r="L16" s="442" t="s">
        <v>18</v>
      </c>
      <c r="M16" s="443" t="s">
        <v>19</v>
      </c>
      <c r="N16" s="442" t="s">
        <v>20</v>
      </c>
      <c r="O16" s="444" t="s">
        <v>21</v>
      </c>
      <c r="P16" s="30"/>
      <c r="Q16" s="30"/>
      <c r="R16" s="30"/>
      <c r="S16" s="30"/>
      <c r="T16" s="30"/>
      <c r="U16" s="30"/>
      <c r="V16" s="30"/>
      <c r="W16" s="30"/>
      <c r="X16" s="30"/>
      <c r="Y16" s="30"/>
    </row>
    <row r="17" spans="1:25" ht="48" customHeight="1">
      <c r="A17" s="2679" t="s">
        <v>224</v>
      </c>
      <c r="B17" s="2794"/>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79"/>
      <c r="B18" s="2794"/>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79"/>
      <c r="B19" s="2794"/>
      <c r="C19" s="39">
        <v>2016</v>
      </c>
      <c r="D19" s="40">
        <f>5+6+21</f>
        <v>32</v>
      </c>
      <c r="E19" s="41"/>
      <c r="F19" s="41"/>
      <c r="G19" s="35">
        <f t="shared" si="0"/>
        <v>32</v>
      </c>
      <c r="H19" s="42">
        <v>32</v>
      </c>
      <c r="I19" s="41"/>
      <c r="J19" s="41"/>
      <c r="K19" s="41"/>
      <c r="L19" s="41"/>
      <c r="M19" s="60"/>
      <c r="N19" s="41"/>
      <c r="O19" s="1988"/>
      <c r="P19" s="38"/>
      <c r="Q19" s="38"/>
      <c r="R19" s="38"/>
      <c r="S19" s="38"/>
      <c r="T19" s="38"/>
      <c r="U19" s="38"/>
      <c r="V19" s="38"/>
      <c r="W19" s="38"/>
      <c r="X19" s="38"/>
      <c r="Y19" s="38"/>
    </row>
    <row r="20" spans="1:25">
      <c r="A20" s="2679"/>
      <c r="B20" s="2794"/>
      <c r="C20" s="39">
        <v>2017</v>
      </c>
      <c r="D20" s="40">
        <f>1+1+1+1+1+1+1</f>
        <v>7</v>
      </c>
      <c r="E20" s="41"/>
      <c r="F20" s="41"/>
      <c r="G20" s="35">
        <f t="shared" si="0"/>
        <v>7</v>
      </c>
      <c r="H20" s="42">
        <f>D20</f>
        <v>7</v>
      </c>
      <c r="I20" s="41"/>
      <c r="J20" s="41"/>
      <c r="K20" s="41"/>
      <c r="L20" s="41"/>
      <c r="M20" s="60"/>
      <c r="N20" s="41"/>
      <c r="O20" s="1988"/>
      <c r="P20" s="38"/>
      <c r="Q20" s="38"/>
      <c r="R20" s="38"/>
      <c r="S20" s="38"/>
      <c r="T20" s="38"/>
      <c r="U20" s="38"/>
      <c r="V20" s="38"/>
      <c r="W20" s="38"/>
      <c r="X20" s="38"/>
      <c r="Y20" s="38"/>
    </row>
    <row r="21" spans="1:25">
      <c r="A21" s="2679"/>
      <c r="B21" s="2794"/>
      <c r="C21" s="39">
        <v>2018</v>
      </c>
      <c r="D21" s="40"/>
      <c r="E21" s="41"/>
      <c r="F21" s="41"/>
      <c r="G21" s="35">
        <f t="shared" si="0"/>
        <v>0</v>
      </c>
      <c r="H21" s="42"/>
      <c r="I21" s="41"/>
      <c r="J21" s="41"/>
      <c r="K21" s="41"/>
      <c r="L21" s="41"/>
      <c r="M21" s="60"/>
      <c r="N21" s="41"/>
      <c r="O21" s="1989"/>
      <c r="P21" s="38"/>
      <c r="Q21" s="38"/>
      <c r="R21" s="38"/>
      <c r="S21" s="38"/>
      <c r="T21" s="38"/>
      <c r="U21" s="38"/>
      <c r="V21" s="38"/>
      <c r="W21" s="38"/>
      <c r="X21" s="38"/>
      <c r="Y21" s="38"/>
    </row>
    <row r="22" spans="1:25">
      <c r="A22" s="2679"/>
      <c r="B22" s="2794"/>
      <c r="C22" s="44">
        <v>2019</v>
      </c>
      <c r="D22" s="40"/>
      <c r="E22" s="41"/>
      <c r="F22" s="41"/>
      <c r="G22" s="35">
        <f>SUM(D22:F22)</f>
        <v>0</v>
      </c>
      <c r="H22" s="42"/>
      <c r="I22" s="41"/>
      <c r="J22" s="41"/>
      <c r="K22" s="41"/>
      <c r="L22" s="41"/>
      <c r="M22" s="41"/>
      <c r="N22" s="1990"/>
      <c r="O22" s="43"/>
      <c r="P22" s="38"/>
      <c r="Q22" s="38"/>
      <c r="R22" s="38"/>
      <c r="S22" s="38"/>
      <c r="T22" s="38"/>
      <c r="U22" s="38"/>
      <c r="V22" s="38"/>
      <c r="W22" s="38"/>
      <c r="X22" s="38"/>
      <c r="Y22" s="38"/>
    </row>
    <row r="23" spans="1:25">
      <c r="A23" s="2679"/>
      <c r="B23" s="2794"/>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75.5" customHeight="1" thickBot="1">
      <c r="A24" s="2349"/>
      <c r="B24" s="2795"/>
      <c r="C24" s="45" t="s">
        <v>13</v>
      </c>
      <c r="D24" s="46">
        <f>SUM(D17:D23)</f>
        <v>39</v>
      </c>
      <c r="E24" s="47">
        <f>SUM(E17:E23)</f>
        <v>0</v>
      </c>
      <c r="F24" s="47">
        <f>SUM(F17:F23)</f>
        <v>0</v>
      </c>
      <c r="G24" s="48">
        <f>SUM(D24:F24)</f>
        <v>39</v>
      </c>
      <c r="H24" s="49">
        <f>SUM(H17:H23)</f>
        <v>39</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9" t="s">
        <v>225</v>
      </c>
      <c r="B28" s="2794"/>
      <c r="C28" s="58">
        <v>2014</v>
      </c>
      <c r="D28" s="36"/>
      <c r="E28" s="34"/>
      <c r="F28" s="34"/>
      <c r="G28" s="59">
        <f>SUM(D28:F28)</f>
        <v>0</v>
      </c>
      <c r="H28" s="38"/>
      <c r="I28" s="38"/>
      <c r="J28" s="38"/>
      <c r="K28" s="38"/>
      <c r="L28" s="38"/>
      <c r="M28" s="38"/>
      <c r="N28" s="38"/>
      <c r="O28" s="38"/>
      <c r="P28" s="38"/>
      <c r="Q28" s="8"/>
    </row>
    <row r="29" spans="1:25">
      <c r="A29" s="2679"/>
      <c r="B29" s="2794"/>
      <c r="C29" s="60">
        <v>2015</v>
      </c>
      <c r="D29" s="42"/>
      <c r="E29" s="41"/>
      <c r="F29" s="41"/>
      <c r="G29" s="59">
        <f t="shared" ref="G29:G35" si="2">SUM(D29:F29)</f>
        <v>0</v>
      </c>
      <c r="H29" s="38"/>
      <c r="I29" s="38"/>
      <c r="J29" s="38"/>
      <c r="K29" s="38"/>
      <c r="L29" s="38"/>
      <c r="M29" s="38"/>
      <c r="N29" s="38"/>
      <c r="O29" s="38"/>
      <c r="P29" s="38"/>
      <c r="Q29" s="8"/>
    </row>
    <row r="30" spans="1:25">
      <c r="A30" s="2679"/>
      <c r="B30" s="2794"/>
      <c r="C30" s="60">
        <v>2016</v>
      </c>
      <c r="D30" s="42">
        <f>100+100+80+80+80+315</f>
        <v>755</v>
      </c>
      <c r="E30" s="41"/>
      <c r="F30" s="41"/>
      <c r="G30" s="59">
        <f t="shared" si="2"/>
        <v>755</v>
      </c>
      <c r="H30" s="38"/>
      <c r="I30" s="38"/>
      <c r="J30" s="38"/>
      <c r="K30" s="38"/>
      <c r="L30" s="38"/>
      <c r="M30" s="38"/>
      <c r="N30" s="38"/>
      <c r="O30" s="38"/>
      <c r="P30" s="38"/>
      <c r="Q30" s="8"/>
    </row>
    <row r="31" spans="1:25">
      <c r="A31" s="2679"/>
      <c r="B31" s="2794"/>
      <c r="C31" s="60">
        <v>2017</v>
      </c>
      <c r="D31" s="42">
        <f>19+72+117+74+60+80</f>
        <v>422</v>
      </c>
      <c r="E31" s="41"/>
      <c r="F31" s="41"/>
      <c r="G31" s="59">
        <f t="shared" si="2"/>
        <v>422</v>
      </c>
      <c r="H31" s="38"/>
      <c r="I31" s="38"/>
      <c r="J31" s="38"/>
      <c r="K31" s="38"/>
      <c r="L31" s="38"/>
      <c r="M31" s="38"/>
      <c r="N31" s="38"/>
      <c r="O31" s="38"/>
      <c r="P31" s="38"/>
      <c r="Q31" s="8"/>
    </row>
    <row r="32" spans="1:25">
      <c r="A32" s="2679"/>
      <c r="B32" s="2794"/>
      <c r="C32" s="60">
        <v>2018</v>
      </c>
      <c r="D32" s="42"/>
      <c r="E32" s="41"/>
      <c r="F32" s="41"/>
      <c r="G32" s="59">
        <f>SUM(D32:F32)</f>
        <v>0</v>
      </c>
      <c r="H32" s="38"/>
      <c r="I32" s="38"/>
      <c r="J32" s="38"/>
      <c r="K32" s="38"/>
      <c r="L32" s="38"/>
      <c r="M32" s="38"/>
      <c r="N32" s="38"/>
      <c r="O32" s="38"/>
      <c r="P32" s="38"/>
      <c r="Q32" s="8"/>
    </row>
    <row r="33" spans="1:17">
      <c r="A33" s="2679"/>
      <c r="B33" s="2794"/>
      <c r="C33" s="61">
        <v>2019</v>
      </c>
      <c r="D33" s="42"/>
      <c r="E33" s="41"/>
      <c r="F33" s="41"/>
      <c r="G33" s="59">
        <f t="shared" si="2"/>
        <v>0</v>
      </c>
      <c r="H33" s="38"/>
      <c r="I33" s="38"/>
      <c r="J33" s="38"/>
      <c r="K33" s="38"/>
      <c r="L33" s="38"/>
      <c r="M33" s="38"/>
      <c r="N33" s="38"/>
      <c r="O33" s="38"/>
      <c r="P33" s="38"/>
      <c r="Q33" s="8"/>
    </row>
    <row r="34" spans="1:17">
      <c r="A34" s="2679"/>
      <c r="B34" s="2794"/>
      <c r="C34" s="60">
        <v>2020</v>
      </c>
      <c r="D34" s="42"/>
      <c r="E34" s="41"/>
      <c r="F34" s="41"/>
      <c r="G34" s="59">
        <f t="shared" si="2"/>
        <v>0</v>
      </c>
      <c r="H34" s="38"/>
      <c r="I34" s="38"/>
      <c r="J34" s="38"/>
      <c r="K34" s="38"/>
      <c r="L34" s="38"/>
      <c r="M34" s="38"/>
      <c r="N34" s="38"/>
      <c r="O34" s="38"/>
      <c r="P34" s="38"/>
      <c r="Q34" s="8"/>
    </row>
    <row r="35" spans="1:17" ht="183" customHeight="1" thickBot="1">
      <c r="A35" s="2349"/>
      <c r="B35" s="2795"/>
      <c r="C35" s="62" t="s">
        <v>13</v>
      </c>
      <c r="D35" s="49">
        <f>SUM(D28:D34)</f>
        <v>1177</v>
      </c>
      <c r="E35" s="47">
        <f>SUM(E28:E34)</f>
        <v>0</v>
      </c>
      <c r="F35" s="47">
        <f>SUM(F28:F34)</f>
        <v>0</v>
      </c>
      <c r="G35" s="51">
        <f t="shared" si="2"/>
        <v>1177</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t="s">
        <v>226</v>
      </c>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381">
        <v>8185</v>
      </c>
      <c r="E42" s="380">
        <v>1364</v>
      </c>
      <c r="F42" s="8"/>
      <c r="G42" s="38"/>
      <c r="H42" s="38"/>
    </row>
    <row r="43" spans="1:17">
      <c r="A43" s="2654"/>
      <c r="B43" s="2068"/>
      <c r="C43" s="74">
        <v>2017</v>
      </c>
      <c r="D43" s="381">
        <f>16090-E43</f>
        <v>13194</v>
      </c>
      <c r="E43" s="380">
        <v>2896</v>
      </c>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21379</v>
      </c>
      <c r="E47" s="76">
        <f>SUM(E40:E46)</f>
        <v>4260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784" t="s">
        <v>227</v>
      </c>
      <c r="B62" s="2228"/>
      <c r="C62" s="99">
        <v>2014</v>
      </c>
      <c r="D62" s="100"/>
      <c r="E62" s="101"/>
      <c r="F62" s="102"/>
      <c r="G62" s="102"/>
      <c r="H62" s="102"/>
      <c r="I62" s="102"/>
      <c r="J62" s="102"/>
      <c r="K62" s="102"/>
      <c r="L62" s="37"/>
      <c r="M62" s="8"/>
      <c r="N62" s="8"/>
      <c r="O62" s="8"/>
    </row>
    <row r="63" spans="1:15">
      <c r="A63" s="2784"/>
      <c r="B63" s="2228"/>
      <c r="C63" s="103">
        <v>2015</v>
      </c>
      <c r="D63" s="104"/>
      <c r="E63" s="105"/>
      <c r="F63" s="41"/>
      <c r="G63" s="41"/>
      <c r="H63" s="41"/>
      <c r="I63" s="41"/>
      <c r="J63" s="41"/>
      <c r="K63" s="41"/>
      <c r="L63" s="86"/>
      <c r="M63" s="8"/>
      <c r="N63" s="8"/>
      <c r="O63" s="8"/>
    </row>
    <row r="64" spans="1:15">
      <c r="A64" s="2784"/>
      <c r="B64" s="2228"/>
      <c r="C64" s="103">
        <v>2016</v>
      </c>
      <c r="D64" s="104">
        <v>4</v>
      </c>
      <c r="E64" s="105">
        <v>4</v>
      </c>
      <c r="F64" s="41"/>
      <c r="G64" s="41"/>
      <c r="H64" s="41"/>
      <c r="I64" s="41"/>
      <c r="J64" s="41"/>
      <c r="K64" s="41"/>
      <c r="L64" s="86"/>
      <c r="M64" s="8"/>
      <c r="N64" s="8"/>
      <c r="O64" s="8"/>
    </row>
    <row r="65" spans="1:20">
      <c r="A65" s="2784"/>
      <c r="B65" s="2228"/>
      <c r="C65" s="103">
        <v>2017</v>
      </c>
      <c r="D65" s="104">
        <v>1</v>
      </c>
      <c r="E65" s="105">
        <v>1</v>
      </c>
      <c r="F65" s="41"/>
      <c r="G65" s="41"/>
      <c r="H65" s="41"/>
      <c r="I65" s="41"/>
      <c r="J65" s="41"/>
      <c r="K65" s="41"/>
      <c r="L65" s="86"/>
      <c r="M65" s="8"/>
      <c r="N65" s="8"/>
      <c r="O65" s="8"/>
    </row>
    <row r="66" spans="1:20">
      <c r="A66" s="2784"/>
      <c r="B66" s="2228"/>
      <c r="C66" s="103">
        <v>2018</v>
      </c>
      <c r="D66" s="104"/>
      <c r="E66" s="105"/>
      <c r="F66" s="41"/>
      <c r="G66" s="41"/>
      <c r="H66" s="41"/>
      <c r="I66" s="41"/>
      <c r="J66" s="41"/>
      <c r="K66" s="41"/>
      <c r="L66" s="86"/>
      <c r="M66" s="8"/>
      <c r="N66" s="8"/>
      <c r="O66" s="8"/>
    </row>
    <row r="67" spans="1:20" ht="17.25" customHeight="1">
      <c r="A67" s="2784"/>
      <c r="B67" s="2228"/>
      <c r="C67" s="103">
        <v>2019</v>
      </c>
      <c r="D67" s="104"/>
      <c r="E67" s="105"/>
      <c r="F67" s="41"/>
      <c r="G67" s="41"/>
      <c r="H67" s="41"/>
      <c r="I67" s="41"/>
      <c r="J67" s="41"/>
      <c r="K67" s="41"/>
      <c r="L67" s="86"/>
      <c r="M67" s="8"/>
      <c r="N67" s="8"/>
      <c r="O67" s="8"/>
    </row>
    <row r="68" spans="1:20" ht="16.5" customHeight="1">
      <c r="A68" s="2784"/>
      <c r="B68" s="2228"/>
      <c r="C68" s="103">
        <v>2020</v>
      </c>
      <c r="D68" s="104"/>
      <c r="E68" s="105"/>
      <c r="F68" s="41"/>
      <c r="G68" s="41"/>
      <c r="H68" s="41"/>
      <c r="I68" s="41"/>
      <c r="J68" s="41"/>
      <c r="K68" s="41"/>
      <c r="L68" s="86"/>
      <c r="M68" s="77"/>
      <c r="N68" s="77"/>
      <c r="O68" s="77"/>
    </row>
    <row r="69" spans="1:20" ht="18" customHeight="1" thickBot="1">
      <c r="A69" s="2356"/>
      <c r="B69" s="2229"/>
      <c r="C69" s="106" t="s">
        <v>13</v>
      </c>
      <c r="D69" s="107">
        <f>SUM(D62:D68)</f>
        <v>5</v>
      </c>
      <c r="E69" s="108">
        <f>SUM(E62:E68)</f>
        <v>5</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c r="E74" s="128"/>
      <c r="F74" s="128"/>
      <c r="G74" s="125">
        <f t="shared" si="5"/>
        <v>0</v>
      </c>
      <c r="H74" s="40"/>
      <c r="I74" s="40"/>
      <c r="J74" s="41"/>
      <c r="K74" s="41"/>
      <c r="L74" s="41"/>
      <c r="M74" s="41"/>
      <c r="N74" s="41"/>
      <c r="O74" s="86"/>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790" t="s">
        <v>61</v>
      </c>
      <c r="B96" s="2792" t="s">
        <v>228</v>
      </c>
      <c r="C96" s="2788" t="s">
        <v>9</v>
      </c>
      <c r="D96" s="2786" t="s">
        <v>63</v>
      </c>
      <c r="E96" s="2787"/>
      <c r="F96" s="445" t="s">
        <v>64</v>
      </c>
      <c r="G96" s="446"/>
      <c r="H96" s="446"/>
      <c r="I96" s="446"/>
      <c r="J96" s="446"/>
      <c r="K96" s="446"/>
      <c r="L96" s="446"/>
      <c r="M96" s="447"/>
      <c r="N96" s="158"/>
      <c r="O96" s="158"/>
      <c r="P96" s="158"/>
    </row>
    <row r="97" spans="1:16" ht="100.5" customHeight="1">
      <c r="A97" s="2791"/>
      <c r="B97" s="2793"/>
      <c r="C97" s="2789"/>
      <c r="D97" s="448" t="s">
        <v>65</v>
      </c>
      <c r="E97" s="449" t="s">
        <v>66</v>
      </c>
      <c r="F97" s="450" t="s">
        <v>14</v>
      </c>
      <c r="G97" s="451" t="s">
        <v>67</v>
      </c>
      <c r="H97" s="451" t="s">
        <v>55</v>
      </c>
      <c r="I97" s="452" t="s">
        <v>56</v>
      </c>
      <c r="J97" s="452" t="s">
        <v>57</v>
      </c>
      <c r="K97" s="453" t="s">
        <v>68</v>
      </c>
      <c r="L97" s="451" t="s">
        <v>58</v>
      </c>
      <c r="M97" s="454"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7.2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784" t="s">
        <v>229</v>
      </c>
      <c r="B109" s="2228"/>
      <c r="C109" s="99">
        <v>2014</v>
      </c>
      <c r="D109" s="34"/>
      <c r="E109" s="167"/>
      <c r="F109" s="168"/>
      <c r="G109" s="168"/>
      <c r="H109" s="168"/>
      <c r="I109" s="168"/>
      <c r="J109" s="168"/>
      <c r="K109" s="168"/>
      <c r="L109" s="169"/>
      <c r="M109" s="178"/>
      <c r="N109" s="178"/>
    </row>
    <row r="110" spans="1:16">
      <c r="A110" s="2784"/>
      <c r="B110" s="2228"/>
      <c r="C110" s="103">
        <v>2015</v>
      </c>
      <c r="D110" s="41"/>
      <c r="E110" s="170"/>
      <c r="F110" s="171"/>
      <c r="G110" s="171"/>
      <c r="H110" s="171"/>
      <c r="I110" s="171"/>
      <c r="J110" s="171"/>
      <c r="K110" s="171"/>
      <c r="L110" s="172"/>
      <c r="M110" s="178"/>
      <c r="N110" s="178"/>
    </row>
    <row r="111" spans="1:16" ht="12.75" customHeight="1">
      <c r="A111" s="2784"/>
      <c r="B111" s="2228"/>
      <c r="C111" s="103">
        <v>2016</v>
      </c>
      <c r="D111" s="41">
        <v>3</v>
      </c>
      <c r="E111" s="170"/>
      <c r="F111" s="171"/>
      <c r="G111" s="171"/>
      <c r="H111" s="171"/>
      <c r="I111" s="171"/>
      <c r="J111" s="171"/>
      <c r="K111" s="171"/>
      <c r="L111" s="172">
        <f>D111</f>
        <v>3</v>
      </c>
      <c r="M111" s="178"/>
      <c r="N111" s="178"/>
    </row>
    <row r="112" spans="1:16">
      <c r="A112" s="2784"/>
      <c r="B112" s="2228"/>
      <c r="C112" s="460">
        <v>2017</v>
      </c>
      <c r="D112" s="41">
        <v>4</v>
      </c>
      <c r="E112" s="170"/>
      <c r="F112" s="171"/>
      <c r="G112" s="171"/>
      <c r="H112" s="171"/>
      <c r="I112" s="171"/>
      <c r="J112" s="171"/>
      <c r="K112" s="171"/>
      <c r="L112" s="172">
        <f t="shared" ref="L112" si="9">D112</f>
        <v>4</v>
      </c>
      <c r="M112" s="178"/>
      <c r="N112" s="178"/>
    </row>
    <row r="113" spans="1:14">
      <c r="A113" s="2784"/>
      <c r="B113" s="2228"/>
      <c r="C113" s="103">
        <v>2018</v>
      </c>
      <c r="D113" s="41"/>
      <c r="E113" s="170"/>
      <c r="F113" s="171"/>
      <c r="G113" s="171"/>
      <c r="H113" s="171"/>
      <c r="I113" s="171"/>
      <c r="J113" s="171"/>
      <c r="K113" s="171"/>
      <c r="L113" s="172"/>
      <c r="M113" s="178"/>
      <c r="N113" s="178"/>
    </row>
    <row r="114" spans="1:14">
      <c r="A114" s="2784"/>
      <c r="B114" s="2228"/>
      <c r="C114" s="103">
        <v>2019</v>
      </c>
      <c r="D114" s="41"/>
      <c r="E114" s="170"/>
      <c r="F114" s="171"/>
      <c r="G114" s="171"/>
      <c r="H114" s="171"/>
      <c r="I114" s="171"/>
      <c r="J114" s="171"/>
      <c r="K114" s="171"/>
      <c r="L114" s="172"/>
      <c r="M114" s="178"/>
      <c r="N114" s="178"/>
    </row>
    <row r="115" spans="1:14" ht="246.75" customHeight="1" thickBot="1">
      <c r="A115" s="2785"/>
      <c r="B115" s="2229"/>
      <c r="C115" s="106" t="s">
        <v>13</v>
      </c>
      <c r="D115" s="109">
        <f t="shared" ref="D115:I115" si="10">SUM(D109:D114)</f>
        <v>7</v>
      </c>
      <c r="E115" s="173">
        <f t="shared" si="10"/>
        <v>0</v>
      </c>
      <c r="F115" s="174">
        <f t="shared" si="10"/>
        <v>0</v>
      </c>
      <c r="G115" s="174">
        <f t="shared" si="10"/>
        <v>0</v>
      </c>
      <c r="H115" s="174">
        <f t="shared" si="10"/>
        <v>0</v>
      </c>
      <c r="I115" s="174">
        <f t="shared" si="10"/>
        <v>0</v>
      </c>
      <c r="J115" s="174"/>
      <c r="K115" s="174">
        <f>SUM(K109:K114)</f>
        <v>0</v>
      </c>
      <c r="L115" s="175">
        <f>SUM(L109:L114)</f>
        <v>7</v>
      </c>
      <c r="M115" s="178"/>
      <c r="N115" s="178"/>
    </row>
    <row r="116" spans="1:14" ht="21.75" thickBot="1">
      <c r="A116" s="179"/>
      <c r="B116" s="180"/>
      <c r="C116" s="66"/>
      <c r="D116" s="66"/>
      <c r="E116" s="66"/>
      <c r="F116" s="66"/>
      <c r="G116" s="66"/>
      <c r="H116" s="66"/>
      <c r="I116" s="66"/>
      <c r="J116" s="66"/>
      <c r="K116" s="66"/>
      <c r="L116" s="66"/>
      <c r="M116" s="178"/>
      <c r="N116" s="178"/>
    </row>
    <row r="117" spans="1:14" ht="15" customHeight="1">
      <c r="A117" s="2043" t="s">
        <v>72</v>
      </c>
      <c r="B117" s="2045" t="s">
        <v>62</v>
      </c>
      <c r="C117" s="2058" t="s">
        <v>9</v>
      </c>
      <c r="D117" s="2060" t="s">
        <v>73</v>
      </c>
      <c r="E117" s="155" t="s">
        <v>71</v>
      </c>
      <c r="F117" s="156"/>
      <c r="G117" s="156"/>
      <c r="H117" s="156"/>
      <c r="I117" s="156"/>
      <c r="J117" s="156"/>
      <c r="K117" s="156"/>
      <c r="L117" s="157"/>
      <c r="M117" s="178"/>
      <c r="N117" s="178"/>
    </row>
    <row r="118" spans="1:14" ht="120.75" customHeight="1">
      <c r="A118" s="2044"/>
      <c r="B118" s="2046"/>
      <c r="C118" s="2059"/>
      <c r="D118" s="2061"/>
      <c r="E118" s="161" t="s">
        <v>14</v>
      </c>
      <c r="F118" s="162" t="s">
        <v>67</v>
      </c>
      <c r="G118" s="163" t="s">
        <v>55</v>
      </c>
      <c r="H118" s="164" t="s">
        <v>56</v>
      </c>
      <c r="I118" s="164" t="s">
        <v>57</v>
      </c>
      <c r="J118" s="165" t="s">
        <v>68</v>
      </c>
      <c r="K118" s="163" t="s">
        <v>58</v>
      </c>
      <c r="L118" s="166" t="s">
        <v>59</v>
      </c>
      <c r="M118" s="178"/>
      <c r="N118" s="178"/>
    </row>
    <row r="119" spans="1:14">
      <c r="A119" s="2663" t="s">
        <v>230</v>
      </c>
      <c r="B119" s="2039"/>
      <c r="C119" s="99">
        <v>2014</v>
      </c>
      <c r="D119" s="34"/>
      <c r="E119" s="167"/>
      <c r="F119" s="168"/>
      <c r="G119" s="168"/>
      <c r="H119" s="168"/>
      <c r="I119" s="168"/>
      <c r="J119" s="168"/>
      <c r="K119" s="168"/>
      <c r="L119" s="169"/>
      <c r="M119" s="178"/>
      <c r="N119" s="178"/>
    </row>
    <row r="120" spans="1:14">
      <c r="A120" s="2659"/>
      <c r="B120" s="2039"/>
      <c r="C120" s="103">
        <v>2015</v>
      </c>
      <c r="D120" s="41"/>
      <c r="E120" s="170"/>
      <c r="F120" s="171"/>
      <c r="G120" s="171"/>
      <c r="H120" s="171"/>
      <c r="I120" s="171"/>
      <c r="J120" s="171"/>
      <c r="K120" s="171"/>
      <c r="L120" s="172"/>
      <c r="M120" s="178"/>
      <c r="N120" s="178"/>
    </row>
    <row r="121" spans="1:14">
      <c r="A121" s="2659"/>
      <c r="B121" s="2039"/>
      <c r="C121" s="103">
        <v>2016</v>
      </c>
      <c r="D121" s="41">
        <v>6</v>
      </c>
      <c r="E121" s="170"/>
      <c r="F121" s="171"/>
      <c r="G121" s="171"/>
      <c r="H121" s="171"/>
      <c r="I121" s="171"/>
      <c r="J121" s="171"/>
      <c r="K121" s="171"/>
      <c r="L121" s="172">
        <v>6</v>
      </c>
      <c r="M121" s="178"/>
      <c r="N121" s="178"/>
    </row>
    <row r="122" spans="1:14">
      <c r="A122" s="2659"/>
      <c r="B122" s="2039"/>
      <c r="C122" s="103">
        <v>2017</v>
      </c>
      <c r="D122" s="41">
        <f>2+1+1+1+2</f>
        <v>7</v>
      </c>
      <c r="E122" s="170"/>
      <c r="F122" s="171"/>
      <c r="G122" s="171"/>
      <c r="H122" s="171"/>
      <c r="I122" s="171"/>
      <c r="J122" s="171"/>
      <c r="K122" s="171"/>
      <c r="L122" s="172">
        <v>7</v>
      </c>
      <c r="M122" s="178"/>
      <c r="N122" s="178"/>
    </row>
    <row r="123" spans="1:14">
      <c r="A123" s="2659"/>
      <c r="B123" s="2039"/>
      <c r="C123" s="103">
        <v>2018</v>
      </c>
      <c r="D123" s="41"/>
      <c r="E123" s="170"/>
      <c r="F123" s="171"/>
      <c r="G123" s="171"/>
      <c r="H123" s="171"/>
      <c r="I123" s="171"/>
      <c r="J123" s="171"/>
      <c r="K123" s="171"/>
      <c r="L123" s="172"/>
      <c r="M123" s="178"/>
      <c r="N123" s="178"/>
    </row>
    <row r="124" spans="1:14">
      <c r="A124" s="2659"/>
      <c r="B124" s="2039"/>
      <c r="C124" s="103">
        <v>2019</v>
      </c>
      <c r="D124" s="41"/>
      <c r="E124" s="170"/>
      <c r="F124" s="171"/>
      <c r="G124" s="171"/>
      <c r="H124" s="171"/>
      <c r="I124" s="171"/>
      <c r="J124" s="171"/>
      <c r="K124" s="171"/>
      <c r="L124" s="172"/>
      <c r="M124" s="178"/>
      <c r="N124" s="178"/>
    </row>
    <row r="125" spans="1:14">
      <c r="A125" s="2659"/>
      <c r="B125" s="2039"/>
      <c r="C125" s="103">
        <v>2020</v>
      </c>
      <c r="D125" s="41"/>
      <c r="E125" s="170"/>
      <c r="F125" s="171"/>
      <c r="G125" s="171"/>
      <c r="H125" s="171"/>
      <c r="I125" s="171"/>
      <c r="J125" s="171"/>
      <c r="K125" s="171"/>
      <c r="L125" s="172"/>
      <c r="M125" s="178"/>
      <c r="N125" s="178"/>
    </row>
    <row r="126" spans="1:14" ht="159" customHeight="1" thickBot="1">
      <c r="A126" s="2049"/>
      <c r="B126" s="2042"/>
      <c r="C126" s="106" t="s">
        <v>13</v>
      </c>
      <c r="D126" s="109">
        <f t="shared" ref="D126:I126" si="11">SUM(D119:D125)</f>
        <v>13</v>
      </c>
      <c r="E126" s="173">
        <f t="shared" si="11"/>
        <v>0</v>
      </c>
      <c r="F126" s="174">
        <f t="shared" si="11"/>
        <v>0</v>
      </c>
      <c r="G126" s="174">
        <f t="shared" si="11"/>
        <v>0</v>
      </c>
      <c r="H126" s="174">
        <f t="shared" si="11"/>
        <v>0</v>
      </c>
      <c r="I126" s="174">
        <f t="shared" si="11"/>
        <v>0</v>
      </c>
      <c r="J126" s="174"/>
      <c r="K126" s="174">
        <f>SUM(K119:K125)</f>
        <v>0</v>
      </c>
      <c r="L126" s="175">
        <f>SUM(L119:L125)</f>
        <v>13</v>
      </c>
      <c r="M126" s="178"/>
      <c r="N126" s="178"/>
    </row>
    <row r="127" spans="1:14" ht="15.75" thickBot="1">
      <c r="A127" s="176"/>
      <c r="B127" s="176"/>
      <c r="C127" s="177"/>
      <c r="D127" s="8"/>
      <c r="E127" s="8"/>
      <c r="H127" s="178"/>
      <c r="I127" s="178"/>
      <c r="J127" s="178"/>
      <c r="K127" s="178"/>
      <c r="L127" s="178"/>
      <c r="M127" s="178"/>
      <c r="N127" s="178"/>
    </row>
    <row r="128" spans="1:14" ht="15" customHeight="1">
      <c r="A128" s="2043" t="s">
        <v>75</v>
      </c>
      <c r="B128" s="2045" t="s">
        <v>62</v>
      </c>
      <c r="C128" s="363" t="s">
        <v>9</v>
      </c>
      <c r="D128" s="182" t="s">
        <v>76</v>
      </c>
      <c r="E128" s="183"/>
      <c r="F128" s="183"/>
      <c r="G128" s="184"/>
      <c r="H128" s="178"/>
      <c r="I128" s="178"/>
      <c r="J128" s="178"/>
      <c r="K128" s="178"/>
      <c r="L128" s="178"/>
      <c r="M128" s="178"/>
      <c r="N128" s="178"/>
    </row>
    <row r="129" spans="1:16" ht="77.25" customHeight="1">
      <c r="A129" s="2044"/>
      <c r="B129" s="2046"/>
      <c r="C129" s="351"/>
      <c r="D129" s="159" t="s">
        <v>77</v>
      </c>
      <c r="E129" s="186" t="s">
        <v>78</v>
      </c>
      <c r="F129" s="160" t="s">
        <v>79</v>
      </c>
      <c r="G129" s="187" t="s">
        <v>13</v>
      </c>
      <c r="H129" s="178"/>
      <c r="I129" s="178"/>
      <c r="J129" s="178"/>
      <c r="K129" s="178"/>
      <c r="L129" s="178"/>
      <c r="M129" s="178"/>
      <c r="N129" s="178"/>
    </row>
    <row r="130" spans="1:16">
      <c r="A130" s="2674" t="s">
        <v>231</v>
      </c>
      <c r="B130" s="2068"/>
      <c r="C130" s="99">
        <v>2015</v>
      </c>
      <c r="D130" s="33"/>
      <c r="E130" s="34"/>
      <c r="F130" s="34"/>
      <c r="G130" s="191">
        <f t="shared" ref="G130:G135" si="12">SUM(D130:F130)</f>
        <v>0</v>
      </c>
      <c r="H130" s="178"/>
      <c r="I130" s="178"/>
      <c r="J130" s="178"/>
      <c r="K130" s="178"/>
      <c r="L130" s="178"/>
      <c r="M130" s="178"/>
      <c r="N130" s="178"/>
    </row>
    <row r="131" spans="1:16">
      <c r="A131" s="2654"/>
      <c r="B131" s="2068"/>
      <c r="C131" s="103">
        <v>2016</v>
      </c>
      <c r="D131" s="40"/>
      <c r="E131" s="41">
        <v>13</v>
      </c>
      <c r="F131" s="41"/>
      <c r="G131" s="191">
        <f t="shared" si="12"/>
        <v>13</v>
      </c>
      <c r="H131" s="178"/>
      <c r="I131" s="178"/>
      <c r="J131" s="178"/>
      <c r="K131" s="178"/>
      <c r="L131" s="178"/>
      <c r="M131" s="178"/>
      <c r="N131" s="178"/>
    </row>
    <row r="132" spans="1:16">
      <c r="A132" s="2654"/>
      <c r="B132" s="2068"/>
      <c r="C132" s="103">
        <v>2017</v>
      </c>
      <c r="D132" s="40"/>
      <c r="E132" s="41">
        <f>11+9+3+8+6</f>
        <v>37</v>
      </c>
      <c r="F132" s="41"/>
      <c r="G132" s="191">
        <f t="shared" si="12"/>
        <v>37</v>
      </c>
      <c r="H132" s="178"/>
      <c r="I132" s="178"/>
      <c r="J132" s="178"/>
      <c r="K132" s="178"/>
      <c r="L132" s="178"/>
      <c r="M132" s="178"/>
      <c r="N132" s="178"/>
    </row>
    <row r="133" spans="1:16">
      <c r="A133" s="2654"/>
      <c r="B133" s="2068"/>
      <c r="C133" s="103">
        <v>2018</v>
      </c>
      <c r="D133" s="40"/>
      <c r="E133" s="41"/>
      <c r="F133" s="41"/>
      <c r="G133" s="191">
        <f t="shared" si="12"/>
        <v>0</v>
      </c>
      <c r="H133" s="178"/>
      <c r="I133" s="178"/>
      <c r="J133" s="178"/>
      <c r="K133" s="178"/>
      <c r="L133" s="178"/>
      <c r="M133" s="178"/>
      <c r="N133" s="178"/>
    </row>
    <row r="134" spans="1:16">
      <c r="A134" s="2654"/>
      <c r="B134" s="2068"/>
      <c r="C134" s="103">
        <v>2019</v>
      </c>
      <c r="D134" s="40"/>
      <c r="E134" s="41"/>
      <c r="F134" s="41"/>
      <c r="G134" s="191">
        <f t="shared" si="12"/>
        <v>0</v>
      </c>
      <c r="H134" s="178"/>
      <c r="I134" s="178"/>
      <c r="J134" s="178"/>
      <c r="K134" s="178"/>
      <c r="L134" s="178"/>
      <c r="M134" s="178"/>
      <c r="N134" s="178"/>
    </row>
    <row r="135" spans="1:16">
      <c r="A135" s="2654"/>
      <c r="B135" s="2068"/>
      <c r="C135" s="103">
        <v>2020</v>
      </c>
      <c r="D135" s="40"/>
      <c r="E135" s="41"/>
      <c r="F135" s="41"/>
      <c r="G135" s="191">
        <f t="shared" si="12"/>
        <v>0</v>
      </c>
      <c r="H135" s="178"/>
      <c r="I135" s="178"/>
      <c r="J135" s="178"/>
      <c r="K135" s="178"/>
      <c r="L135" s="178"/>
      <c r="M135" s="178"/>
      <c r="N135" s="178"/>
    </row>
    <row r="136" spans="1:16" ht="249.75" customHeight="1" thickBot="1">
      <c r="A136" s="2070"/>
      <c r="B136" s="2071"/>
      <c r="C136" s="106" t="s">
        <v>13</v>
      </c>
      <c r="D136" s="132">
        <f>SUM(D130:D135)</f>
        <v>0</v>
      </c>
      <c r="E136" s="132">
        <f t="shared" ref="E136:F136" si="13">SUM(E130:E135)</f>
        <v>50</v>
      </c>
      <c r="F136" s="132">
        <f t="shared" si="13"/>
        <v>0</v>
      </c>
      <c r="G136" s="192">
        <f>SUM(G130:G135)</f>
        <v>50</v>
      </c>
      <c r="H136" s="178"/>
      <c r="I136" s="178"/>
      <c r="J136" s="178"/>
      <c r="K136" s="178"/>
      <c r="L136" s="178"/>
      <c r="M136" s="178"/>
      <c r="N136" s="178"/>
    </row>
    <row r="137" spans="1:16">
      <c r="A137" s="176"/>
      <c r="B137" s="176"/>
      <c r="C137" s="177"/>
      <c r="D137" s="8"/>
      <c r="E137" s="8"/>
      <c r="H137" s="178"/>
      <c r="I137" s="178"/>
      <c r="J137" s="178"/>
      <c r="K137" s="178"/>
      <c r="L137" s="178"/>
      <c r="M137" s="178"/>
      <c r="N137" s="178"/>
    </row>
    <row r="138" spans="1:16" s="66" customFormat="1" ht="33" customHeight="1">
      <c r="A138" s="346"/>
      <c r="B138" s="79"/>
      <c r="C138" s="80"/>
      <c r="D138" s="38"/>
      <c r="E138" s="38"/>
      <c r="F138" s="38"/>
      <c r="G138" s="38"/>
      <c r="H138" s="38"/>
      <c r="I138" s="263"/>
      <c r="J138" s="262"/>
      <c r="K138" s="262"/>
      <c r="L138" s="262"/>
      <c r="M138" s="262"/>
      <c r="N138" s="262"/>
      <c r="O138" s="262"/>
      <c r="P138" s="262"/>
    </row>
    <row r="139" spans="1:16" ht="21">
      <c r="A139" s="197" t="s">
        <v>80</v>
      </c>
      <c r="B139" s="197"/>
      <c r="C139" s="198"/>
      <c r="D139" s="198"/>
      <c r="E139" s="198"/>
      <c r="F139" s="198"/>
      <c r="G139" s="198"/>
      <c r="H139" s="198"/>
      <c r="I139" s="198"/>
      <c r="J139" s="198"/>
      <c r="K139" s="198"/>
      <c r="L139" s="198"/>
      <c r="M139" s="198"/>
      <c r="N139" s="198"/>
      <c r="O139" s="153"/>
      <c r="P139" s="153"/>
    </row>
    <row r="140" spans="1:16" ht="21.75" customHeight="1" thickBot="1">
      <c r="A140" s="199"/>
      <c r="B140" s="112"/>
      <c r="C140" s="134"/>
      <c r="D140" s="77"/>
      <c r="E140" s="77"/>
      <c r="F140" s="77"/>
      <c r="G140" s="77"/>
      <c r="H140" s="77"/>
      <c r="I140" s="158"/>
      <c r="J140" s="158"/>
      <c r="K140" s="158"/>
      <c r="L140" s="158"/>
      <c r="M140" s="158"/>
      <c r="N140" s="158"/>
      <c r="O140" s="158"/>
      <c r="P140" s="158"/>
    </row>
    <row r="141" spans="1:16" ht="21.75" customHeight="1">
      <c r="A141" s="2072" t="s">
        <v>81</v>
      </c>
      <c r="B141" s="2074" t="s">
        <v>62</v>
      </c>
      <c r="C141" s="2083" t="s">
        <v>9</v>
      </c>
      <c r="D141" s="364" t="s">
        <v>82</v>
      </c>
      <c r="E141" s="365"/>
      <c r="F141" s="365"/>
      <c r="G141" s="365"/>
      <c r="H141" s="365"/>
      <c r="I141" s="366"/>
      <c r="J141" s="2076" t="s">
        <v>83</v>
      </c>
      <c r="K141" s="2077"/>
      <c r="L141" s="2077"/>
      <c r="M141" s="2077"/>
      <c r="N141" s="2078"/>
      <c r="O141" s="158"/>
      <c r="P141" s="158"/>
    </row>
    <row r="142" spans="1:16" ht="113.25" customHeight="1">
      <c r="A142" s="2073"/>
      <c r="B142" s="2075"/>
      <c r="C142" s="2084"/>
      <c r="D142" s="203" t="s">
        <v>84</v>
      </c>
      <c r="E142" s="204" t="s">
        <v>85</v>
      </c>
      <c r="F142" s="205" t="s">
        <v>86</v>
      </c>
      <c r="G142" s="205" t="s">
        <v>87</v>
      </c>
      <c r="H142" s="205" t="s">
        <v>88</v>
      </c>
      <c r="I142" s="206" t="s">
        <v>89</v>
      </c>
      <c r="J142" s="207" t="s">
        <v>90</v>
      </c>
      <c r="K142" s="208" t="s">
        <v>91</v>
      </c>
      <c r="L142" s="207" t="s">
        <v>92</v>
      </c>
      <c r="M142" s="208" t="s">
        <v>91</v>
      </c>
      <c r="N142" s="209" t="s">
        <v>93</v>
      </c>
      <c r="O142" s="158"/>
      <c r="P142" s="158"/>
    </row>
    <row r="143" spans="1:16" ht="19.5" customHeight="1">
      <c r="A143" s="2663"/>
      <c r="B143" s="2039"/>
      <c r="C143" s="99">
        <v>2014</v>
      </c>
      <c r="D143" s="33"/>
      <c r="E143" s="33"/>
      <c r="F143" s="34"/>
      <c r="G143" s="168"/>
      <c r="H143" s="168"/>
      <c r="I143" s="210">
        <f>D143+F143+G143+H143</f>
        <v>0</v>
      </c>
      <c r="J143" s="211"/>
      <c r="K143" s="212"/>
      <c r="L143" s="211"/>
      <c r="M143" s="212"/>
      <c r="N143" s="213"/>
      <c r="O143" s="158"/>
      <c r="P143" s="158"/>
    </row>
    <row r="144" spans="1:16" ht="19.5" customHeight="1">
      <c r="A144" s="2659"/>
      <c r="B144" s="2039"/>
      <c r="C144" s="103">
        <v>2015</v>
      </c>
      <c r="D144" s="40"/>
      <c r="E144" s="40"/>
      <c r="F144" s="41"/>
      <c r="G144" s="171"/>
      <c r="H144" s="171"/>
      <c r="I144" s="210">
        <f t="shared" ref="I144:I149" si="14">D144+F144+G144+H144</f>
        <v>0</v>
      </c>
      <c r="J144" s="214"/>
      <c r="K144" s="215"/>
      <c r="L144" s="214"/>
      <c r="M144" s="215"/>
      <c r="N144" s="216"/>
      <c r="O144" s="158"/>
      <c r="P144" s="158"/>
    </row>
    <row r="145" spans="1:16" ht="20.25" customHeight="1">
      <c r="A145" s="2659"/>
      <c r="B145" s="2039"/>
      <c r="C145" s="103">
        <v>2016</v>
      </c>
      <c r="D145" s="40"/>
      <c r="E145" s="40"/>
      <c r="F145" s="41"/>
      <c r="G145" s="171"/>
      <c r="H145" s="171"/>
      <c r="I145" s="210">
        <f t="shared" si="14"/>
        <v>0</v>
      </c>
      <c r="J145" s="214"/>
      <c r="K145" s="215"/>
      <c r="L145" s="214"/>
      <c r="M145" s="215"/>
      <c r="N145" s="216"/>
      <c r="O145" s="158"/>
      <c r="P145" s="158"/>
    </row>
    <row r="146" spans="1:16" ht="17.25" customHeight="1">
      <c r="A146" s="2659"/>
      <c r="B146" s="2039"/>
      <c r="C146" s="103">
        <v>2017</v>
      </c>
      <c r="D146" s="40"/>
      <c r="E146" s="40"/>
      <c r="F146" s="41"/>
      <c r="G146" s="171"/>
      <c r="H146" s="171"/>
      <c r="I146" s="210">
        <f t="shared" si="14"/>
        <v>0</v>
      </c>
      <c r="J146" s="214"/>
      <c r="K146" s="215"/>
      <c r="L146" s="214"/>
      <c r="M146" s="215"/>
      <c r="N146" s="216"/>
      <c r="O146" s="158"/>
      <c r="P146" s="158"/>
    </row>
    <row r="147" spans="1:16" ht="19.5" customHeight="1">
      <c r="A147" s="2659"/>
      <c r="B147" s="2039"/>
      <c r="C147" s="103">
        <v>2018</v>
      </c>
      <c r="D147" s="40"/>
      <c r="E147" s="40"/>
      <c r="F147" s="41"/>
      <c r="G147" s="171"/>
      <c r="H147" s="171"/>
      <c r="I147" s="210">
        <f t="shared" si="14"/>
        <v>0</v>
      </c>
      <c r="J147" s="214"/>
      <c r="K147" s="215"/>
      <c r="L147" s="214"/>
      <c r="M147" s="215"/>
      <c r="N147" s="216"/>
      <c r="O147" s="158"/>
      <c r="P147" s="158"/>
    </row>
    <row r="148" spans="1:16" ht="19.5" customHeight="1">
      <c r="A148" s="2659"/>
      <c r="B148" s="2039"/>
      <c r="C148" s="103">
        <v>2019</v>
      </c>
      <c r="D148" s="40"/>
      <c r="E148" s="40"/>
      <c r="F148" s="41"/>
      <c r="G148" s="171"/>
      <c r="H148" s="171"/>
      <c r="I148" s="210">
        <f t="shared" si="14"/>
        <v>0</v>
      </c>
      <c r="J148" s="214"/>
      <c r="K148" s="215"/>
      <c r="L148" s="214"/>
      <c r="M148" s="215"/>
      <c r="N148" s="216"/>
      <c r="O148" s="158"/>
      <c r="P148" s="158"/>
    </row>
    <row r="149" spans="1:16" ht="18.75" customHeight="1">
      <c r="A149" s="2659"/>
      <c r="B149" s="2039"/>
      <c r="C149" s="103">
        <v>2020</v>
      </c>
      <c r="D149" s="40"/>
      <c r="E149" s="40"/>
      <c r="F149" s="41"/>
      <c r="G149" s="171"/>
      <c r="H149" s="171"/>
      <c r="I149" s="210">
        <f t="shared" si="14"/>
        <v>0</v>
      </c>
      <c r="J149" s="214"/>
      <c r="K149" s="215"/>
      <c r="L149" s="214"/>
      <c r="M149" s="215"/>
      <c r="N149" s="216"/>
      <c r="O149" s="158"/>
      <c r="P149" s="158"/>
    </row>
    <row r="150" spans="1:16" ht="18" customHeight="1" thickBot="1">
      <c r="A150" s="2067"/>
      <c r="B150" s="2042"/>
      <c r="C150" s="106" t="s">
        <v>13</v>
      </c>
      <c r="D150" s="132">
        <f>SUM(D143:D149)</f>
        <v>0</v>
      </c>
      <c r="E150" s="132">
        <f t="shared" ref="E150:I150" si="15">SUM(E143:E149)</f>
        <v>0</v>
      </c>
      <c r="F150" s="132">
        <f t="shared" si="15"/>
        <v>0</v>
      </c>
      <c r="G150" s="132">
        <f t="shared" si="15"/>
        <v>0</v>
      </c>
      <c r="H150" s="132">
        <f t="shared" si="15"/>
        <v>0</v>
      </c>
      <c r="I150" s="217">
        <f t="shared" si="15"/>
        <v>0</v>
      </c>
      <c r="J150" s="218">
        <f>SUM(J143:J149)</f>
        <v>0</v>
      </c>
      <c r="K150" s="219">
        <f>SUM(K143:K149)</f>
        <v>0</v>
      </c>
      <c r="L150" s="218">
        <f>SUM(L143:L149)</f>
        <v>0</v>
      </c>
      <c r="M150" s="219">
        <f>SUM(M143:M149)</f>
        <v>0</v>
      </c>
      <c r="N150" s="220">
        <f>SUM(N143:N149)</f>
        <v>0</v>
      </c>
      <c r="O150" s="158"/>
      <c r="P150" s="158"/>
    </row>
    <row r="151" spans="1:16" ht="27" customHeight="1" thickBot="1">
      <c r="B151" s="221"/>
      <c r="O151" s="158"/>
      <c r="P151" s="158"/>
    </row>
    <row r="152" spans="1:16" ht="35.25" customHeight="1">
      <c r="A152" s="2079" t="s">
        <v>94</v>
      </c>
      <c r="B152" s="2074" t="s">
        <v>62</v>
      </c>
      <c r="C152" s="2081" t="s">
        <v>9</v>
      </c>
      <c r="D152" s="222" t="s">
        <v>95</v>
      </c>
      <c r="E152" s="222"/>
      <c r="F152" s="223"/>
      <c r="G152" s="223"/>
      <c r="H152" s="222" t="s">
        <v>96</v>
      </c>
      <c r="I152" s="222"/>
      <c r="J152" s="224"/>
      <c r="K152" s="31"/>
      <c r="L152" s="31"/>
      <c r="M152" s="31"/>
      <c r="N152" s="31"/>
      <c r="O152" s="158"/>
      <c r="P152" s="158"/>
    </row>
    <row r="153" spans="1:16" ht="49.5" customHeight="1">
      <c r="A153" s="2664"/>
      <c r="B153" s="2075"/>
      <c r="C153" s="2082"/>
      <c r="D153" s="225" t="s">
        <v>97</v>
      </c>
      <c r="E153" s="226" t="s">
        <v>98</v>
      </c>
      <c r="F153" s="227" t="s">
        <v>99</v>
      </c>
      <c r="G153" s="228" t="s">
        <v>100</v>
      </c>
      <c r="H153" s="225" t="s">
        <v>101</v>
      </c>
      <c r="I153" s="226" t="s">
        <v>102</v>
      </c>
      <c r="J153" s="229" t="s">
        <v>93</v>
      </c>
      <c r="K153" s="31"/>
      <c r="L153" s="31"/>
      <c r="M153" s="31"/>
      <c r="N153" s="31"/>
      <c r="O153" s="158"/>
      <c r="P153" s="158"/>
    </row>
    <row r="154" spans="1:16" ht="18.75" customHeight="1">
      <c r="A154" s="2663"/>
      <c r="B154" s="2039"/>
      <c r="C154" s="230">
        <v>2014</v>
      </c>
      <c r="D154" s="211"/>
      <c r="E154" s="168"/>
      <c r="F154" s="212"/>
      <c r="G154" s="210">
        <f>SUM(D154:F154)</f>
        <v>0</v>
      </c>
      <c r="H154" s="211"/>
      <c r="I154" s="168"/>
      <c r="J154" s="169"/>
      <c r="O154" s="158"/>
      <c r="P154" s="158"/>
    </row>
    <row r="155" spans="1:16" ht="19.5" customHeight="1">
      <c r="A155" s="2659"/>
      <c r="B155" s="2039"/>
      <c r="C155" s="231">
        <v>2015</v>
      </c>
      <c r="D155" s="214"/>
      <c r="E155" s="171"/>
      <c r="F155" s="215"/>
      <c r="G155" s="210">
        <f t="shared" ref="G155:G160" si="16">SUM(D155:F155)</f>
        <v>0</v>
      </c>
      <c r="H155" s="214"/>
      <c r="I155" s="171"/>
      <c r="J155" s="172"/>
      <c r="O155" s="158"/>
      <c r="P155" s="158"/>
    </row>
    <row r="156" spans="1:16" ht="17.25" customHeight="1">
      <c r="A156" s="2659"/>
      <c r="B156" s="2039"/>
      <c r="C156" s="231">
        <v>2016</v>
      </c>
      <c r="D156" s="214"/>
      <c r="E156" s="171"/>
      <c r="F156" s="215"/>
      <c r="G156" s="210">
        <f t="shared" si="16"/>
        <v>0</v>
      </c>
      <c r="H156" s="214"/>
      <c r="I156" s="171"/>
      <c r="J156" s="172"/>
      <c r="O156" s="158"/>
      <c r="P156" s="158"/>
    </row>
    <row r="157" spans="1:16" ht="15" customHeight="1">
      <c r="A157" s="2659"/>
      <c r="B157" s="2039"/>
      <c r="C157" s="231">
        <v>2017</v>
      </c>
      <c r="D157" s="214"/>
      <c r="E157" s="171"/>
      <c r="F157" s="215"/>
      <c r="G157" s="210">
        <f t="shared" si="16"/>
        <v>0</v>
      </c>
      <c r="H157" s="214"/>
      <c r="I157" s="171"/>
      <c r="J157" s="172"/>
      <c r="O157" s="158"/>
      <c r="P157" s="158"/>
    </row>
    <row r="158" spans="1:16" ht="19.5" customHeight="1">
      <c r="A158" s="2659"/>
      <c r="B158" s="2039"/>
      <c r="C158" s="231">
        <v>2018</v>
      </c>
      <c r="D158" s="214"/>
      <c r="E158" s="171"/>
      <c r="F158" s="215"/>
      <c r="G158" s="210">
        <f t="shared" si="16"/>
        <v>0</v>
      </c>
      <c r="H158" s="214"/>
      <c r="I158" s="171"/>
      <c r="J158" s="172"/>
      <c r="O158" s="158"/>
      <c r="P158" s="158"/>
    </row>
    <row r="159" spans="1:16" ht="15" customHeight="1">
      <c r="A159" s="2659"/>
      <c r="B159" s="2039"/>
      <c r="C159" s="231">
        <v>2019</v>
      </c>
      <c r="D159" s="214"/>
      <c r="E159" s="171"/>
      <c r="F159" s="215"/>
      <c r="G159" s="210">
        <f t="shared" si="16"/>
        <v>0</v>
      </c>
      <c r="H159" s="214"/>
      <c r="I159" s="171"/>
      <c r="J159" s="172"/>
      <c r="O159" s="158"/>
      <c r="P159" s="158"/>
    </row>
    <row r="160" spans="1:16" ht="17.25" customHeight="1">
      <c r="A160" s="2659"/>
      <c r="B160" s="2039"/>
      <c r="C160" s="231">
        <v>2020</v>
      </c>
      <c r="D160" s="214"/>
      <c r="E160" s="171"/>
      <c r="F160" s="215"/>
      <c r="G160" s="210">
        <f t="shared" si="16"/>
        <v>0</v>
      </c>
      <c r="H160" s="214"/>
      <c r="I160" s="171"/>
      <c r="J160" s="172"/>
      <c r="O160" s="158"/>
      <c r="P160" s="158"/>
    </row>
    <row r="161" spans="1:18" ht="15.75" thickBot="1">
      <c r="A161" s="2067"/>
      <c r="B161" s="2042"/>
      <c r="C161" s="232" t="s">
        <v>13</v>
      </c>
      <c r="D161" s="218">
        <f t="shared" ref="D161:G161" si="17">SUM(D154:D160)</f>
        <v>0</v>
      </c>
      <c r="E161" s="174">
        <f t="shared" si="17"/>
        <v>0</v>
      </c>
      <c r="F161" s="219">
        <f t="shared" si="17"/>
        <v>0</v>
      </c>
      <c r="G161" s="219">
        <f t="shared" si="17"/>
        <v>0</v>
      </c>
      <c r="H161" s="218">
        <f>SUM(H154:H160)</f>
        <v>0</v>
      </c>
      <c r="I161" s="174">
        <f>SUM(I154:I160)</f>
        <v>0</v>
      </c>
      <c r="J161" s="233">
        <f>SUM(J154:J160)</f>
        <v>0</v>
      </c>
    </row>
    <row r="162" spans="1:18" ht="24.75" customHeight="1" thickBot="1">
      <c r="A162" s="234"/>
      <c r="B162" s="235"/>
      <c r="C162" s="236"/>
      <c r="D162" s="158"/>
      <c r="E162" s="237"/>
      <c r="F162" s="158"/>
      <c r="G162" s="158"/>
      <c r="H162" s="158"/>
      <c r="I162" s="158"/>
      <c r="J162" s="238"/>
      <c r="K162" s="239"/>
    </row>
    <row r="163" spans="1:18" ht="95.25" customHeight="1">
      <c r="A163" s="240" t="s">
        <v>103</v>
      </c>
      <c r="B163" s="241" t="s">
        <v>104</v>
      </c>
      <c r="C163" s="242" t="s">
        <v>9</v>
      </c>
      <c r="D163" s="243" t="s">
        <v>105</v>
      </c>
      <c r="E163" s="243" t="s">
        <v>106</v>
      </c>
      <c r="F163" s="244" t="s">
        <v>107</v>
      </c>
      <c r="G163" s="243" t="s">
        <v>108</v>
      </c>
      <c r="H163" s="243" t="s">
        <v>109</v>
      </c>
      <c r="I163" s="245" t="s">
        <v>110</v>
      </c>
      <c r="J163" s="246" t="s">
        <v>111</v>
      </c>
      <c r="K163" s="246" t="s">
        <v>112</v>
      </c>
      <c r="L163" s="247"/>
    </row>
    <row r="164" spans="1:18" ht="15.75" customHeight="1">
      <c r="A164" s="2094"/>
      <c r="B164" s="2024"/>
      <c r="C164" s="248">
        <v>2014</v>
      </c>
      <c r="D164" s="168"/>
      <c r="E164" s="168"/>
      <c r="F164" s="168"/>
      <c r="G164" s="168"/>
      <c r="H164" s="168"/>
      <c r="I164" s="169"/>
      <c r="J164" s="249">
        <f>SUM(D164,F164,H164)</f>
        <v>0</v>
      </c>
      <c r="K164" s="250">
        <f>SUM(E164,G164,I164)</f>
        <v>0</v>
      </c>
      <c r="L164" s="247"/>
    </row>
    <row r="165" spans="1:18">
      <c r="A165" s="2095"/>
      <c r="B165" s="2026"/>
      <c r="C165" s="251">
        <v>2015</v>
      </c>
      <c r="D165" s="252"/>
      <c r="E165" s="252"/>
      <c r="F165" s="252"/>
      <c r="G165" s="252"/>
      <c r="H165" s="252"/>
      <c r="I165" s="253"/>
      <c r="J165" s="254">
        <f t="shared" ref="J165:K170" si="18">SUM(D165,F165,H165)</f>
        <v>0</v>
      </c>
      <c r="K165" s="255">
        <f t="shared" si="18"/>
        <v>0</v>
      </c>
      <c r="L165" s="247"/>
    </row>
    <row r="166" spans="1:18">
      <c r="A166" s="2095"/>
      <c r="B166" s="2026"/>
      <c r="C166" s="251">
        <v>2016</v>
      </c>
      <c r="D166" s="252"/>
      <c r="E166" s="252"/>
      <c r="F166" s="252"/>
      <c r="G166" s="252"/>
      <c r="H166" s="252"/>
      <c r="I166" s="253"/>
      <c r="J166" s="254">
        <f t="shared" si="18"/>
        <v>0</v>
      </c>
      <c r="K166" s="255">
        <f t="shared" si="18"/>
        <v>0</v>
      </c>
    </row>
    <row r="167" spans="1:18">
      <c r="A167" s="2095"/>
      <c r="B167" s="2026"/>
      <c r="C167" s="251">
        <v>2017</v>
      </c>
      <c r="D167" s="252"/>
      <c r="E167" s="158"/>
      <c r="F167" s="252"/>
      <c r="G167" s="252"/>
      <c r="H167" s="252"/>
      <c r="I167" s="253"/>
      <c r="J167" s="254">
        <f t="shared" si="18"/>
        <v>0</v>
      </c>
      <c r="K167" s="255">
        <f t="shared" si="18"/>
        <v>0</v>
      </c>
    </row>
    <row r="168" spans="1:18">
      <c r="A168" s="2095"/>
      <c r="B168" s="2026"/>
      <c r="C168" s="256">
        <v>2018</v>
      </c>
      <c r="D168" s="252"/>
      <c r="E168" s="252"/>
      <c r="F168" s="252"/>
      <c r="G168" s="257"/>
      <c r="H168" s="252"/>
      <c r="I168" s="253"/>
      <c r="J168" s="254">
        <f t="shared" si="18"/>
        <v>0</v>
      </c>
      <c r="K168" s="255">
        <f t="shared" si="18"/>
        <v>0</v>
      </c>
      <c r="L168" s="247"/>
    </row>
    <row r="169" spans="1:18">
      <c r="A169" s="2095"/>
      <c r="B169" s="2026"/>
      <c r="C169" s="251">
        <v>2019</v>
      </c>
      <c r="D169" s="158"/>
      <c r="E169" s="252"/>
      <c r="F169" s="252"/>
      <c r="G169" s="252"/>
      <c r="H169" s="257"/>
      <c r="I169" s="253"/>
      <c r="J169" s="254">
        <f t="shared" si="18"/>
        <v>0</v>
      </c>
      <c r="K169" s="255">
        <f t="shared" si="18"/>
        <v>0</v>
      </c>
      <c r="L169" s="247"/>
    </row>
    <row r="170" spans="1:18">
      <c r="A170" s="2095"/>
      <c r="B170" s="2026"/>
      <c r="C170" s="256">
        <v>2020</v>
      </c>
      <c r="D170" s="252"/>
      <c r="E170" s="252"/>
      <c r="F170" s="252"/>
      <c r="G170" s="252"/>
      <c r="H170" s="252"/>
      <c r="I170" s="253"/>
      <c r="J170" s="254">
        <f t="shared" si="18"/>
        <v>0</v>
      </c>
      <c r="K170" s="255">
        <f t="shared" si="18"/>
        <v>0</v>
      </c>
      <c r="L170" s="247"/>
    </row>
    <row r="171" spans="1:18" ht="41.25" customHeight="1" thickBot="1">
      <c r="A171" s="2096"/>
      <c r="B171" s="2028"/>
      <c r="C171" s="258" t="s">
        <v>13</v>
      </c>
      <c r="D171" s="174">
        <f>SUM(D164:D170)</f>
        <v>0</v>
      </c>
      <c r="E171" s="174">
        <f t="shared" ref="E171:K171" si="19">SUM(E164:E170)</f>
        <v>0</v>
      </c>
      <c r="F171" s="174">
        <f t="shared" si="19"/>
        <v>0</v>
      </c>
      <c r="G171" s="174">
        <f t="shared" si="19"/>
        <v>0</v>
      </c>
      <c r="H171" s="174">
        <f t="shared" si="19"/>
        <v>0</v>
      </c>
      <c r="I171" s="259">
        <f t="shared" si="19"/>
        <v>0</v>
      </c>
      <c r="J171" s="260">
        <f t="shared" si="19"/>
        <v>0</v>
      </c>
      <c r="K171" s="218">
        <f t="shared" si="19"/>
        <v>0</v>
      </c>
      <c r="L171" s="247"/>
    </row>
    <row r="172" spans="1:18" s="66" customFormat="1" ht="26.25" customHeight="1">
      <c r="A172" s="261"/>
      <c r="B172" s="79"/>
      <c r="C172" s="80"/>
      <c r="D172" s="38"/>
      <c r="E172" s="38"/>
      <c r="F172" s="38"/>
      <c r="G172" s="262"/>
      <c r="H172" s="262"/>
      <c r="I172" s="262"/>
      <c r="J172" s="262"/>
      <c r="K172" s="262"/>
      <c r="L172" s="262"/>
      <c r="M172" s="262"/>
      <c r="N172" s="262"/>
      <c r="O172" s="262"/>
      <c r="P172" s="262"/>
      <c r="Q172" s="262"/>
      <c r="R172" s="263"/>
    </row>
    <row r="173" spans="1:18" ht="21">
      <c r="A173" s="264" t="s">
        <v>114</v>
      </c>
      <c r="B173" s="264"/>
      <c r="C173" s="265"/>
      <c r="D173" s="265"/>
      <c r="E173" s="265"/>
      <c r="F173" s="265"/>
      <c r="G173" s="265"/>
      <c r="H173" s="265"/>
      <c r="I173" s="265"/>
      <c r="J173" s="265"/>
      <c r="K173" s="265"/>
      <c r="L173" s="265"/>
      <c r="M173" s="265"/>
      <c r="N173" s="265"/>
      <c r="O173" s="265"/>
    </row>
    <row r="174" spans="1:18" ht="21.75" thickBot="1">
      <c r="A174" s="266"/>
      <c r="B174" s="266"/>
    </row>
    <row r="175" spans="1:18" s="31" customFormat="1" ht="22.5" customHeight="1" thickBot="1">
      <c r="A175" s="2097" t="s">
        <v>115</v>
      </c>
      <c r="B175" s="2099" t="s">
        <v>116</v>
      </c>
      <c r="C175" s="2101" t="s">
        <v>9</v>
      </c>
      <c r="D175" s="267" t="s">
        <v>117</v>
      </c>
      <c r="E175" s="268"/>
      <c r="F175" s="268"/>
      <c r="G175" s="269"/>
      <c r="H175" s="270"/>
      <c r="I175" s="2103" t="s">
        <v>118</v>
      </c>
      <c r="J175" s="2104"/>
      <c r="K175" s="2104"/>
      <c r="L175" s="2104"/>
      <c r="M175" s="2104"/>
      <c r="N175" s="2104"/>
      <c r="O175" s="2105"/>
    </row>
    <row r="176" spans="1:18" s="31" customFormat="1" ht="129.75" customHeight="1">
      <c r="A176" s="2098"/>
      <c r="B176" s="2100"/>
      <c r="C176" s="2102"/>
      <c r="D176" s="271" t="s">
        <v>119</v>
      </c>
      <c r="E176" s="272" t="s">
        <v>120</v>
      </c>
      <c r="F176" s="272" t="s">
        <v>121</v>
      </c>
      <c r="G176" s="273" t="s">
        <v>122</v>
      </c>
      <c r="H176" s="274" t="s">
        <v>123</v>
      </c>
      <c r="I176" s="275" t="s">
        <v>53</v>
      </c>
      <c r="J176" s="276" t="s">
        <v>54</v>
      </c>
      <c r="K176" s="276" t="s">
        <v>55</v>
      </c>
      <c r="L176" s="276" t="s">
        <v>56</v>
      </c>
      <c r="M176" s="276" t="s">
        <v>57</v>
      </c>
      <c r="N176" s="276" t="s">
        <v>58</v>
      </c>
      <c r="O176" s="277" t="s">
        <v>59</v>
      </c>
    </row>
    <row r="177" spans="1:15" ht="15" customHeight="1">
      <c r="A177" s="2784" t="s">
        <v>232</v>
      </c>
      <c r="B177" s="2228"/>
      <c r="C177" s="99">
        <v>2014</v>
      </c>
      <c r="D177" s="33"/>
      <c r="E177" s="34"/>
      <c r="F177" s="34"/>
      <c r="G177" s="278">
        <f>SUM(D177:F177)</f>
        <v>0</v>
      </c>
      <c r="H177" s="148"/>
      <c r="I177" s="148"/>
      <c r="J177" s="34"/>
      <c r="K177" s="34"/>
      <c r="L177" s="34"/>
      <c r="M177" s="34"/>
      <c r="N177" s="34"/>
      <c r="O177" s="37"/>
    </row>
    <row r="178" spans="1:15">
      <c r="A178" s="2784"/>
      <c r="B178" s="2228"/>
      <c r="C178" s="103">
        <v>2015</v>
      </c>
      <c r="D178" s="40"/>
      <c r="E178" s="41"/>
      <c r="F178" s="41"/>
      <c r="G178" s="278">
        <f t="shared" ref="G178:G183" si="20">SUM(D178:F178)</f>
        <v>0</v>
      </c>
      <c r="H178" s="279"/>
      <c r="I178" s="105"/>
      <c r="J178" s="41"/>
      <c r="K178" s="41"/>
      <c r="L178" s="41"/>
      <c r="M178" s="41"/>
      <c r="N178" s="41"/>
      <c r="O178" s="86"/>
    </row>
    <row r="179" spans="1:15">
      <c r="A179" s="2784"/>
      <c r="B179" s="2228"/>
      <c r="C179" s="103">
        <v>2016</v>
      </c>
      <c r="D179" s="40">
        <v>34</v>
      </c>
      <c r="E179" s="41">
        <v>3</v>
      </c>
      <c r="F179" s="41">
        <v>12</v>
      </c>
      <c r="G179" s="278">
        <f t="shared" si="20"/>
        <v>49</v>
      </c>
      <c r="H179" s="279">
        <v>57</v>
      </c>
      <c r="I179" s="105">
        <v>49</v>
      </c>
      <c r="J179" s="41"/>
      <c r="K179" s="41"/>
      <c r="L179" s="41"/>
      <c r="M179" s="41"/>
      <c r="N179" s="41"/>
      <c r="O179" s="86"/>
    </row>
    <row r="180" spans="1:15">
      <c r="A180" s="2784"/>
      <c r="B180" s="2228"/>
      <c r="C180" s="103">
        <v>2017</v>
      </c>
      <c r="D180" s="40"/>
      <c r="E180" s="41"/>
      <c r="F180" s="41">
        <f>6+1+1+2+3</f>
        <v>13</v>
      </c>
      <c r="G180" s="278">
        <f t="shared" si="20"/>
        <v>13</v>
      </c>
      <c r="H180" s="279">
        <v>13</v>
      </c>
      <c r="I180" s="105">
        <v>13</v>
      </c>
      <c r="J180" s="41"/>
      <c r="K180" s="41"/>
      <c r="L180" s="41"/>
      <c r="M180" s="41"/>
      <c r="N180" s="41"/>
      <c r="O180" s="86"/>
    </row>
    <row r="181" spans="1:15">
      <c r="A181" s="2784"/>
      <c r="B181" s="2228"/>
      <c r="C181" s="103">
        <v>2018</v>
      </c>
      <c r="D181" s="40"/>
      <c r="E181" s="41"/>
      <c r="F181" s="41"/>
      <c r="G181" s="278">
        <f t="shared" si="20"/>
        <v>0</v>
      </c>
      <c r="H181" s="279"/>
      <c r="I181" s="105"/>
      <c r="J181" s="41"/>
      <c r="K181" s="41"/>
      <c r="L181" s="41"/>
      <c r="M181" s="41"/>
      <c r="N181" s="41"/>
      <c r="O181" s="86"/>
    </row>
    <row r="182" spans="1:15">
      <c r="A182" s="2784"/>
      <c r="B182" s="2228"/>
      <c r="C182" s="103">
        <v>2019</v>
      </c>
      <c r="D182" s="40"/>
      <c r="E182" s="41"/>
      <c r="F182" s="41"/>
      <c r="G182" s="278">
        <f t="shared" si="20"/>
        <v>0</v>
      </c>
      <c r="H182" s="279"/>
      <c r="I182" s="105"/>
      <c r="J182" s="41"/>
      <c r="K182" s="41"/>
      <c r="L182" s="41"/>
      <c r="M182" s="41"/>
      <c r="N182" s="41"/>
      <c r="O182" s="86"/>
    </row>
    <row r="183" spans="1:15">
      <c r="A183" s="2784"/>
      <c r="B183" s="2228"/>
      <c r="C183" s="103">
        <v>2020</v>
      </c>
      <c r="D183" s="40"/>
      <c r="E183" s="41"/>
      <c r="F183" s="41"/>
      <c r="G183" s="278">
        <f t="shared" si="20"/>
        <v>0</v>
      </c>
      <c r="H183" s="279"/>
      <c r="I183" s="105"/>
      <c r="J183" s="41"/>
      <c r="K183" s="41"/>
      <c r="L183" s="41"/>
      <c r="M183" s="41"/>
      <c r="N183" s="41"/>
      <c r="O183" s="86"/>
    </row>
    <row r="184" spans="1:15" ht="241.5" customHeight="1" thickBot="1">
      <c r="A184" s="2785"/>
      <c r="B184" s="2229"/>
      <c r="C184" s="106" t="s">
        <v>13</v>
      </c>
      <c r="D184" s="132">
        <f>SUM(D177:D183)</f>
        <v>34</v>
      </c>
      <c r="E184" s="109">
        <f>SUM(E177:E183)</f>
        <v>3</v>
      </c>
      <c r="F184" s="109">
        <f>SUM(F177:F183)</f>
        <v>25</v>
      </c>
      <c r="G184" s="217">
        <f t="shared" ref="G184:O184" si="21">SUM(G177:G183)</f>
        <v>62</v>
      </c>
      <c r="H184" s="280">
        <f t="shared" si="21"/>
        <v>70</v>
      </c>
      <c r="I184" s="108">
        <f t="shared" si="21"/>
        <v>62</v>
      </c>
      <c r="J184" s="109">
        <f t="shared" si="21"/>
        <v>0</v>
      </c>
      <c r="K184" s="109">
        <f t="shared" si="21"/>
        <v>0</v>
      </c>
      <c r="L184" s="109">
        <f t="shared" si="21"/>
        <v>0</v>
      </c>
      <c r="M184" s="109">
        <f t="shared" si="21"/>
        <v>0</v>
      </c>
      <c r="N184" s="109">
        <f t="shared" si="21"/>
        <v>0</v>
      </c>
      <c r="O184" s="110">
        <f t="shared" si="21"/>
        <v>0</v>
      </c>
    </row>
    <row r="185" spans="1:15" ht="33" customHeight="1" thickBot="1"/>
    <row r="186" spans="1:15" ht="19.5" customHeight="1">
      <c r="A186" s="2109" t="s">
        <v>125</v>
      </c>
      <c r="B186" s="2099" t="s">
        <v>116</v>
      </c>
      <c r="C186" s="2089" t="s">
        <v>9</v>
      </c>
      <c r="D186" s="2085" t="s">
        <v>126</v>
      </c>
      <c r="E186" s="2086"/>
      <c r="F186" s="2086"/>
      <c r="G186" s="2087"/>
      <c r="H186" s="2088" t="s">
        <v>127</v>
      </c>
      <c r="I186" s="2089"/>
      <c r="J186" s="2089"/>
      <c r="K186" s="2089"/>
      <c r="L186" s="2090"/>
    </row>
    <row r="187" spans="1:15" ht="128.25">
      <c r="A187" s="2110"/>
      <c r="B187" s="2100"/>
      <c r="C187" s="2111"/>
      <c r="D187" s="281" t="s">
        <v>128</v>
      </c>
      <c r="E187" s="281" t="s">
        <v>129</v>
      </c>
      <c r="F187" s="281" t="s">
        <v>130</v>
      </c>
      <c r="G187" s="282" t="s">
        <v>13</v>
      </c>
      <c r="H187" s="283" t="s">
        <v>131</v>
      </c>
      <c r="I187" s="281" t="s">
        <v>132</v>
      </c>
      <c r="J187" s="281" t="s">
        <v>133</v>
      </c>
      <c r="K187" s="281" t="s">
        <v>134</v>
      </c>
      <c r="L187" s="284" t="s">
        <v>135</v>
      </c>
    </row>
    <row r="188" spans="1:15" ht="15" customHeight="1">
      <c r="A188" s="2784" t="s">
        <v>233</v>
      </c>
      <c r="B188" s="2228"/>
      <c r="C188" s="285">
        <v>2014</v>
      </c>
      <c r="D188" s="126"/>
      <c r="E188" s="102"/>
      <c r="F188" s="102"/>
      <c r="G188" s="286">
        <f>SUM(D188:F188)</f>
        <v>0</v>
      </c>
      <c r="H188" s="101"/>
      <c r="I188" s="102"/>
      <c r="J188" s="102"/>
      <c r="K188" s="102"/>
      <c r="L188" s="127"/>
    </row>
    <row r="189" spans="1:15">
      <c r="A189" s="2784"/>
      <c r="B189" s="2228"/>
      <c r="C189" s="74">
        <v>2015</v>
      </c>
      <c r="D189" s="40"/>
      <c r="E189" s="41"/>
      <c r="F189" s="41"/>
      <c r="G189" s="286">
        <f t="shared" ref="G189:G194" si="22">SUM(D189:F189)</f>
        <v>0</v>
      </c>
      <c r="H189" s="105"/>
      <c r="I189" s="41"/>
      <c r="J189" s="41"/>
      <c r="K189" s="41"/>
      <c r="L189" s="86"/>
    </row>
    <row r="190" spans="1:15">
      <c r="A190" s="2784"/>
      <c r="B190" s="2228"/>
      <c r="C190" s="74">
        <v>2016</v>
      </c>
      <c r="D190" s="40">
        <f>157+197+72+180</f>
        <v>606</v>
      </c>
      <c r="E190" s="41"/>
      <c r="F190" s="41"/>
      <c r="G190" s="286">
        <f t="shared" si="22"/>
        <v>606</v>
      </c>
      <c r="H190" s="105"/>
      <c r="I190" s="41"/>
      <c r="J190" s="41">
        <v>21</v>
      </c>
      <c r="K190" s="41"/>
      <c r="L190" s="86">
        <f>D190-J190</f>
        <v>585</v>
      </c>
    </row>
    <row r="191" spans="1:15">
      <c r="A191" s="2784"/>
      <c r="B191" s="2228"/>
      <c r="C191" s="74">
        <v>2017</v>
      </c>
      <c r="D191" s="40">
        <f>76+6+2+6+65</f>
        <v>155</v>
      </c>
      <c r="E191" s="41"/>
      <c r="F191" s="41"/>
      <c r="G191" s="286">
        <f t="shared" si="22"/>
        <v>155</v>
      </c>
      <c r="H191" s="105"/>
      <c r="I191" s="41"/>
      <c r="J191" s="41">
        <v>23</v>
      </c>
      <c r="K191" s="41"/>
      <c r="L191" s="86">
        <f>D191-J191</f>
        <v>132</v>
      </c>
    </row>
    <row r="192" spans="1:15">
      <c r="A192" s="2784"/>
      <c r="B192" s="2228"/>
      <c r="C192" s="74">
        <v>2018</v>
      </c>
      <c r="D192" s="40"/>
      <c r="E192" s="41"/>
      <c r="F192" s="41"/>
      <c r="G192" s="286">
        <f t="shared" si="22"/>
        <v>0</v>
      </c>
      <c r="H192" s="105"/>
      <c r="I192" s="41"/>
      <c r="J192" s="41"/>
      <c r="K192" s="41"/>
      <c r="L192" s="86"/>
    </row>
    <row r="193" spans="1:14">
      <c r="A193" s="2784"/>
      <c r="B193" s="2228"/>
      <c r="C193" s="74">
        <v>2019</v>
      </c>
      <c r="D193" s="40"/>
      <c r="E193" s="41"/>
      <c r="F193" s="41"/>
      <c r="G193" s="286">
        <f t="shared" si="22"/>
        <v>0</v>
      </c>
      <c r="H193" s="105"/>
      <c r="I193" s="41"/>
      <c r="J193" s="41"/>
      <c r="K193" s="41"/>
      <c r="L193" s="86"/>
    </row>
    <row r="194" spans="1:14">
      <c r="A194" s="2784"/>
      <c r="B194" s="2228"/>
      <c r="C194" s="74">
        <v>2020</v>
      </c>
      <c r="D194" s="40"/>
      <c r="E194" s="41"/>
      <c r="F194" s="41"/>
      <c r="G194" s="286">
        <f t="shared" si="22"/>
        <v>0</v>
      </c>
      <c r="H194" s="105"/>
      <c r="I194" s="41"/>
      <c r="J194" s="41"/>
      <c r="K194" s="41"/>
      <c r="L194" s="86"/>
    </row>
    <row r="195" spans="1:14" ht="175.5" customHeight="1" thickBot="1">
      <c r="A195" s="2785"/>
      <c r="B195" s="2229"/>
      <c r="C195" s="129" t="s">
        <v>13</v>
      </c>
      <c r="D195" s="132">
        <f t="shared" ref="D195:L195" si="23">SUM(D188:D194)</f>
        <v>761</v>
      </c>
      <c r="E195" s="109">
        <f t="shared" si="23"/>
        <v>0</v>
      </c>
      <c r="F195" s="109">
        <f t="shared" si="23"/>
        <v>0</v>
      </c>
      <c r="G195" s="290">
        <f t="shared" si="23"/>
        <v>761</v>
      </c>
      <c r="H195" s="108">
        <f t="shared" si="23"/>
        <v>0</v>
      </c>
      <c r="I195" s="109">
        <f t="shared" si="23"/>
        <v>0</v>
      </c>
      <c r="J195" s="109">
        <f t="shared" si="23"/>
        <v>44</v>
      </c>
      <c r="K195" s="109">
        <f t="shared" si="23"/>
        <v>0</v>
      </c>
      <c r="L195" s="110">
        <f t="shared" si="23"/>
        <v>717</v>
      </c>
    </row>
    <row r="198" spans="1:14" ht="21">
      <c r="A198" s="291" t="s">
        <v>137</v>
      </c>
      <c r="B198" s="291"/>
      <c r="C198" s="292"/>
      <c r="D198" s="292"/>
      <c r="E198" s="292"/>
      <c r="F198" s="292"/>
      <c r="G198" s="292"/>
      <c r="H198" s="292"/>
      <c r="I198" s="292"/>
      <c r="J198" s="292"/>
      <c r="K198" s="292"/>
      <c r="L198" s="292"/>
      <c r="M198" s="66"/>
      <c r="N198" s="66"/>
    </row>
    <row r="199" spans="1:14" ht="10.5" customHeight="1" thickBot="1">
      <c r="A199" s="293"/>
      <c r="B199" s="293"/>
      <c r="C199" s="292"/>
      <c r="D199" s="292"/>
      <c r="E199" s="292"/>
      <c r="F199" s="292"/>
      <c r="G199" s="292"/>
      <c r="H199" s="292"/>
      <c r="I199" s="292"/>
      <c r="J199" s="292"/>
      <c r="K199" s="292"/>
      <c r="L199" s="292"/>
    </row>
    <row r="200" spans="1:14" s="31" customFormat="1" ht="101.25" customHeight="1">
      <c r="A200" s="367" t="s">
        <v>138</v>
      </c>
      <c r="B200" s="295" t="s">
        <v>116</v>
      </c>
      <c r="C200" s="296" t="s">
        <v>9</v>
      </c>
      <c r="D200" s="297" t="s">
        <v>139</v>
      </c>
      <c r="E200" s="298" t="s">
        <v>140</v>
      </c>
      <c r="F200" s="298" t="s">
        <v>141</v>
      </c>
      <c r="G200" s="296" t="s">
        <v>142</v>
      </c>
      <c r="H200" s="299" t="s">
        <v>143</v>
      </c>
      <c r="I200" s="300" t="s">
        <v>144</v>
      </c>
      <c r="J200" s="301" t="s">
        <v>145</v>
      </c>
      <c r="K200" s="298" t="s">
        <v>146</v>
      </c>
      <c r="L200" s="302" t="s">
        <v>147</v>
      </c>
    </row>
    <row r="201" spans="1:14" ht="15" customHeight="1">
      <c r="A201" s="2654"/>
      <c r="B201" s="2068"/>
      <c r="C201" s="73">
        <v>2014</v>
      </c>
      <c r="D201" s="33"/>
      <c r="E201" s="34"/>
      <c r="F201" s="34"/>
      <c r="G201" s="32"/>
      <c r="H201" s="303"/>
      <c r="I201" s="304"/>
      <c r="J201" s="305"/>
      <c r="K201" s="34"/>
      <c r="L201" s="37"/>
    </row>
    <row r="202" spans="1:14">
      <c r="A202" s="2654"/>
      <c r="B202" s="2068"/>
      <c r="C202" s="74">
        <v>2015</v>
      </c>
      <c r="D202" s="40"/>
      <c r="E202" s="41"/>
      <c r="F202" s="41"/>
      <c r="G202" s="39"/>
      <c r="H202" s="306"/>
      <c r="I202" s="307"/>
      <c r="J202" s="308"/>
      <c r="K202" s="41"/>
      <c r="L202" s="86"/>
    </row>
    <row r="203" spans="1:14">
      <c r="A203" s="2654"/>
      <c r="B203" s="2068"/>
      <c r="C203" s="74">
        <v>2016</v>
      </c>
      <c r="D203" s="40"/>
      <c r="E203" s="41"/>
      <c r="F203" s="41"/>
      <c r="G203" s="39"/>
      <c r="H203" s="306"/>
      <c r="I203" s="307"/>
      <c r="J203" s="308"/>
      <c r="K203" s="41"/>
      <c r="L203" s="86"/>
    </row>
    <row r="204" spans="1:14">
      <c r="A204" s="2654"/>
      <c r="B204" s="2068"/>
      <c r="C204" s="74">
        <v>2017</v>
      </c>
      <c r="D204" s="40"/>
      <c r="E204" s="41"/>
      <c r="F204" s="41"/>
      <c r="G204" s="39"/>
      <c r="H204" s="306"/>
      <c r="I204" s="307"/>
      <c r="J204" s="308"/>
      <c r="K204" s="41"/>
      <c r="L204" s="86"/>
    </row>
    <row r="205" spans="1:14">
      <c r="A205" s="2654"/>
      <c r="B205" s="2068"/>
      <c r="C205" s="74">
        <v>2018</v>
      </c>
      <c r="D205" s="40"/>
      <c r="E205" s="41"/>
      <c r="F205" s="41"/>
      <c r="G205" s="39"/>
      <c r="H205" s="306"/>
      <c r="I205" s="307"/>
      <c r="J205" s="308"/>
      <c r="K205" s="41"/>
      <c r="L205" s="86"/>
    </row>
    <row r="206" spans="1:14">
      <c r="A206" s="2654"/>
      <c r="B206" s="2068"/>
      <c r="C206" s="74">
        <v>2019</v>
      </c>
      <c r="D206" s="40"/>
      <c r="E206" s="41"/>
      <c r="F206" s="41"/>
      <c r="G206" s="39"/>
      <c r="H206" s="306"/>
      <c r="I206" s="307"/>
      <c r="J206" s="308"/>
      <c r="K206" s="41"/>
      <c r="L206" s="86"/>
    </row>
    <row r="207" spans="1:14">
      <c r="A207" s="2654"/>
      <c r="B207" s="2068"/>
      <c r="C207" s="74">
        <v>2020</v>
      </c>
      <c r="D207" s="309"/>
      <c r="E207" s="310"/>
      <c r="F207" s="310"/>
      <c r="G207" s="311"/>
      <c r="H207" s="312"/>
      <c r="I207" s="313"/>
      <c r="J207" s="314"/>
      <c r="K207" s="310"/>
      <c r="L207" s="315"/>
    </row>
    <row r="208" spans="1:14" ht="20.25" customHeight="1" thickBot="1">
      <c r="A208" s="2070"/>
      <c r="B208" s="2071"/>
      <c r="C208" s="129" t="s">
        <v>13</v>
      </c>
      <c r="D208" s="132">
        <f>SUM(D201:D207)</f>
        <v>0</v>
      </c>
      <c r="E208" s="132">
        <f t="shared" ref="E208:L208" si="24">SUM(E201:E207)</f>
        <v>0</v>
      </c>
      <c r="F208" s="132">
        <f t="shared" si="24"/>
        <v>0</v>
      </c>
      <c r="G208" s="132">
        <f t="shared" si="24"/>
        <v>0</v>
      </c>
      <c r="H208" s="132">
        <f t="shared" si="24"/>
        <v>0</v>
      </c>
      <c r="I208" s="132">
        <f t="shared" si="24"/>
        <v>0</v>
      </c>
      <c r="J208" s="132">
        <f t="shared" si="24"/>
        <v>0</v>
      </c>
      <c r="K208" s="132">
        <f t="shared" si="24"/>
        <v>0</v>
      </c>
      <c r="L208" s="132">
        <f t="shared" si="24"/>
        <v>0</v>
      </c>
    </row>
    <row r="210" spans="1:11" ht="15.75" thickBot="1"/>
    <row r="211" spans="1:11" ht="18.75">
      <c r="A211" s="368" t="s">
        <v>148</v>
      </c>
      <c r="B211" s="317" t="s">
        <v>149</v>
      </c>
      <c r="C211" s="318">
        <v>2014</v>
      </c>
      <c r="D211" s="319">
        <v>2015</v>
      </c>
      <c r="E211" s="319">
        <v>2016</v>
      </c>
      <c r="F211" s="319">
        <v>2017</v>
      </c>
      <c r="G211" s="319">
        <v>2018</v>
      </c>
      <c r="H211" s="319">
        <v>2019</v>
      </c>
      <c r="I211" s="320">
        <v>2020</v>
      </c>
    </row>
    <row r="212" spans="1:11" ht="15" customHeight="1">
      <c r="A212" t="s">
        <v>150</v>
      </c>
      <c r="B212" s="2781" t="s">
        <v>234</v>
      </c>
      <c r="C212" s="73"/>
      <c r="D212" s="128"/>
      <c r="E212" s="128">
        <f>SUM(E213:E216)</f>
        <v>258323.45</v>
      </c>
      <c r="F212" s="455">
        <f>SUM(F213:F216)</f>
        <v>2304</v>
      </c>
      <c r="G212" s="128"/>
      <c r="H212" s="128"/>
      <c r="I212" s="327"/>
    </row>
    <row r="213" spans="1:11">
      <c r="A213" t="s">
        <v>153</v>
      </c>
      <c r="B213" s="2782"/>
      <c r="C213" s="73"/>
      <c r="D213" s="128"/>
      <c r="E213" s="328">
        <f>258323.45-E216</f>
        <v>118319.45000000001</v>
      </c>
      <c r="F213" s="455">
        <v>2100</v>
      </c>
      <c r="G213" s="128"/>
      <c r="H213" s="128"/>
      <c r="I213" s="327"/>
    </row>
    <row r="214" spans="1:11">
      <c r="A214" t="s">
        <v>155</v>
      </c>
      <c r="B214" s="2782"/>
      <c r="C214" s="73"/>
      <c r="D214" s="128"/>
      <c r="E214" s="128"/>
      <c r="F214" s="455"/>
      <c r="G214" s="128"/>
      <c r="H214" s="128"/>
      <c r="I214" s="327"/>
    </row>
    <row r="215" spans="1:11">
      <c r="A215" t="s">
        <v>157</v>
      </c>
      <c r="B215" s="2782"/>
      <c r="C215" s="73"/>
      <c r="D215" s="128"/>
      <c r="E215" s="128"/>
      <c r="F215" s="455"/>
      <c r="G215" s="128"/>
      <c r="H215" s="128"/>
      <c r="I215" s="327"/>
    </row>
    <row r="216" spans="1:11">
      <c r="A216" t="s">
        <v>158</v>
      </c>
      <c r="B216" s="2782"/>
      <c r="C216" s="73"/>
      <c r="D216" s="128"/>
      <c r="E216" s="128">
        <f>83945+56059</f>
        <v>140004</v>
      </c>
      <c r="F216" s="455">
        <f>30+15+15+15+15+84+30</f>
        <v>204</v>
      </c>
      <c r="G216" s="128"/>
      <c r="H216" s="128"/>
      <c r="I216" s="327"/>
    </row>
    <row r="217" spans="1:11" ht="30">
      <c r="A217" s="31" t="s">
        <v>159</v>
      </c>
      <c r="B217" s="2782"/>
      <c r="C217" s="73"/>
      <c r="D217" s="128"/>
      <c r="E217" s="328">
        <f>363218.44-E213-E216</f>
        <v>104894.98999999999</v>
      </c>
      <c r="F217" s="455">
        <f>39325.34-F216-F213</f>
        <v>37021.339999999997</v>
      </c>
      <c r="G217" s="128"/>
      <c r="H217" s="128"/>
      <c r="I217" s="327"/>
    </row>
    <row r="218" spans="1:11" ht="78" customHeight="1" thickBot="1">
      <c r="A218" s="349"/>
      <c r="B218" s="2783"/>
      <c r="C218" s="45" t="s">
        <v>13</v>
      </c>
      <c r="D218" s="333">
        <f>SUM(D213:D217)</f>
        <v>0</v>
      </c>
      <c r="E218" s="333">
        <f t="shared" ref="E218:I218" si="25">SUM(E213:E217)</f>
        <v>363218.44</v>
      </c>
      <c r="F218" s="372">
        <f>SUM(F213:F217)</f>
        <v>39325.339999999997</v>
      </c>
      <c r="G218" s="333">
        <f t="shared" si="25"/>
        <v>0</v>
      </c>
      <c r="H218" s="333">
        <f t="shared" si="25"/>
        <v>0</v>
      </c>
      <c r="I218" s="333">
        <f t="shared" si="25"/>
        <v>0</v>
      </c>
      <c r="K218" s="456"/>
    </row>
    <row r="226" spans="1:1">
      <c r="A226"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19:B126"/>
    <mergeCell ref="D96:E96"/>
    <mergeCell ref="A98:B105"/>
    <mergeCell ref="A107:A108"/>
    <mergeCell ref="B107:B108"/>
    <mergeCell ref="C107:C108"/>
    <mergeCell ref="D107:D108"/>
    <mergeCell ref="C96:C97"/>
    <mergeCell ref="A109:B115"/>
    <mergeCell ref="A117:A118"/>
    <mergeCell ref="B117:B118"/>
    <mergeCell ref="C117:C118"/>
    <mergeCell ref="D117:D118"/>
    <mergeCell ref="A154:B161"/>
    <mergeCell ref="A128:A129"/>
    <mergeCell ref="B128:B129"/>
    <mergeCell ref="A130:B136"/>
    <mergeCell ref="A141:A142"/>
    <mergeCell ref="B141:B142"/>
    <mergeCell ref="J141:N141"/>
    <mergeCell ref="A143:B150"/>
    <mergeCell ref="A152:A153"/>
    <mergeCell ref="B152:B153"/>
    <mergeCell ref="C152:C153"/>
    <mergeCell ref="C141:C142"/>
    <mergeCell ref="D186:G186"/>
    <mergeCell ref="H186:L186"/>
    <mergeCell ref="A188:B195"/>
    <mergeCell ref="A164:B171"/>
    <mergeCell ref="A175:A176"/>
    <mergeCell ref="B175:B176"/>
    <mergeCell ref="C175:C176"/>
    <mergeCell ref="I175:O175"/>
    <mergeCell ref="A177:B184"/>
    <mergeCell ref="A201:B208"/>
    <mergeCell ref="B212:B218"/>
    <mergeCell ref="A186:A187"/>
    <mergeCell ref="B186:B187"/>
    <mergeCell ref="C186:C18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Y236"/>
  <sheetViews>
    <sheetView topLeftCell="E172" workbookViewId="0">
      <selection activeCell="M186" sqref="M186"/>
    </sheetView>
  </sheetViews>
  <sheetFormatPr defaultColWidth="8.85546875" defaultRowHeight="15"/>
  <cols>
    <col min="1" max="1" width="90.5703125" style="8"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625" t="s">
        <v>0</v>
      </c>
      <c r="B1" s="1995" t="s">
        <v>565</v>
      </c>
      <c r="C1" s="1996"/>
      <c r="D1" s="1996"/>
      <c r="E1" s="1996"/>
      <c r="F1" s="1996"/>
    </row>
    <row r="2" spans="1:25" s="2" customFormat="1" ht="20.100000000000001" customHeight="1" thickBot="1">
      <c r="A2" s="5"/>
    </row>
    <row r="3" spans="1:25" s="5" customFormat="1" ht="20.100000000000001" customHeight="1">
      <c r="A3" s="1626" t="s">
        <v>2</v>
      </c>
      <c r="B3" s="1627"/>
      <c r="C3" s="1627"/>
      <c r="D3" s="1627"/>
      <c r="E3" s="1627"/>
      <c r="F3" s="2134"/>
      <c r="G3" s="2134"/>
      <c r="H3" s="2134"/>
      <c r="I3" s="2134"/>
      <c r="J3" s="2134"/>
      <c r="K3" s="2134"/>
      <c r="L3" s="2134"/>
      <c r="M3" s="2134"/>
      <c r="N3" s="2134"/>
      <c r="O3" s="2135"/>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c r="A11" s="5"/>
    </row>
    <row r="13" spans="1:25" ht="21">
      <c r="A13" s="1628"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9"/>
      <c r="B15" s="1629"/>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624"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136" t="s">
        <v>566</v>
      </c>
      <c r="B17" s="2138" t="s">
        <v>567</v>
      </c>
      <c r="C17" s="32">
        <v>2014</v>
      </c>
      <c r="D17" s="33"/>
      <c r="E17" s="34"/>
      <c r="F17" s="34"/>
      <c r="G17" s="35">
        <v>0</v>
      </c>
      <c r="H17" s="36"/>
      <c r="I17" s="34"/>
      <c r="J17" s="34"/>
      <c r="K17" s="34"/>
      <c r="L17" s="34"/>
      <c r="M17" s="34"/>
      <c r="N17" s="34"/>
      <c r="O17" s="37"/>
      <c r="P17" s="38"/>
      <c r="Q17" s="38"/>
      <c r="R17" s="38"/>
      <c r="S17" s="38"/>
      <c r="T17" s="38"/>
      <c r="U17" s="38"/>
      <c r="V17" s="38"/>
      <c r="W17" s="38"/>
      <c r="X17" s="38"/>
      <c r="Y17" s="38"/>
    </row>
    <row r="18" spans="1:25">
      <c r="A18" s="2136"/>
      <c r="B18" s="2138"/>
      <c r="C18" s="39">
        <v>2015</v>
      </c>
      <c r="D18" s="40"/>
      <c r="E18" s="41"/>
      <c r="F18" s="41"/>
      <c r="G18" s="35">
        <v>0</v>
      </c>
      <c r="H18" s="42"/>
      <c r="I18" s="41"/>
      <c r="J18" s="41"/>
      <c r="K18" s="41"/>
      <c r="L18" s="41"/>
      <c r="M18" s="41"/>
      <c r="N18" s="41"/>
      <c r="O18" s="43"/>
      <c r="P18" s="38"/>
      <c r="Q18" s="38"/>
      <c r="R18" s="38"/>
      <c r="S18" s="38"/>
      <c r="T18" s="38"/>
      <c r="U18" s="38"/>
      <c r="V18" s="38"/>
      <c r="W18" s="38"/>
      <c r="X18" s="38"/>
      <c r="Y18" s="38"/>
    </row>
    <row r="19" spans="1:25">
      <c r="A19" s="2136"/>
      <c r="B19" s="2138"/>
      <c r="C19" s="39">
        <v>2016</v>
      </c>
      <c r="D19" s="40">
        <v>23</v>
      </c>
      <c r="E19" s="41"/>
      <c r="F19" s="41">
        <v>1</v>
      </c>
      <c r="G19" s="35">
        <v>24</v>
      </c>
      <c r="H19" s="42"/>
      <c r="I19" s="41">
        <v>7</v>
      </c>
      <c r="J19" s="41"/>
      <c r="K19" s="41">
        <v>14</v>
      </c>
      <c r="L19" s="41"/>
      <c r="M19" s="41">
        <v>2</v>
      </c>
      <c r="N19" s="41"/>
      <c r="O19" s="43">
        <v>1</v>
      </c>
      <c r="P19" s="38"/>
      <c r="Q19" s="38"/>
      <c r="R19" s="38"/>
      <c r="S19" s="38"/>
      <c r="T19" s="38"/>
      <c r="U19" s="38"/>
      <c r="V19" s="38"/>
      <c r="W19" s="38"/>
      <c r="X19" s="38"/>
      <c r="Y19" s="38"/>
    </row>
    <row r="20" spans="1:25">
      <c r="A20" s="2136"/>
      <c r="B20" s="2138"/>
      <c r="C20" s="39">
        <v>2017</v>
      </c>
      <c r="D20" s="40">
        <v>1</v>
      </c>
      <c r="E20" s="41"/>
      <c r="F20" s="41"/>
      <c r="G20" s="35">
        <v>1</v>
      </c>
      <c r="H20" s="42"/>
      <c r="I20" s="41"/>
      <c r="J20" s="41"/>
      <c r="K20" s="41"/>
      <c r="L20" s="41">
        <v>1</v>
      </c>
      <c r="M20" s="41"/>
      <c r="N20" s="41"/>
      <c r="O20" s="43"/>
      <c r="P20" s="38"/>
      <c r="Q20" s="38"/>
      <c r="R20" s="38"/>
      <c r="S20" s="38"/>
      <c r="T20" s="38"/>
      <c r="U20" s="38"/>
      <c r="V20" s="38"/>
      <c r="W20" s="38"/>
      <c r="X20" s="38"/>
      <c r="Y20" s="38"/>
    </row>
    <row r="21" spans="1:25">
      <c r="A21" s="2136"/>
      <c r="B21" s="2138"/>
      <c r="C21" s="39">
        <v>2018</v>
      </c>
      <c r="D21" s="40"/>
      <c r="E21" s="41"/>
      <c r="F21" s="41"/>
      <c r="G21" s="35">
        <v>0</v>
      </c>
      <c r="H21" s="42"/>
      <c r="I21" s="41"/>
      <c r="J21" s="41"/>
      <c r="K21" s="41"/>
      <c r="L21" s="41"/>
      <c r="M21" s="41"/>
      <c r="N21" s="41"/>
      <c r="O21" s="43"/>
      <c r="P21" s="38"/>
      <c r="Q21" s="38"/>
      <c r="R21" s="38"/>
      <c r="S21" s="38"/>
      <c r="T21" s="38"/>
      <c r="U21" s="38"/>
      <c r="V21" s="38"/>
      <c r="W21" s="38"/>
      <c r="X21" s="38"/>
      <c r="Y21" s="38"/>
    </row>
    <row r="22" spans="1:25">
      <c r="A22" s="2136"/>
      <c r="B22" s="2138"/>
      <c r="C22" s="44">
        <v>2019</v>
      </c>
      <c r="D22" s="40"/>
      <c r="E22" s="41"/>
      <c r="F22" s="41"/>
      <c r="G22" s="35">
        <v>0</v>
      </c>
      <c r="H22" s="42"/>
      <c r="I22" s="41"/>
      <c r="J22" s="41"/>
      <c r="K22" s="41"/>
      <c r="L22" s="41"/>
      <c r="M22" s="41"/>
      <c r="N22" s="41"/>
      <c r="O22" s="43"/>
      <c r="P22" s="38"/>
      <c r="Q22" s="38"/>
      <c r="R22" s="38"/>
      <c r="S22" s="38"/>
      <c r="T22" s="38"/>
      <c r="U22" s="38"/>
      <c r="V22" s="38"/>
      <c r="W22" s="38"/>
      <c r="X22" s="38"/>
      <c r="Y22" s="38"/>
    </row>
    <row r="23" spans="1:25">
      <c r="A23" s="2136"/>
      <c r="B23" s="2138"/>
      <c r="C23" s="39">
        <v>2020</v>
      </c>
      <c r="D23" s="40"/>
      <c r="E23" s="41"/>
      <c r="F23" s="41"/>
      <c r="G23" s="35">
        <v>0</v>
      </c>
      <c r="H23" s="42"/>
      <c r="I23" s="41"/>
      <c r="J23" s="41"/>
      <c r="K23" s="41"/>
      <c r="L23" s="41"/>
      <c r="M23" s="41"/>
      <c r="N23" s="41"/>
      <c r="O23" s="43"/>
      <c r="P23" s="38"/>
      <c r="Q23" s="38"/>
      <c r="R23" s="38"/>
      <c r="S23" s="38"/>
      <c r="T23" s="38"/>
      <c r="U23" s="38"/>
      <c r="V23" s="38"/>
      <c r="W23" s="38"/>
      <c r="X23" s="38"/>
      <c r="Y23" s="38"/>
    </row>
    <row r="24" spans="1:25" ht="91.5" customHeight="1" thickBot="1">
      <c r="A24" s="2137"/>
      <c r="B24" s="2139"/>
      <c r="C24" s="45" t="s">
        <v>13</v>
      </c>
      <c r="D24" s="46">
        <v>24</v>
      </c>
      <c r="E24" s="47">
        <v>0</v>
      </c>
      <c r="F24" s="47">
        <v>1</v>
      </c>
      <c r="G24" s="48">
        <v>25</v>
      </c>
      <c r="H24" s="49">
        <v>0</v>
      </c>
      <c r="I24" s="50">
        <v>7</v>
      </c>
      <c r="J24" s="50">
        <v>0</v>
      </c>
      <c r="K24" s="50">
        <v>14</v>
      </c>
      <c r="L24" s="50">
        <v>1</v>
      </c>
      <c r="M24" s="50">
        <v>2</v>
      </c>
      <c r="N24" s="50">
        <v>0</v>
      </c>
      <c r="O24" s="51">
        <v>1</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9"/>
      <c r="B26" s="1629"/>
      <c r="C26" s="53"/>
      <c r="D26" s="2011" t="s">
        <v>5</v>
      </c>
      <c r="E26" s="2012"/>
      <c r="F26" s="2012"/>
      <c r="G26" s="2013"/>
      <c r="H26" s="16"/>
      <c r="I26" s="17"/>
      <c r="J26" s="18"/>
      <c r="K26" s="18"/>
      <c r="L26" s="18"/>
      <c r="M26" s="18"/>
      <c r="N26" s="18"/>
      <c r="O26" s="16"/>
      <c r="P26" s="16"/>
    </row>
    <row r="27" spans="1:25" s="1624"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136" t="s">
        <v>568</v>
      </c>
      <c r="B28" s="2136" t="s">
        <v>569</v>
      </c>
      <c r="C28" s="58">
        <v>2014</v>
      </c>
      <c r="D28" s="36"/>
      <c r="E28" s="34"/>
      <c r="F28" s="34"/>
      <c r="G28" s="59">
        <v>0</v>
      </c>
      <c r="H28" s="38"/>
      <c r="I28" s="38"/>
      <c r="J28" s="38"/>
      <c r="K28" s="38"/>
      <c r="L28" s="38"/>
      <c r="M28" s="38"/>
      <c r="N28" s="38"/>
      <c r="O28" s="38"/>
      <c r="P28" s="38"/>
      <c r="Q28" s="8"/>
    </row>
    <row r="29" spans="1:25">
      <c r="A29" s="2136"/>
      <c r="B29" s="2136"/>
      <c r="C29" s="60">
        <v>2015</v>
      </c>
      <c r="D29" s="42"/>
      <c r="E29" s="41"/>
      <c r="F29" s="41"/>
      <c r="G29" s="59">
        <v>0</v>
      </c>
      <c r="H29" s="38"/>
      <c r="I29" s="38"/>
      <c r="J29" s="38"/>
      <c r="K29" s="38"/>
      <c r="L29" s="38"/>
      <c r="M29" s="38"/>
      <c r="N29" s="38"/>
      <c r="O29" s="38"/>
      <c r="P29" s="38"/>
      <c r="Q29" s="8"/>
    </row>
    <row r="30" spans="1:25">
      <c r="A30" s="2136"/>
      <c r="B30" s="2136"/>
      <c r="C30" s="60">
        <v>2016</v>
      </c>
      <c r="D30" s="42">
        <v>4198</v>
      </c>
      <c r="E30" s="41"/>
      <c r="F30" s="41">
        <v>100</v>
      </c>
      <c r="G30" s="59">
        <v>4298</v>
      </c>
      <c r="H30" s="38"/>
      <c r="I30" s="38"/>
      <c r="J30" s="38"/>
      <c r="K30" s="38"/>
      <c r="L30" s="38"/>
      <c r="M30" s="38"/>
      <c r="N30" s="38"/>
      <c r="O30" s="38"/>
      <c r="P30" s="38"/>
      <c r="Q30" s="8"/>
    </row>
    <row r="31" spans="1:25">
      <c r="A31" s="2136"/>
      <c r="B31" s="2136"/>
      <c r="C31" s="60">
        <v>2017</v>
      </c>
      <c r="D31" s="42">
        <v>62</v>
      </c>
      <c r="E31" s="41"/>
      <c r="F31" s="41"/>
      <c r="G31" s="59">
        <v>62</v>
      </c>
      <c r="H31" s="38"/>
      <c r="I31" s="38"/>
      <c r="J31" s="38"/>
      <c r="K31" s="38"/>
      <c r="L31" s="38"/>
      <c r="M31" s="38"/>
      <c r="N31" s="38"/>
      <c r="O31" s="38"/>
      <c r="P31" s="38"/>
      <c r="Q31" s="8"/>
    </row>
    <row r="32" spans="1:25">
      <c r="A32" s="2136"/>
      <c r="B32" s="2136"/>
      <c r="C32" s="60">
        <v>2018</v>
      </c>
      <c r="D32" s="42"/>
      <c r="E32" s="41"/>
      <c r="F32" s="41"/>
      <c r="G32" s="59">
        <v>0</v>
      </c>
      <c r="H32" s="38"/>
      <c r="I32" s="38"/>
      <c r="J32" s="38"/>
      <c r="K32" s="38"/>
      <c r="L32" s="38"/>
      <c r="M32" s="38"/>
      <c r="N32" s="38"/>
      <c r="O32" s="38"/>
      <c r="P32" s="38"/>
      <c r="Q32" s="8"/>
    </row>
    <row r="33" spans="1:17">
      <c r="A33" s="2136"/>
      <c r="B33" s="2136"/>
      <c r="C33" s="61">
        <v>2019</v>
      </c>
      <c r="D33" s="42"/>
      <c r="E33" s="41"/>
      <c r="F33" s="41"/>
      <c r="G33" s="59">
        <v>0</v>
      </c>
      <c r="H33" s="38"/>
      <c r="I33" s="38"/>
      <c r="J33" s="38"/>
      <c r="K33" s="38"/>
      <c r="L33" s="38"/>
      <c r="M33" s="38"/>
      <c r="N33" s="38"/>
      <c r="O33" s="38"/>
      <c r="P33" s="38"/>
      <c r="Q33" s="8"/>
    </row>
    <row r="34" spans="1:17">
      <c r="A34" s="2136"/>
      <c r="B34" s="2136"/>
      <c r="C34" s="60">
        <v>2020</v>
      </c>
      <c r="D34" s="42"/>
      <c r="E34" s="41"/>
      <c r="F34" s="41"/>
      <c r="G34" s="59">
        <v>0</v>
      </c>
      <c r="H34" s="38"/>
      <c r="I34" s="38"/>
      <c r="J34" s="38"/>
      <c r="K34" s="38"/>
      <c r="L34" s="38"/>
      <c r="M34" s="38"/>
      <c r="N34" s="38"/>
      <c r="O34" s="38"/>
      <c r="P34" s="38"/>
      <c r="Q34" s="8"/>
    </row>
    <row r="35" spans="1:17" ht="141.75" customHeight="1" thickBot="1">
      <c r="A35" s="2137"/>
      <c r="B35" s="2137"/>
      <c r="C35" s="62" t="s">
        <v>13</v>
      </c>
      <c r="D35" s="49">
        <v>4260</v>
      </c>
      <c r="E35" s="47">
        <v>0</v>
      </c>
      <c r="F35" s="47">
        <v>100</v>
      </c>
      <c r="G35" s="51">
        <v>4360</v>
      </c>
      <c r="H35" s="38"/>
      <c r="I35" s="38"/>
      <c r="J35" s="38"/>
      <c r="K35" s="38"/>
      <c r="L35" s="38"/>
      <c r="M35" s="38"/>
      <c r="N35" s="38"/>
      <c r="O35" s="38"/>
      <c r="P35" s="38"/>
      <c r="Q35" s="8"/>
    </row>
    <row r="36" spans="1:17">
      <c r="A36" s="194"/>
      <c r="B36" s="63"/>
      <c r="C36" s="52"/>
      <c r="H36" s="8"/>
      <c r="I36" s="8"/>
      <c r="J36" s="8"/>
      <c r="K36" s="8"/>
      <c r="L36" s="8"/>
      <c r="M36" s="8"/>
      <c r="N36" s="8"/>
      <c r="O36" s="8"/>
      <c r="P36" s="8"/>
      <c r="Q36" s="8"/>
    </row>
    <row r="37" spans="1:17" ht="21" customHeight="1">
      <c r="A37" s="1630" t="s">
        <v>25</v>
      </c>
      <c r="B37" s="64"/>
      <c r="C37" s="65"/>
      <c r="D37" s="65"/>
      <c r="E37" s="65"/>
      <c r="F37" s="38"/>
      <c r="G37" s="38"/>
      <c r="H37" s="38"/>
      <c r="I37" s="66"/>
      <c r="J37" s="66"/>
      <c r="K37" s="66"/>
    </row>
    <row r="38" spans="1:17" ht="12.75" customHeight="1" thickBot="1">
      <c r="G38" s="38"/>
      <c r="H38" s="38"/>
    </row>
    <row r="39" spans="1:17" ht="88.5" customHeight="1">
      <c r="A39" s="67" t="s">
        <v>26</v>
      </c>
      <c r="B39" s="1631" t="s">
        <v>8</v>
      </c>
      <c r="C39" s="69" t="s">
        <v>9</v>
      </c>
      <c r="D39" s="70" t="s">
        <v>27</v>
      </c>
      <c r="E39" s="71" t="s">
        <v>28</v>
      </c>
      <c r="F39" s="72"/>
      <c r="G39" s="30"/>
      <c r="H39" s="30"/>
    </row>
    <row r="40" spans="1:17">
      <c r="A40" s="2140" t="s">
        <v>570</v>
      </c>
      <c r="B40" s="2140" t="s">
        <v>571</v>
      </c>
      <c r="C40" s="73">
        <v>2014</v>
      </c>
      <c r="D40" s="33"/>
      <c r="E40" s="32"/>
      <c r="F40" s="8"/>
      <c r="G40" s="38"/>
      <c r="H40" s="38"/>
    </row>
    <row r="41" spans="1:17">
      <c r="A41" s="2140"/>
      <c r="B41" s="2140"/>
      <c r="C41" s="74">
        <v>2015</v>
      </c>
      <c r="D41" s="40"/>
      <c r="E41" s="39"/>
      <c r="F41" s="8"/>
      <c r="G41" s="38"/>
      <c r="H41" s="38"/>
    </row>
    <row r="42" spans="1:17">
      <c r="A42" s="2140"/>
      <c r="B42" s="2140"/>
      <c r="C42" s="74">
        <v>2016</v>
      </c>
      <c r="D42" s="40">
        <v>63571</v>
      </c>
      <c r="E42" s="39">
        <v>27297</v>
      </c>
      <c r="F42" s="8"/>
      <c r="G42" s="38"/>
      <c r="H42" s="38"/>
    </row>
    <row r="43" spans="1:17">
      <c r="A43" s="2140"/>
      <c r="B43" s="2140"/>
      <c r="C43" s="74">
        <v>2017</v>
      </c>
      <c r="D43" s="40">
        <v>79086</v>
      </c>
      <c r="E43" s="39">
        <v>21079</v>
      </c>
      <c r="F43" s="8"/>
      <c r="G43" s="38"/>
      <c r="H43" s="38"/>
    </row>
    <row r="44" spans="1:17">
      <c r="A44" s="2140"/>
      <c r="B44" s="2140"/>
      <c r="C44" s="74">
        <v>2018</v>
      </c>
      <c r="D44" s="40"/>
      <c r="E44" s="39"/>
      <c r="F44" s="8"/>
      <c r="G44" s="38"/>
      <c r="H44" s="38"/>
    </row>
    <row r="45" spans="1:17">
      <c r="A45" s="2140"/>
      <c r="B45" s="2140"/>
      <c r="C45" s="74">
        <v>2019</v>
      </c>
      <c r="D45" s="40"/>
      <c r="E45" s="39"/>
      <c r="F45" s="8"/>
      <c r="G45" s="38"/>
      <c r="H45" s="38"/>
    </row>
    <row r="46" spans="1:17">
      <c r="A46" s="2140"/>
      <c r="B46" s="2140"/>
      <c r="C46" s="74">
        <v>2020</v>
      </c>
      <c r="D46" s="40"/>
      <c r="E46" s="39"/>
      <c r="F46" s="8"/>
      <c r="G46" s="38"/>
      <c r="H46" s="38"/>
    </row>
    <row r="47" spans="1:17" ht="42.75" customHeight="1" thickBot="1">
      <c r="A47" s="2141"/>
      <c r="B47" s="2141"/>
      <c r="C47" s="45" t="s">
        <v>13</v>
      </c>
      <c r="D47" s="46">
        <v>142657</v>
      </c>
      <c r="E47" s="76">
        <v>48376</v>
      </c>
      <c r="F47" s="77"/>
      <c r="G47" s="38"/>
      <c r="H47" s="38"/>
    </row>
    <row r="48" spans="1:17" s="38" customFormat="1" ht="15.75" thickBot="1">
      <c r="A48" s="78"/>
      <c r="B48" s="79"/>
      <c r="C48" s="80"/>
    </row>
    <row r="49" spans="1:15" ht="83.25" customHeight="1">
      <c r="A49" s="81" t="s">
        <v>30</v>
      </c>
      <c r="B49" s="1631" t="s">
        <v>8</v>
      </c>
      <c r="C49" s="82" t="s">
        <v>9</v>
      </c>
      <c r="D49" s="70" t="s">
        <v>31</v>
      </c>
      <c r="E49" s="83" t="s">
        <v>32</v>
      </c>
      <c r="F49" s="83" t="s">
        <v>33</v>
      </c>
      <c r="G49" s="83" t="s">
        <v>34</v>
      </c>
      <c r="H49" s="83" t="s">
        <v>35</v>
      </c>
      <c r="I49" s="83" t="s">
        <v>36</v>
      </c>
      <c r="J49" s="83" t="s">
        <v>37</v>
      </c>
      <c r="K49" s="84" t="s">
        <v>38</v>
      </c>
    </row>
    <row r="50" spans="1:15" ht="17.25" customHeight="1">
      <c r="A50" s="2023" t="s">
        <v>572</v>
      </c>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v>1</v>
      </c>
      <c r="E53" s="41"/>
      <c r="F53" s="41"/>
      <c r="G53" s="41">
        <v>1928</v>
      </c>
      <c r="H53" s="41"/>
      <c r="I53" s="41"/>
      <c r="J53" s="41">
        <v>113</v>
      </c>
      <c r="K53" s="86">
        <v>1981</v>
      </c>
    </row>
    <row r="54" spans="1:15">
      <c r="A54" s="2025"/>
      <c r="B54" s="2026"/>
      <c r="C54" s="74">
        <v>2017</v>
      </c>
      <c r="D54" s="40">
        <v>1</v>
      </c>
      <c r="E54" s="41"/>
      <c r="F54" s="41"/>
      <c r="G54" s="41">
        <v>1946</v>
      </c>
      <c r="H54" s="41"/>
      <c r="I54" s="41"/>
      <c r="J54" s="41">
        <v>50</v>
      </c>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133"/>
      <c r="C58" s="45" t="s">
        <v>13</v>
      </c>
      <c r="D58" s="46">
        <v>2</v>
      </c>
      <c r="E58" s="47">
        <v>0</v>
      </c>
      <c r="F58" s="47">
        <v>0</v>
      </c>
      <c r="G58" s="47">
        <v>3874</v>
      </c>
      <c r="H58" s="47">
        <v>0</v>
      </c>
      <c r="I58" s="47">
        <v>0</v>
      </c>
      <c r="J58" s="47">
        <v>163</v>
      </c>
      <c r="K58" s="51">
        <v>1981</v>
      </c>
    </row>
    <row r="59" spans="1:15" ht="15.75" thickBot="1"/>
    <row r="60" spans="1:15" ht="21" customHeight="1">
      <c r="A60" s="2142" t="s">
        <v>41</v>
      </c>
      <c r="B60" s="1632"/>
      <c r="C60" s="2143"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t="s">
        <v>573</v>
      </c>
      <c r="B62" s="2039"/>
      <c r="C62" s="99">
        <v>2014</v>
      </c>
      <c r="D62" s="100"/>
      <c r="E62" s="101"/>
      <c r="F62" s="102"/>
      <c r="G62" s="102"/>
      <c r="H62" s="102"/>
      <c r="I62" s="102"/>
      <c r="J62" s="102"/>
      <c r="K62" s="102"/>
      <c r="L62" s="37"/>
      <c r="M62" s="8"/>
      <c r="N62" s="8"/>
      <c r="O62" s="8"/>
    </row>
    <row r="63" spans="1:15">
      <c r="A63" s="2048"/>
      <c r="B63" s="2039"/>
      <c r="C63" s="103">
        <v>2015</v>
      </c>
      <c r="D63" s="104"/>
      <c r="E63" s="105"/>
      <c r="F63" s="41"/>
      <c r="G63" s="41"/>
      <c r="H63" s="41"/>
      <c r="I63" s="41"/>
      <c r="J63" s="41"/>
      <c r="K63" s="41"/>
      <c r="L63" s="86"/>
      <c r="M63" s="8"/>
      <c r="N63" s="8"/>
      <c r="O63" s="8"/>
    </row>
    <row r="64" spans="1:15">
      <c r="A64" s="2048"/>
      <c r="B64" s="2039"/>
      <c r="C64" s="103">
        <v>2016</v>
      </c>
      <c r="D64" s="104">
        <v>109</v>
      </c>
      <c r="E64" s="105"/>
      <c r="F64" s="41"/>
      <c r="G64" s="41"/>
      <c r="H64" s="41">
        <v>4</v>
      </c>
      <c r="I64" s="41"/>
      <c r="J64" s="41"/>
      <c r="K64" s="41"/>
      <c r="L64" s="86">
        <v>105</v>
      </c>
      <c r="M64" s="8"/>
      <c r="N64" s="8"/>
      <c r="O64" s="8"/>
    </row>
    <row r="65" spans="1:20">
      <c r="A65" s="2048"/>
      <c r="B65" s="2039"/>
      <c r="C65" s="103">
        <v>2017</v>
      </c>
      <c r="D65" s="104"/>
      <c r="E65" s="105"/>
      <c r="F65" s="41"/>
      <c r="G65" s="41"/>
      <c r="H65" s="41"/>
      <c r="I65" s="41"/>
      <c r="J65" s="41"/>
      <c r="K65" s="41"/>
      <c r="L65" s="86"/>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144"/>
      <c r="C69" s="106" t="s">
        <v>13</v>
      </c>
      <c r="D69" s="107">
        <v>109</v>
      </c>
      <c r="E69" s="108">
        <v>0</v>
      </c>
      <c r="F69" s="109">
        <v>0</v>
      </c>
      <c r="G69" s="109">
        <v>0</v>
      </c>
      <c r="H69" s="109">
        <v>4</v>
      </c>
      <c r="I69" s="109">
        <v>0</v>
      </c>
      <c r="J69" s="109"/>
      <c r="K69" s="109">
        <v>0</v>
      </c>
      <c r="L69" s="110">
        <v>105</v>
      </c>
      <c r="M69" s="77"/>
      <c r="N69" s="77"/>
      <c r="O69" s="77"/>
    </row>
    <row r="70" spans="1:20" ht="20.25" customHeight="1" thickBot="1">
      <c r="A70" s="111"/>
      <c r="B70" s="112"/>
      <c r="C70" s="113"/>
      <c r="D70" s="114"/>
      <c r="E70" s="114"/>
      <c r="F70" s="114"/>
      <c r="G70" s="114"/>
      <c r="H70" s="113"/>
      <c r="I70" s="115"/>
      <c r="J70" s="115"/>
      <c r="K70" s="115"/>
      <c r="L70" s="115"/>
      <c r="M70" s="115"/>
      <c r="N70" s="115"/>
      <c r="O70" s="115"/>
      <c r="P70" s="1624"/>
      <c r="Q70" s="1624"/>
      <c r="R70" s="1624"/>
      <c r="S70" s="1624"/>
      <c r="T70" s="1624"/>
    </row>
    <row r="71" spans="1:20" ht="132" customHeight="1">
      <c r="A71" s="67" t="s">
        <v>44</v>
      </c>
      <c r="B71" s="1631"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136"/>
      <c r="B72" s="2136" t="s">
        <v>574</v>
      </c>
      <c r="C72" s="73">
        <v>2014</v>
      </c>
      <c r="D72" s="124"/>
      <c r="E72" s="124"/>
      <c r="F72" s="124"/>
      <c r="G72" s="125">
        <v>0</v>
      </c>
      <c r="H72" s="33"/>
      <c r="I72" s="126"/>
      <c r="J72" s="102"/>
      <c r="K72" s="102"/>
      <c r="L72" s="102"/>
      <c r="M72" s="102"/>
      <c r="N72" s="102"/>
      <c r="O72" s="127"/>
    </row>
    <row r="73" spans="1:20">
      <c r="A73" s="2136"/>
      <c r="B73" s="2136"/>
      <c r="C73" s="74">
        <v>2015</v>
      </c>
      <c r="D73" s="128"/>
      <c r="E73" s="128"/>
      <c r="F73" s="128"/>
      <c r="G73" s="125">
        <v>0</v>
      </c>
      <c r="H73" s="40"/>
      <c r="I73" s="40"/>
      <c r="J73" s="41"/>
      <c r="K73" s="41"/>
      <c r="L73" s="41"/>
      <c r="M73" s="41"/>
      <c r="N73" s="41"/>
      <c r="O73" s="86"/>
    </row>
    <row r="74" spans="1:20">
      <c r="A74" s="2136"/>
      <c r="B74" s="2136"/>
      <c r="C74" s="74">
        <v>2016</v>
      </c>
      <c r="D74" s="128"/>
      <c r="E74" s="1633"/>
      <c r="F74" s="128"/>
      <c r="G74" s="125">
        <v>0</v>
      </c>
      <c r="H74" s="40"/>
      <c r="I74" s="40"/>
      <c r="J74" s="41"/>
      <c r="K74" s="41"/>
      <c r="L74" s="41"/>
      <c r="M74" s="41"/>
      <c r="N74" s="41"/>
      <c r="O74" s="86"/>
    </row>
    <row r="75" spans="1:20">
      <c r="A75" s="2136"/>
      <c r="B75" s="2136"/>
      <c r="C75" s="74">
        <v>2017</v>
      </c>
      <c r="D75" s="128"/>
      <c r="E75" s="128"/>
      <c r="F75" s="128"/>
      <c r="G75" s="125">
        <v>0</v>
      </c>
      <c r="H75" s="40"/>
      <c r="I75" s="40"/>
      <c r="J75" s="41"/>
      <c r="K75" s="41"/>
      <c r="L75" s="41"/>
      <c r="M75" s="41"/>
      <c r="N75" s="41"/>
      <c r="O75" s="86"/>
    </row>
    <row r="76" spans="1:20">
      <c r="A76" s="2136"/>
      <c r="B76" s="2136"/>
      <c r="C76" s="74">
        <v>2018</v>
      </c>
      <c r="D76" s="128"/>
      <c r="E76" s="128"/>
      <c r="F76" s="128"/>
      <c r="G76" s="125">
        <v>0</v>
      </c>
      <c r="H76" s="40"/>
      <c r="I76" s="40"/>
      <c r="J76" s="41"/>
      <c r="K76" s="41"/>
      <c r="L76" s="41"/>
      <c r="M76" s="41"/>
      <c r="N76" s="41"/>
      <c r="O76" s="86"/>
    </row>
    <row r="77" spans="1:20" ht="15.75" customHeight="1">
      <c r="A77" s="2136"/>
      <c r="B77" s="2136"/>
      <c r="C77" s="74">
        <v>2019</v>
      </c>
      <c r="D77" s="128"/>
      <c r="E77" s="128"/>
      <c r="F77" s="128"/>
      <c r="G77" s="125">
        <v>0</v>
      </c>
      <c r="H77" s="40"/>
      <c r="I77" s="40"/>
      <c r="J77" s="41"/>
      <c r="K77" s="41"/>
      <c r="L77" s="41"/>
      <c r="M77" s="41"/>
      <c r="N77" s="41"/>
      <c r="O77" s="86"/>
    </row>
    <row r="78" spans="1:20" ht="17.25" customHeight="1">
      <c r="A78" s="2136"/>
      <c r="B78" s="2136"/>
      <c r="C78" s="74">
        <v>2020</v>
      </c>
      <c r="D78" s="128"/>
      <c r="E78" s="128"/>
      <c r="F78" s="128"/>
      <c r="G78" s="125">
        <v>0</v>
      </c>
      <c r="H78" s="40"/>
      <c r="I78" s="40"/>
      <c r="J78" s="41"/>
      <c r="K78" s="41"/>
      <c r="L78" s="41"/>
      <c r="M78" s="41"/>
      <c r="N78" s="41"/>
      <c r="O78" s="86"/>
    </row>
    <row r="79" spans="1:20" ht="20.25" customHeight="1" thickBot="1">
      <c r="A79" s="2137"/>
      <c r="B79" s="2137"/>
      <c r="C79" s="129" t="s">
        <v>13</v>
      </c>
      <c r="D79" s="107">
        <v>0</v>
      </c>
      <c r="E79" s="107">
        <v>0</v>
      </c>
      <c r="F79" s="107">
        <v>0</v>
      </c>
      <c r="G79" s="130">
        <v>0</v>
      </c>
      <c r="H79" s="131">
        <v>0</v>
      </c>
      <c r="I79" s="132">
        <v>0</v>
      </c>
      <c r="J79" s="109">
        <v>0</v>
      </c>
      <c r="K79" s="109">
        <v>0</v>
      </c>
      <c r="L79" s="109">
        <v>0</v>
      </c>
      <c r="M79" s="109">
        <v>0</v>
      </c>
      <c r="N79" s="109">
        <v>0</v>
      </c>
      <c r="O79" s="110">
        <v>0</v>
      </c>
    </row>
    <row r="81" spans="1:16" ht="36.75" customHeight="1">
      <c r="A81" s="133"/>
      <c r="B81" s="112"/>
      <c r="C81" s="134"/>
      <c r="D81" s="135"/>
      <c r="E81" s="77"/>
      <c r="F81" s="77"/>
      <c r="G81" s="77"/>
      <c r="H81" s="77"/>
      <c r="I81" s="77"/>
      <c r="J81" s="77"/>
      <c r="K81" s="77"/>
    </row>
    <row r="82" spans="1:16" ht="28.5" customHeight="1">
      <c r="A82" s="1634" t="s">
        <v>49</v>
      </c>
      <c r="B82" s="136"/>
      <c r="C82" s="137"/>
      <c r="D82" s="137"/>
      <c r="E82" s="137"/>
      <c r="F82" s="137"/>
      <c r="G82" s="137"/>
      <c r="H82" s="137"/>
      <c r="I82" s="137"/>
      <c r="J82" s="137"/>
      <c r="K82" s="137"/>
      <c r="L82" s="138"/>
    </row>
    <row r="83" spans="1:16" ht="14.25" customHeight="1" thickBot="1">
      <c r="A83" s="1635"/>
      <c r="B83" s="139"/>
    </row>
    <row r="84" spans="1:16" s="1624" customFormat="1" ht="128.25" customHeight="1">
      <c r="A84" s="140" t="s">
        <v>50</v>
      </c>
      <c r="B84" s="1636" t="s">
        <v>51</v>
      </c>
      <c r="C84" s="142" t="s">
        <v>9</v>
      </c>
      <c r="D84" s="143" t="s">
        <v>52</v>
      </c>
      <c r="E84" s="144" t="s">
        <v>53</v>
      </c>
      <c r="F84" s="145" t="s">
        <v>54</v>
      </c>
      <c r="G84" s="145" t="s">
        <v>55</v>
      </c>
      <c r="H84" s="145" t="s">
        <v>56</v>
      </c>
      <c r="I84" s="145" t="s">
        <v>57</v>
      </c>
      <c r="J84" s="145" t="s">
        <v>58</v>
      </c>
      <c r="K84" s="146" t="s">
        <v>59</v>
      </c>
    </row>
    <row r="85" spans="1:16" ht="15" customHeight="1">
      <c r="A85" s="2038"/>
      <c r="B85" s="2149"/>
      <c r="C85" s="73">
        <v>2014</v>
      </c>
      <c r="D85" s="147"/>
      <c r="E85" s="148"/>
      <c r="F85" s="34"/>
      <c r="G85" s="34"/>
      <c r="H85" s="34"/>
      <c r="I85" s="34"/>
      <c r="J85" s="34"/>
      <c r="K85" s="37"/>
    </row>
    <row r="86" spans="1:16">
      <c r="A86" s="2150"/>
      <c r="B86" s="2149"/>
      <c r="C86" s="74">
        <v>2015</v>
      </c>
      <c r="D86" s="149"/>
      <c r="E86" s="105"/>
      <c r="F86" s="41"/>
      <c r="G86" s="41"/>
      <c r="H86" s="41"/>
      <c r="I86" s="41"/>
      <c r="J86" s="41"/>
      <c r="K86" s="86"/>
    </row>
    <row r="87" spans="1:16">
      <c r="A87" s="2150"/>
      <c r="B87" s="2149"/>
      <c r="C87" s="74">
        <v>2016</v>
      </c>
      <c r="D87" s="149"/>
      <c r="E87" s="105"/>
      <c r="F87" s="41"/>
      <c r="G87" s="41"/>
      <c r="H87" s="41"/>
      <c r="I87" s="41"/>
      <c r="J87" s="41"/>
      <c r="K87" s="86"/>
    </row>
    <row r="88" spans="1:16">
      <c r="A88" s="2150"/>
      <c r="B88" s="2149"/>
      <c r="C88" s="74">
        <v>2017</v>
      </c>
      <c r="D88" s="149"/>
      <c r="E88" s="105"/>
      <c r="F88" s="41"/>
      <c r="G88" s="41"/>
      <c r="H88" s="41"/>
      <c r="I88" s="41"/>
      <c r="J88" s="41"/>
      <c r="K88" s="86"/>
    </row>
    <row r="89" spans="1:16">
      <c r="A89" s="2150"/>
      <c r="B89" s="2149"/>
      <c r="C89" s="74">
        <v>2018</v>
      </c>
      <c r="D89" s="149"/>
      <c r="E89" s="105"/>
      <c r="F89" s="41"/>
      <c r="G89" s="41"/>
      <c r="H89" s="41"/>
      <c r="I89" s="41"/>
      <c r="J89" s="41"/>
      <c r="K89" s="86"/>
    </row>
    <row r="90" spans="1:16">
      <c r="A90" s="2150"/>
      <c r="B90" s="2149"/>
      <c r="C90" s="74">
        <v>2019</v>
      </c>
      <c r="D90" s="149"/>
      <c r="E90" s="105"/>
      <c r="F90" s="41"/>
      <c r="G90" s="41"/>
      <c r="H90" s="41"/>
      <c r="I90" s="41"/>
      <c r="J90" s="41"/>
      <c r="K90" s="86"/>
    </row>
    <row r="91" spans="1:16">
      <c r="A91" s="2150"/>
      <c r="B91" s="2149"/>
      <c r="C91" s="74">
        <v>2020</v>
      </c>
      <c r="D91" s="149"/>
      <c r="E91" s="105"/>
      <c r="F91" s="41"/>
      <c r="G91" s="41"/>
      <c r="H91" s="41"/>
      <c r="I91" s="41"/>
      <c r="J91" s="41"/>
      <c r="K91" s="86"/>
    </row>
    <row r="92" spans="1:16" ht="18" customHeight="1" thickBot="1">
      <c r="A92" s="2151"/>
      <c r="B92" s="2152"/>
      <c r="C92" s="129" t="s">
        <v>13</v>
      </c>
      <c r="D92" s="150">
        <v>0</v>
      </c>
      <c r="E92" s="108">
        <v>0</v>
      </c>
      <c r="F92" s="109">
        <v>0</v>
      </c>
      <c r="G92" s="109">
        <v>0</v>
      </c>
      <c r="H92" s="109">
        <v>0</v>
      </c>
      <c r="I92" s="109">
        <v>0</v>
      </c>
      <c r="J92" s="109">
        <v>0</v>
      </c>
      <c r="K92" s="110">
        <v>0</v>
      </c>
    </row>
    <row r="93" spans="1:16" ht="20.25" customHeight="1"/>
    <row r="94" spans="1:16" ht="21">
      <c r="A94" s="1637" t="s">
        <v>60</v>
      </c>
      <c r="B94" s="151"/>
      <c r="C94" s="152"/>
      <c r="D94" s="152"/>
      <c r="E94" s="152"/>
      <c r="F94" s="152"/>
      <c r="G94" s="152"/>
      <c r="H94" s="152"/>
      <c r="I94" s="152"/>
      <c r="J94" s="152"/>
      <c r="K94" s="152"/>
      <c r="L94" s="152"/>
      <c r="M94" s="152"/>
      <c r="N94" s="153"/>
      <c r="O94" s="153"/>
      <c r="P94" s="153"/>
    </row>
    <row r="95" spans="1:16" s="66" customFormat="1" ht="15" customHeight="1" thickBot="1">
      <c r="A95" s="1638"/>
      <c r="B95" s="154"/>
    </row>
    <row r="96" spans="1:16" ht="29.25" customHeight="1">
      <c r="A96" s="2145" t="s">
        <v>61</v>
      </c>
      <c r="B96" s="2146" t="s">
        <v>62</v>
      </c>
      <c r="C96" s="2148" t="s">
        <v>9</v>
      </c>
      <c r="D96" s="2050" t="s">
        <v>63</v>
      </c>
      <c r="E96" s="2051"/>
      <c r="F96" s="155" t="s">
        <v>64</v>
      </c>
      <c r="G96" s="156"/>
      <c r="H96" s="156"/>
      <c r="I96" s="156"/>
      <c r="J96" s="156"/>
      <c r="K96" s="156"/>
      <c r="L96" s="156"/>
      <c r="M96" s="157"/>
      <c r="N96" s="158"/>
      <c r="O96" s="158"/>
      <c r="P96" s="158"/>
    </row>
    <row r="97" spans="1:16" ht="100.5" customHeight="1">
      <c r="A97" s="2044"/>
      <c r="B97" s="2147"/>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575</v>
      </c>
      <c r="B98" s="2149"/>
      <c r="C98" s="99">
        <v>2014</v>
      </c>
      <c r="D98" s="33"/>
      <c r="E98" s="34"/>
      <c r="F98" s="167"/>
      <c r="G98" s="168"/>
      <c r="H98" s="168"/>
      <c r="I98" s="168"/>
      <c r="J98" s="168"/>
      <c r="K98" s="168"/>
      <c r="L98" s="168"/>
      <c r="M98" s="169"/>
      <c r="N98" s="158"/>
      <c r="O98" s="158"/>
      <c r="P98" s="158"/>
    </row>
    <row r="99" spans="1:16" ht="16.5" customHeight="1">
      <c r="A99" s="2150"/>
      <c r="B99" s="2149"/>
      <c r="C99" s="103">
        <v>2015</v>
      </c>
      <c r="D99" s="40"/>
      <c r="E99" s="41"/>
      <c r="F99" s="170"/>
      <c r="G99" s="171"/>
      <c r="H99" s="171"/>
      <c r="I99" s="171"/>
      <c r="J99" s="171"/>
      <c r="K99" s="171"/>
      <c r="L99" s="171"/>
      <c r="M99" s="172"/>
      <c r="N99" s="158"/>
      <c r="O99" s="158"/>
      <c r="P99" s="158"/>
    </row>
    <row r="100" spans="1:16" ht="16.5" customHeight="1">
      <c r="A100" s="2150"/>
      <c r="B100" s="2149"/>
      <c r="C100" s="103">
        <v>2016</v>
      </c>
      <c r="D100" s="40">
        <v>1</v>
      </c>
      <c r="E100" s="41">
        <v>3</v>
      </c>
      <c r="F100" s="170"/>
      <c r="G100" s="171"/>
      <c r="H100" s="171"/>
      <c r="I100" s="171"/>
      <c r="J100" s="171"/>
      <c r="K100" s="171"/>
      <c r="L100" s="171"/>
      <c r="M100" s="172">
        <v>1</v>
      </c>
      <c r="N100" s="158"/>
      <c r="O100" s="158"/>
      <c r="P100" s="158"/>
    </row>
    <row r="101" spans="1:16" ht="16.5" customHeight="1">
      <c r="A101" s="2150"/>
      <c r="B101" s="2149"/>
      <c r="C101" s="103">
        <v>2017</v>
      </c>
      <c r="D101" s="40">
        <v>1</v>
      </c>
      <c r="E101" s="41">
        <v>5</v>
      </c>
      <c r="F101" s="170"/>
      <c r="G101" s="171"/>
      <c r="H101" s="171"/>
      <c r="I101" s="171"/>
      <c r="J101" s="171"/>
      <c r="K101" s="171"/>
      <c r="L101" s="171"/>
      <c r="M101" s="172">
        <v>1</v>
      </c>
      <c r="N101" s="158"/>
      <c r="O101" s="158"/>
      <c r="P101" s="158"/>
    </row>
    <row r="102" spans="1:16" ht="15.75" customHeight="1">
      <c r="A102" s="2150"/>
      <c r="B102" s="2149"/>
      <c r="C102" s="103">
        <v>2018</v>
      </c>
      <c r="D102" s="40"/>
      <c r="E102" s="41"/>
      <c r="F102" s="170"/>
      <c r="G102" s="171"/>
      <c r="H102" s="171"/>
      <c r="I102" s="171"/>
      <c r="J102" s="171"/>
      <c r="K102" s="171"/>
      <c r="L102" s="171"/>
      <c r="M102" s="172"/>
      <c r="N102" s="158"/>
      <c r="O102" s="158"/>
      <c r="P102" s="158"/>
    </row>
    <row r="103" spans="1:16" ht="14.25" customHeight="1">
      <c r="A103" s="2150"/>
      <c r="B103" s="2149"/>
      <c r="C103" s="103">
        <v>2019</v>
      </c>
      <c r="D103" s="40"/>
      <c r="E103" s="41"/>
      <c r="F103" s="170"/>
      <c r="G103" s="171"/>
      <c r="H103" s="171"/>
      <c r="I103" s="171"/>
      <c r="J103" s="171"/>
      <c r="K103" s="171"/>
      <c r="L103" s="171"/>
      <c r="M103" s="172"/>
      <c r="N103" s="158"/>
      <c r="O103" s="158"/>
      <c r="P103" s="158"/>
    </row>
    <row r="104" spans="1:16" ht="14.25" customHeight="1">
      <c r="A104" s="2150"/>
      <c r="B104" s="2149"/>
      <c r="C104" s="103">
        <v>2020</v>
      </c>
      <c r="D104" s="40"/>
      <c r="E104" s="41"/>
      <c r="F104" s="170"/>
      <c r="G104" s="171"/>
      <c r="H104" s="171"/>
      <c r="I104" s="171"/>
      <c r="J104" s="171"/>
      <c r="K104" s="171"/>
      <c r="L104" s="171"/>
      <c r="M104" s="172"/>
      <c r="N104" s="158"/>
      <c r="O104" s="158"/>
      <c r="P104" s="158"/>
    </row>
    <row r="105" spans="1:16" ht="19.5" customHeight="1" thickBot="1">
      <c r="A105" s="2151"/>
      <c r="B105" s="2152"/>
      <c r="C105" s="106" t="s">
        <v>13</v>
      </c>
      <c r="D105" s="132">
        <v>2</v>
      </c>
      <c r="E105" s="109">
        <v>8</v>
      </c>
      <c r="F105" s="173">
        <v>0</v>
      </c>
      <c r="G105" s="174">
        <v>0</v>
      </c>
      <c r="H105" s="174">
        <v>0</v>
      </c>
      <c r="I105" s="174">
        <v>0</v>
      </c>
      <c r="J105" s="174">
        <v>0</v>
      </c>
      <c r="K105" s="174">
        <v>0</v>
      </c>
      <c r="L105" s="174">
        <v>0</v>
      </c>
      <c r="M105" s="175">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145" t="s">
        <v>69</v>
      </c>
      <c r="B107" s="2146" t="s">
        <v>62</v>
      </c>
      <c r="C107" s="2148" t="s">
        <v>9</v>
      </c>
      <c r="D107" s="2060" t="s">
        <v>70</v>
      </c>
      <c r="E107" s="155" t="s">
        <v>71</v>
      </c>
      <c r="F107" s="156"/>
      <c r="G107" s="156"/>
      <c r="H107" s="156"/>
      <c r="I107" s="156"/>
      <c r="J107" s="156"/>
      <c r="K107" s="156"/>
      <c r="L107" s="157"/>
      <c r="M107" s="178"/>
      <c r="N107" s="178"/>
    </row>
    <row r="108" spans="1:16" ht="103.5" customHeight="1">
      <c r="A108" s="2044"/>
      <c r="B108" s="2147"/>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149"/>
      <c r="C109" s="99">
        <v>2014</v>
      </c>
      <c r="D109" s="34"/>
      <c r="E109" s="167"/>
      <c r="F109" s="168"/>
      <c r="G109" s="168"/>
      <c r="H109" s="168"/>
      <c r="I109" s="168"/>
      <c r="J109" s="168"/>
      <c r="K109" s="168"/>
      <c r="L109" s="169"/>
      <c r="M109" s="178"/>
      <c r="N109" s="178"/>
    </row>
    <row r="110" spans="1:16">
      <c r="A110" s="2150"/>
      <c r="B110" s="2149"/>
      <c r="C110" s="103">
        <v>2015</v>
      </c>
      <c r="D110" s="41"/>
      <c r="E110" s="170"/>
      <c r="F110" s="171"/>
      <c r="G110" s="171"/>
      <c r="H110" s="171"/>
      <c r="I110" s="171"/>
      <c r="J110" s="171"/>
      <c r="K110" s="171"/>
      <c r="L110" s="172"/>
      <c r="M110" s="178"/>
      <c r="N110" s="178"/>
    </row>
    <row r="111" spans="1:16">
      <c r="A111" s="2150"/>
      <c r="B111" s="2149"/>
      <c r="C111" s="103">
        <v>2016</v>
      </c>
      <c r="D111" s="41"/>
      <c r="E111" s="170"/>
      <c r="F111" s="171"/>
      <c r="G111" s="171"/>
      <c r="H111" s="171"/>
      <c r="I111" s="171"/>
      <c r="J111" s="171"/>
      <c r="K111" s="171"/>
      <c r="L111" s="172"/>
      <c r="M111" s="178"/>
      <c r="N111" s="178"/>
    </row>
    <row r="112" spans="1:16">
      <c r="A112" s="2150"/>
      <c r="B112" s="2149"/>
      <c r="C112" s="103">
        <v>2017</v>
      </c>
      <c r="D112" s="41"/>
      <c r="E112" s="170"/>
      <c r="F112" s="171"/>
      <c r="G112" s="171"/>
      <c r="H112" s="171"/>
      <c r="I112" s="171"/>
      <c r="J112" s="171"/>
      <c r="K112" s="171"/>
      <c r="L112" s="172"/>
      <c r="M112" s="178"/>
      <c r="N112" s="178"/>
    </row>
    <row r="113" spans="1:14">
      <c r="A113" s="2150"/>
      <c r="B113" s="2149"/>
      <c r="C113" s="103">
        <v>2018</v>
      </c>
      <c r="D113" s="41"/>
      <c r="E113" s="170"/>
      <c r="F113" s="171"/>
      <c r="G113" s="171"/>
      <c r="H113" s="171"/>
      <c r="I113" s="171"/>
      <c r="J113" s="171"/>
      <c r="K113" s="171"/>
      <c r="L113" s="172"/>
      <c r="M113" s="178"/>
      <c r="N113" s="178"/>
    </row>
    <row r="114" spans="1:14">
      <c r="A114" s="2150"/>
      <c r="B114" s="2149"/>
      <c r="C114" s="103">
        <v>2019</v>
      </c>
      <c r="D114" s="41"/>
      <c r="E114" s="170"/>
      <c r="F114" s="171"/>
      <c r="G114" s="171"/>
      <c r="H114" s="171"/>
      <c r="I114" s="171"/>
      <c r="J114" s="171"/>
      <c r="K114" s="171"/>
      <c r="L114" s="172"/>
      <c r="M114" s="178"/>
      <c r="N114" s="178"/>
    </row>
    <row r="115" spans="1:14">
      <c r="A115" s="2150"/>
      <c r="B115" s="2149"/>
      <c r="C115" s="103">
        <v>2020</v>
      </c>
      <c r="D115" s="41"/>
      <c r="E115" s="170"/>
      <c r="F115" s="171"/>
      <c r="G115" s="171"/>
      <c r="H115" s="171"/>
      <c r="I115" s="171"/>
      <c r="J115" s="171"/>
      <c r="K115" s="171"/>
      <c r="L115" s="172"/>
      <c r="M115" s="178"/>
      <c r="N115" s="178"/>
    </row>
    <row r="116" spans="1:14" ht="25.5" customHeight="1" thickBot="1">
      <c r="A116" s="2151"/>
      <c r="B116" s="2152"/>
      <c r="C116" s="106" t="s">
        <v>13</v>
      </c>
      <c r="D116" s="109">
        <v>0</v>
      </c>
      <c r="E116" s="173">
        <v>0</v>
      </c>
      <c r="F116" s="174">
        <v>0</v>
      </c>
      <c r="G116" s="174">
        <v>0</v>
      </c>
      <c r="H116" s="174">
        <v>0</v>
      </c>
      <c r="I116" s="174">
        <v>0</v>
      </c>
      <c r="J116" s="174"/>
      <c r="K116" s="174">
        <v>0</v>
      </c>
      <c r="L116" s="175">
        <v>0</v>
      </c>
      <c r="M116" s="178"/>
      <c r="N116" s="178"/>
    </row>
    <row r="117" spans="1:14" ht="21.75" thickBot="1">
      <c r="A117" s="1639"/>
      <c r="B117" s="180"/>
      <c r="C117" s="66"/>
      <c r="D117" s="66"/>
      <c r="E117" s="66"/>
      <c r="F117" s="66"/>
      <c r="G117" s="66"/>
      <c r="H117" s="66"/>
      <c r="I117" s="66"/>
      <c r="J117" s="66"/>
      <c r="K117" s="66"/>
      <c r="L117" s="66"/>
      <c r="M117" s="178"/>
      <c r="N117" s="178"/>
    </row>
    <row r="118" spans="1:14" ht="15" customHeight="1">
      <c r="A118" s="2145" t="s">
        <v>72</v>
      </c>
      <c r="B118" s="2146" t="s">
        <v>62</v>
      </c>
      <c r="C118" s="2148" t="s">
        <v>9</v>
      </c>
      <c r="D118" s="2060" t="s">
        <v>73</v>
      </c>
      <c r="E118" s="155" t="s">
        <v>71</v>
      </c>
      <c r="F118" s="156"/>
      <c r="G118" s="156"/>
      <c r="H118" s="156"/>
      <c r="I118" s="156"/>
      <c r="J118" s="156"/>
      <c r="K118" s="156"/>
      <c r="L118" s="157"/>
      <c r="M118" s="178"/>
      <c r="N118" s="178"/>
    </row>
    <row r="119" spans="1:14" ht="120.75" customHeight="1">
      <c r="A119" s="2044"/>
      <c r="B119" s="2147"/>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149"/>
      <c r="C120" s="99">
        <v>2014</v>
      </c>
      <c r="D120" s="34"/>
      <c r="E120" s="167"/>
      <c r="F120" s="168"/>
      <c r="G120" s="168"/>
      <c r="H120" s="168"/>
      <c r="I120" s="168"/>
      <c r="J120" s="168"/>
      <c r="K120" s="168"/>
      <c r="L120" s="169"/>
      <c r="M120" s="178"/>
      <c r="N120" s="178"/>
    </row>
    <row r="121" spans="1:14">
      <c r="A121" s="2150"/>
      <c r="B121" s="2149"/>
      <c r="C121" s="103">
        <v>2015</v>
      </c>
      <c r="D121" s="41"/>
      <c r="E121" s="170"/>
      <c r="F121" s="171"/>
      <c r="G121" s="171"/>
      <c r="H121" s="171"/>
      <c r="I121" s="171"/>
      <c r="J121" s="171"/>
      <c r="K121" s="171"/>
      <c r="L121" s="172"/>
      <c r="M121" s="178"/>
      <c r="N121" s="178"/>
    </row>
    <row r="122" spans="1:14">
      <c r="A122" s="2150"/>
      <c r="B122" s="2149"/>
      <c r="C122" s="103">
        <v>2016</v>
      </c>
      <c r="D122" s="41"/>
      <c r="E122" s="170"/>
      <c r="F122" s="171"/>
      <c r="G122" s="171"/>
      <c r="H122" s="171"/>
      <c r="I122" s="171"/>
      <c r="J122" s="171"/>
      <c r="K122" s="171"/>
      <c r="L122" s="172"/>
      <c r="M122" s="178"/>
      <c r="N122" s="178"/>
    </row>
    <row r="123" spans="1:14">
      <c r="A123" s="2150"/>
      <c r="B123" s="2149"/>
      <c r="C123" s="103">
        <v>2017</v>
      </c>
      <c r="D123" s="41"/>
      <c r="E123" s="170"/>
      <c r="F123" s="171"/>
      <c r="G123" s="171"/>
      <c r="H123" s="171"/>
      <c r="I123" s="171"/>
      <c r="J123" s="171"/>
      <c r="K123" s="171"/>
      <c r="L123" s="172"/>
      <c r="M123" s="178"/>
      <c r="N123" s="178"/>
    </row>
    <row r="124" spans="1:14">
      <c r="A124" s="2150"/>
      <c r="B124" s="2149"/>
      <c r="C124" s="103">
        <v>2018</v>
      </c>
      <c r="D124" s="41"/>
      <c r="E124" s="170"/>
      <c r="F124" s="171"/>
      <c r="G124" s="171"/>
      <c r="H124" s="171"/>
      <c r="I124" s="171"/>
      <c r="J124" s="171"/>
      <c r="K124" s="171"/>
      <c r="L124" s="172"/>
      <c r="M124" s="178"/>
      <c r="N124" s="178"/>
    </row>
    <row r="125" spans="1:14">
      <c r="A125" s="2150"/>
      <c r="B125" s="2149"/>
      <c r="C125" s="103">
        <v>2019</v>
      </c>
      <c r="D125" s="41"/>
      <c r="E125" s="170"/>
      <c r="F125" s="171"/>
      <c r="G125" s="171"/>
      <c r="H125" s="171"/>
      <c r="I125" s="171"/>
      <c r="J125" s="171"/>
      <c r="K125" s="171"/>
      <c r="L125" s="172"/>
      <c r="M125" s="178"/>
      <c r="N125" s="178"/>
    </row>
    <row r="126" spans="1:14">
      <c r="A126" s="2150"/>
      <c r="B126" s="2149"/>
      <c r="C126" s="103">
        <v>2020</v>
      </c>
      <c r="D126" s="41"/>
      <c r="E126" s="170"/>
      <c r="F126" s="171"/>
      <c r="G126" s="171"/>
      <c r="H126" s="171"/>
      <c r="I126" s="171"/>
      <c r="J126" s="171"/>
      <c r="K126" s="171"/>
      <c r="L126" s="172"/>
      <c r="M126" s="178"/>
      <c r="N126" s="178"/>
    </row>
    <row r="127" spans="1:14" ht="15.75" thickBot="1">
      <c r="A127" s="2151"/>
      <c r="B127" s="2152"/>
      <c r="C127" s="106" t="s">
        <v>13</v>
      </c>
      <c r="D127" s="109">
        <v>0</v>
      </c>
      <c r="E127" s="173">
        <v>0</v>
      </c>
      <c r="F127" s="174">
        <v>0</v>
      </c>
      <c r="G127" s="174">
        <v>0</v>
      </c>
      <c r="H127" s="174">
        <v>0</v>
      </c>
      <c r="I127" s="174">
        <v>0</v>
      </c>
      <c r="J127" s="174"/>
      <c r="K127" s="174">
        <v>0</v>
      </c>
      <c r="L127" s="175">
        <v>0</v>
      </c>
      <c r="M127" s="178"/>
      <c r="N127" s="178"/>
    </row>
    <row r="128" spans="1:14" ht="15.75" thickBot="1">
      <c r="A128" s="176"/>
      <c r="B128" s="176"/>
      <c r="C128" s="177"/>
      <c r="D128" s="8"/>
      <c r="E128" s="8"/>
      <c r="H128" s="178"/>
      <c r="I128" s="178"/>
      <c r="J128" s="178"/>
      <c r="K128" s="178"/>
      <c r="L128" s="178"/>
      <c r="M128" s="178"/>
      <c r="N128" s="178"/>
    </row>
    <row r="129" spans="1:16" ht="15" customHeight="1">
      <c r="A129" s="2145" t="s">
        <v>75</v>
      </c>
      <c r="B129" s="2146" t="s">
        <v>62</v>
      </c>
      <c r="C129" s="1640" t="s">
        <v>9</v>
      </c>
      <c r="D129" s="182" t="s">
        <v>76</v>
      </c>
      <c r="E129" s="183"/>
      <c r="F129" s="183"/>
      <c r="G129" s="184"/>
      <c r="H129" s="178"/>
      <c r="I129" s="178"/>
      <c r="J129" s="178"/>
      <c r="K129" s="178"/>
      <c r="L129" s="178"/>
      <c r="M129" s="178"/>
      <c r="N129" s="178"/>
    </row>
    <row r="130" spans="1:16" ht="77.25" customHeight="1">
      <c r="A130" s="2044"/>
      <c r="B130" s="2147"/>
      <c r="C130" s="1623"/>
      <c r="D130" s="159" t="s">
        <v>77</v>
      </c>
      <c r="E130" s="186" t="s">
        <v>78</v>
      </c>
      <c r="F130" s="160" t="s">
        <v>79</v>
      </c>
      <c r="G130" s="187" t="s">
        <v>13</v>
      </c>
      <c r="H130" s="178"/>
      <c r="I130" s="178"/>
      <c r="J130" s="178"/>
      <c r="K130" s="178"/>
      <c r="L130" s="178"/>
      <c r="M130" s="178"/>
      <c r="N130" s="178"/>
    </row>
    <row r="131" spans="1:16" ht="15" customHeight="1">
      <c r="A131" s="2153"/>
      <c r="B131" s="2153" t="s">
        <v>576</v>
      </c>
      <c r="C131" s="188">
        <v>2015</v>
      </c>
      <c r="D131" s="189"/>
      <c r="E131" s="190"/>
      <c r="F131" s="190"/>
      <c r="G131" s="191">
        <v>0</v>
      </c>
      <c r="H131" s="178"/>
      <c r="I131" s="178"/>
      <c r="J131" s="178"/>
      <c r="K131" s="178"/>
      <c r="L131" s="178"/>
      <c r="M131" s="178"/>
      <c r="N131" s="178"/>
    </row>
    <row r="132" spans="1:16">
      <c r="A132" s="2153"/>
      <c r="B132" s="2153"/>
      <c r="C132" s="103">
        <v>2016</v>
      </c>
      <c r="D132" s="40">
        <v>56</v>
      </c>
      <c r="E132" s="41"/>
      <c r="F132" s="41"/>
      <c r="G132" s="191">
        <v>56</v>
      </c>
      <c r="H132" s="178"/>
      <c r="I132" s="178"/>
      <c r="J132" s="178"/>
      <c r="K132" s="178"/>
      <c r="L132" s="178"/>
      <c r="M132" s="178"/>
      <c r="N132" s="178"/>
    </row>
    <row r="133" spans="1:16">
      <c r="A133" s="2153"/>
      <c r="B133" s="2153"/>
      <c r="C133" s="103">
        <v>2017</v>
      </c>
      <c r="D133" s="40">
        <v>62</v>
      </c>
      <c r="E133" s="41"/>
      <c r="F133" s="41"/>
      <c r="G133" s="191">
        <v>62</v>
      </c>
      <c r="H133" s="178"/>
      <c r="I133" s="178"/>
      <c r="J133" s="178"/>
      <c r="K133" s="178"/>
      <c r="L133" s="178"/>
      <c r="M133" s="178"/>
      <c r="N133" s="178"/>
    </row>
    <row r="134" spans="1:16">
      <c r="A134" s="2153"/>
      <c r="B134" s="2153"/>
      <c r="C134" s="103">
        <v>2018</v>
      </c>
      <c r="D134" s="40"/>
      <c r="E134" s="41"/>
      <c r="F134" s="41"/>
      <c r="G134" s="191">
        <v>0</v>
      </c>
      <c r="H134" s="178"/>
      <c r="I134" s="178"/>
      <c r="J134" s="178"/>
      <c r="K134" s="178"/>
      <c r="L134" s="178"/>
      <c r="M134" s="178"/>
      <c r="N134" s="178"/>
    </row>
    <row r="135" spans="1:16">
      <c r="A135" s="2153"/>
      <c r="B135" s="2153"/>
      <c r="C135" s="103">
        <v>2019</v>
      </c>
      <c r="D135" s="40"/>
      <c r="E135" s="41"/>
      <c r="F135" s="41"/>
      <c r="G135" s="191">
        <v>0</v>
      </c>
      <c r="H135" s="178"/>
      <c r="I135" s="178"/>
      <c r="J135" s="178"/>
      <c r="K135" s="178"/>
      <c r="L135" s="178"/>
      <c r="M135" s="178"/>
      <c r="N135" s="178"/>
    </row>
    <row r="136" spans="1:16">
      <c r="A136" s="2153"/>
      <c r="B136" s="2153"/>
      <c r="C136" s="103">
        <v>2020</v>
      </c>
      <c r="D136" s="40"/>
      <c r="E136" s="41"/>
      <c r="F136" s="41"/>
      <c r="G136" s="191">
        <v>0</v>
      </c>
      <c r="H136" s="178"/>
      <c r="I136" s="178"/>
      <c r="J136" s="178"/>
      <c r="K136" s="178"/>
      <c r="L136" s="178"/>
      <c r="M136" s="178"/>
      <c r="N136" s="178"/>
    </row>
    <row r="137" spans="1:16" ht="19.5" customHeight="1" thickBot="1">
      <c r="A137" s="2154"/>
      <c r="B137" s="2154"/>
      <c r="C137" s="106" t="s">
        <v>13</v>
      </c>
      <c r="D137" s="132">
        <v>118</v>
      </c>
      <c r="E137" s="132">
        <v>0</v>
      </c>
      <c r="F137" s="132">
        <v>0</v>
      </c>
      <c r="G137" s="192">
        <v>118</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641"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162" t="s">
        <v>81</v>
      </c>
      <c r="B142" s="2160" t="s">
        <v>62</v>
      </c>
      <c r="C142" s="2155" t="s">
        <v>9</v>
      </c>
      <c r="D142" s="1642" t="s">
        <v>82</v>
      </c>
      <c r="E142" s="1643"/>
      <c r="F142" s="1643"/>
      <c r="G142" s="1643"/>
      <c r="H142" s="1643"/>
      <c r="I142" s="1644"/>
      <c r="J142" s="2156" t="s">
        <v>83</v>
      </c>
      <c r="K142" s="2157"/>
      <c r="L142" s="2157"/>
      <c r="M142" s="2157"/>
      <c r="N142" s="215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149"/>
      <c r="C144" s="99">
        <v>2014</v>
      </c>
      <c r="D144" s="33"/>
      <c r="E144" s="33"/>
      <c r="F144" s="34"/>
      <c r="G144" s="168"/>
      <c r="H144" s="168"/>
      <c r="I144" s="210">
        <v>0</v>
      </c>
      <c r="J144" s="211"/>
      <c r="K144" s="212"/>
      <c r="L144" s="211"/>
      <c r="M144" s="212"/>
      <c r="N144" s="213"/>
      <c r="O144" s="158"/>
      <c r="P144" s="158"/>
    </row>
    <row r="145" spans="1:16" ht="19.5" customHeight="1">
      <c r="A145" s="2150"/>
      <c r="B145" s="2149"/>
      <c r="C145" s="103">
        <v>2015</v>
      </c>
      <c r="D145" s="40"/>
      <c r="E145" s="40"/>
      <c r="F145" s="41"/>
      <c r="G145" s="171"/>
      <c r="H145" s="171"/>
      <c r="I145" s="210">
        <v>0</v>
      </c>
      <c r="J145" s="214"/>
      <c r="K145" s="215"/>
      <c r="L145" s="214"/>
      <c r="M145" s="215"/>
      <c r="N145" s="216"/>
      <c r="O145" s="158"/>
      <c r="P145" s="158"/>
    </row>
    <row r="146" spans="1:16" ht="20.25" customHeight="1">
      <c r="A146" s="2150"/>
      <c r="B146" s="2149"/>
      <c r="C146" s="103">
        <v>2016</v>
      </c>
      <c r="D146" s="40"/>
      <c r="E146" s="40"/>
      <c r="F146" s="41"/>
      <c r="G146" s="171"/>
      <c r="H146" s="171"/>
      <c r="I146" s="210">
        <v>0</v>
      </c>
      <c r="J146" s="214"/>
      <c r="K146" s="215"/>
      <c r="L146" s="214"/>
      <c r="M146" s="215"/>
      <c r="N146" s="216"/>
      <c r="O146" s="158"/>
      <c r="P146" s="158"/>
    </row>
    <row r="147" spans="1:16" ht="17.25" customHeight="1">
      <c r="A147" s="2150"/>
      <c r="B147" s="2149"/>
      <c r="C147" s="103">
        <v>2017</v>
      </c>
      <c r="D147" s="40"/>
      <c r="E147" s="40"/>
      <c r="F147" s="41"/>
      <c r="G147" s="171"/>
      <c r="H147" s="171"/>
      <c r="I147" s="210">
        <v>0</v>
      </c>
      <c r="J147" s="214"/>
      <c r="K147" s="215"/>
      <c r="L147" s="214"/>
      <c r="M147" s="215"/>
      <c r="N147" s="216"/>
      <c r="O147" s="158"/>
      <c r="P147" s="158"/>
    </row>
    <row r="148" spans="1:16" ht="19.5" customHeight="1">
      <c r="A148" s="2150"/>
      <c r="B148" s="2149"/>
      <c r="C148" s="103">
        <v>2018</v>
      </c>
      <c r="D148" s="40"/>
      <c r="E148" s="40"/>
      <c r="F148" s="41"/>
      <c r="G148" s="171"/>
      <c r="H148" s="171"/>
      <c r="I148" s="210">
        <v>0</v>
      </c>
      <c r="J148" s="214"/>
      <c r="K148" s="215"/>
      <c r="L148" s="214"/>
      <c r="M148" s="215"/>
      <c r="N148" s="216"/>
      <c r="O148" s="158"/>
      <c r="P148" s="158"/>
    </row>
    <row r="149" spans="1:16" ht="19.5" customHeight="1">
      <c r="A149" s="2150"/>
      <c r="B149" s="2149"/>
      <c r="C149" s="103">
        <v>2019</v>
      </c>
      <c r="D149" s="40"/>
      <c r="E149" s="40"/>
      <c r="F149" s="41"/>
      <c r="G149" s="171"/>
      <c r="H149" s="171"/>
      <c r="I149" s="210">
        <v>0</v>
      </c>
      <c r="J149" s="214"/>
      <c r="K149" s="215"/>
      <c r="L149" s="214"/>
      <c r="M149" s="215"/>
      <c r="N149" s="216"/>
      <c r="O149" s="158"/>
      <c r="P149" s="158"/>
    </row>
    <row r="150" spans="1:16" ht="18.75" customHeight="1">
      <c r="A150" s="2150"/>
      <c r="B150" s="2149"/>
      <c r="C150" s="103">
        <v>2020</v>
      </c>
      <c r="D150" s="40"/>
      <c r="E150" s="40"/>
      <c r="F150" s="41"/>
      <c r="G150" s="171"/>
      <c r="H150" s="171"/>
      <c r="I150" s="210">
        <v>0</v>
      </c>
      <c r="J150" s="214"/>
      <c r="K150" s="215"/>
      <c r="L150" s="214"/>
      <c r="M150" s="215"/>
      <c r="N150" s="216"/>
      <c r="O150" s="158"/>
      <c r="P150" s="158"/>
    </row>
    <row r="151" spans="1:16" ht="18" customHeight="1" thickBot="1">
      <c r="A151" s="2151"/>
      <c r="B151" s="2152"/>
      <c r="C151" s="106" t="s">
        <v>13</v>
      </c>
      <c r="D151" s="132">
        <v>0</v>
      </c>
      <c r="E151" s="132">
        <v>0</v>
      </c>
      <c r="F151" s="132">
        <v>0</v>
      </c>
      <c r="G151" s="132">
        <v>0</v>
      </c>
      <c r="H151" s="132">
        <v>0</v>
      </c>
      <c r="I151" s="217">
        <v>0</v>
      </c>
      <c r="J151" s="218">
        <v>0</v>
      </c>
      <c r="K151" s="219">
        <v>0</v>
      </c>
      <c r="L151" s="218">
        <v>0</v>
      </c>
      <c r="M151" s="219">
        <v>0</v>
      </c>
      <c r="N151" s="220">
        <v>0</v>
      </c>
      <c r="O151" s="158"/>
      <c r="P151" s="158"/>
    </row>
    <row r="152" spans="1:16" ht="27" customHeight="1" thickBot="1">
      <c r="B152" s="221"/>
      <c r="O152" s="158"/>
      <c r="P152" s="158"/>
    </row>
    <row r="153" spans="1:16" ht="35.25" customHeight="1">
      <c r="A153" s="2159" t="s">
        <v>94</v>
      </c>
      <c r="B153" s="2160" t="s">
        <v>62</v>
      </c>
      <c r="C153" s="2161" t="s">
        <v>9</v>
      </c>
      <c r="D153" s="222" t="s">
        <v>95</v>
      </c>
      <c r="E153" s="222"/>
      <c r="F153" s="223"/>
      <c r="G153" s="223"/>
      <c r="H153" s="222" t="s">
        <v>96</v>
      </c>
      <c r="I153" s="222"/>
      <c r="J153" s="224"/>
      <c r="K153" s="1624"/>
      <c r="L153" s="1624"/>
      <c r="M153" s="1624"/>
      <c r="N153" s="1624"/>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1624"/>
      <c r="L154" s="1624"/>
      <c r="M154" s="1624"/>
      <c r="N154" s="1624"/>
      <c r="O154" s="158"/>
      <c r="P154" s="158"/>
    </row>
    <row r="155" spans="1:16" ht="18.75" customHeight="1">
      <c r="A155" s="2047"/>
      <c r="B155" s="2149"/>
      <c r="C155" s="230">
        <v>2014</v>
      </c>
      <c r="D155" s="211"/>
      <c r="E155" s="168"/>
      <c r="F155" s="212"/>
      <c r="G155" s="210">
        <v>0</v>
      </c>
      <c r="H155" s="211"/>
      <c r="I155" s="168"/>
      <c r="J155" s="169"/>
      <c r="O155" s="158"/>
      <c r="P155" s="158"/>
    </row>
    <row r="156" spans="1:16" ht="19.5" customHeight="1">
      <c r="A156" s="2150"/>
      <c r="B156" s="2149"/>
      <c r="C156" s="231">
        <v>2015</v>
      </c>
      <c r="D156" s="214"/>
      <c r="E156" s="171"/>
      <c r="F156" s="215"/>
      <c r="G156" s="210">
        <v>0</v>
      </c>
      <c r="H156" s="214"/>
      <c r="I156" s="171"/>
      <c r="J156" s="172"/>
      <c r="O156" s="158"/>
      <c r="P156" s="158"/>
    </row>
    <row r="157" spans="1:16" ht="17.25" customHeight="1">
      <c r="A157" s="2150"/>
      <c r="B157" s="2149"/>
      <c r="C157" s="231">
        <v>2016</v>
      </c>
      <c r="D157" s="214"/>
      <c r="E157" s="171"/>
      <c r="F157" s="215"/>
      <c r="G157" s="210">
        <v>0</v>
      </c>
      <c r="H157" s="214"/>
      <c r="I157" s="171"/>
      <c r="J157" s="172"/>
      <c r="O157" s="158"/>
      <c r="P157" s="158"/>
    </row>
    <row r="158" spans="1:16" ht="15" customHeight="1">
      <c r="A158" s="2150"/>
      <c r="B158" s="2149"/>
      <c r="C158" s="231">
        <v>2017</v>
      </c>
      <c r="D158" s="214"/>
      <c r="E158" s="171"/>
      <c r="F158" s="215"/>
      <c r="G158" s="210">
        <v>0</v>
      </c>
      <c r="H158" s="214"/>
      <c r="I158" s="171"/>
      <c r="J158" s="172"/>
      <c r="O158" s="158"/>
      <c r="P158" s="158"/>
    </row>
    <row r="159" spans="1:16" ht="19.5" customHeight="1">
      <c r="A159" s="2150"/>
      <c r="B159" s="2149"/>
      <c r="C159" s="231">
        <v>2018</v>
      </c>
      <c r="D159" s="214"/>
      <c r="E159" s="171"/>
      <c r="F159" s="215"/>
      <c r="G159" s="210">
        <v>0</v>
      </c>
      <c r="H159" s="214"/>
      <c r="I159" s="171"/>
      <c r="J159" s="172"/>
      <c r="O159" s="158"/>
      <c r="P159" s="158"/>
    </row>
    <row r="160" spans="1:16" ht="15" customHeight="1">
      <c r="A160" s="2150"/>
      <c r="B160" s="2149"/>
      <c r="C160" s="231">
        <v>2019</v>
      </c>
      <c r="D160" s="214"/>
      <c r="E160" s="171"/>
      <c r="F160" s="215"/>
      <c r="G160" s="210">
        <v>0</v>
      </c>
      <c r="H160" s="214"/>
      <c r="I160" s="171"/>
      <c r="J160" s="172"/>
      <c r="O160" s="158"/>
      <c r="P160" s="158"/>
    </row>
    <row r="161" spans="1:18" ht="17.25" customHeight="1">
      <c r="A161" s="2150"/>
      <c r="B161" s="2149"/>
      <c r="C161" s="231">
        <v>2020</v>
      </c>
      <c r="D161" s="214"/>
      <c r="E161" s="171"/>
      <c r="F161" s="215"/>
      <c r="G161" s="210">
        <v>0</v>
      </c>
      <c r="H161" s="214"/>
      <c r="I161" s="171"/>
      <c r="J161" s="172"/>
      <c r="O161" s="158"/>
      <c r="P161" s="158"/>
    </row>
    <row r="162" spans="1:18" ht="15.75" thickBot="1">
      <c r="A162" s="2151"/>
      <c r="B162" s="2152"/>
      <c r="C162" s="232" t="s">
        <v>13</v>
      </c>
      <c r="D162" s="218">
        <v>0</v>
      </c>
      <c r="E162" s="174">
        <v>0</v>
      </c>
      <c r="F162" s="219">
        <v>0</v>
      </c>
      <c r="G162" s="219">
        <v>0</v>
      </c>
      <c r="H162" s="218">
        <v>0</v>
      </c>
      <c r="I162" s="174">
        <v>0</v>
      </c>
      <c r="J162" s="233">
        <v>0</v>
      </c>
    </row>
    <row r="163" spans="1:18" ht="24.75" customHeight="1" thickBot="1">
      <c r="A163" s="234"/>
      <c r="B163" s="235"/>
      <c r="C163" s="236"/>
      <c r="D163" s="158"/>
      <c r="E163" s="237"/>
      <c r="F163" s="158"/>
      <c r="G163" s="158"/>
      <c r="H163" s="158"/>
      <c r="I163" s="158"/>
      <c r="J163" s="238"/>
      <c r="K163" s="1645"/>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163"/>
      <c r="C165" s="248">
        <v>2014</v>
      </c>
      <c r="D165" s="168"/>
      <c r="E165" s="168"/>
      <c r="F165" s="168"/>
      <c r="G165" s="168"/>
      <c r="H165" s="168"/>
      <c r="I165" s="169"/>
      <c r="J165" s="476">
        <v>0</v>
      </c>
      <c r="K165" s="250">
        <v>0</v>
      </c>
      <c r="L165" s="522"/>
    </row>
    <row r="166" spans="1:18">
      <c r="A166" s="2164"/>
      <c r="B166" s="2149"/>
      <c r="C166" s="251">
        <v>2015</v>
      </c>
      <c r="D166" s="252"/>
      <c r="E166" s="252"/>
      <c r="F166" s="252"/>
      <c r="G166" s="252"/>
      <c r="H166" s="252"/>
      <c r="I166" s="253"/>
      <c r="J166" s="477">
        <v>0</v>
      </c>
      <c r="K166" s="255">
        <v>0</v>
      </c>
      <c r="L166" s="522"/>
    </row>
    <row r="167" spans="1:18">
      <c r="A167" s="2164"/>
      <c r="B167" s="2149"/>
      <c r="C167" s="251">
        <v>2016</v>
      </c>
      <c r="D167" s="252"/>
      <c r="E167" s="252"/>
      <c r="F167" s="252"/>
      <c r="G167" s="252"/>
      <c r="H167" s="252"/>
      <c r="I167" s="253"/>
      <c r="J167" s="477">
        <v>0</v>
      </c>
      <c r="K167" s="255">
        <v>0</v>
      </c>
    </row>
    <row r="168" spans="1:18">
      <c r="A168" s="2164"/>
      <c r="B168" s="2149"/>
      <c r="C168" s="251">
        <v>2017</v>
      </c>
      <c r="D168" s="252"/>
      <c r="E168" s="158"/>
      <c r="F168" s="252"/>
      <c r="G168" s="252"/>
      <c r="H168" s="252"/>
      <c r="I168" s="253"/>
      <c r="J168" s="477">
        <v>0</v>
      </c>
      <c r="K168" s="255">
        <v>0</v>
      </c>
    </row>
    <row r="169" spans="1:18">
      <c r="A169" s="2164"/>
      <c r="B169" s="2149"/>
      <c r="C169" s="256">
        <v>2018</v>
      </c>
      <c r="D169" s="252"/>
      <c r="E169" s="252"/>
      <c r="F169" s="252"/>
      <c r="G169" s="257"/>
      <c r="H169" s="252"/>
      <c r="I169" s="253"/>
      <c r="J169" s="477">
        <v>0</v>
      </c>
      <c r="K169" s="255">
        <v>0</v>
      </c>
      <c r="L169" s="522"/>
    </row>
    <row r="170" spans="1:18">
      <c r="A170" s="2164"/>
      <c r="B170" s="2149"/>
      <c r="C170" s="251">
        <v>2019</v>
      </c>
      <c r="D170" s="158"/>
      <c r="E170" s="252"/>
      <c r="F170" s="252"/>
      <c r="G170" s="252"/>
      <c r="H170" s="257"/>
      <c r="I170" s="253"/>
      <c r="J170" s="477">
        <v>0</v>
      </c>
      <c r="K170" s="255">
        <v>0</v>
      </c>
      <c r="L170" s="522"/>
    </row>
    <row r="171" spans="1:18">
      <c r="A171" s="2164"/>
      <c r="B171" s="2149"/>
      <c r="C171" s="256">
        <v>2020</v>
      </c>
      <c r="D171" s="252"/>
      <c r="E171" s="252"/>
      <c r="F171" s="252"/>
      <c r="G171" s="252"/>
      <c r="H171" s="252"/>
      <c r="I171" s="253"/>
      <c r="J171" s="477">
        <v>0</v>
      </c>
      <c r="K171" s="255">
        <v>0</v>
      </c>
      <c r="L171" s="522"/>
    </row>
    <row r="172" spans="1:18" ht="41.25" customHeight="1" thickBot="1">
      <c r="A172" s="2165"/>
      <c r="B172" s="2152"/>
      <c r="C172" s="258" t="s">
        <v>13</v>
      </c>
      <c r="D172" s="174">
        <v>0</v>
      </c>
      <c r="E172" s="174">
        <v>0</v>
      </c>
      <c r="F172" s="174">
        <v>0</v>
      </c>
      <c r="G172" s="174">
        <v>0</v>
      </c>
      <c r="H172" s="174">
        <v>0</v>
      </c>
      <c r="I172" s="259">
        <v>0</v>
      </c>
      <c r="J172" s="260">
        <v>0</v>
      </c>
      <c r="K172" s="2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1646" t="s">
        <v>114</v>
      </c>
      <c r="B174" s="264"/>
      <c r="C174" s="265"/>
      <c r="D174" s="265"/>
      <c r="E174" s="265"/>
      <c r="F174" s="265"/>
      <c r="G174" s="265"/>
      <c r="H174" s="265"/>
      <c r="I174" s="265"/>
      <c r="J174" s="265"/>
      <c r="K174" s="265"/>
      <c r="L174" s="265"/>
      <c r="M174" s="265"/>
      <c r="N174" s="265"/>
      <c r="O174" s="265"/>
    </row>
    <row r="175" spans="1:18" ht="21.75" thickBot="1">
      <c r="A175" s="1647"/>
      <c r="B175" s="266"/>
    </row>
    <row r="176" spans="1:18" s="1624" customFormat="1" ht="22.5" customHeight="1" thickBot="1">
      <c r="A176" s="2166" t="s">
        <v>115</v>
      </c>
      <c r="B176" s="2167" t="s">
        <v>116</v>
      </c>
      <c r="C176" s="2168" t="s">
        <v>9</v>
      </c>
      <c r="D176" s="267" t="s">
        <v>117</v>
      </c>
      <c r="E176" s="268"/>
      <c r="F176" s="268"/>
      <c r="G176" s="269"/>
      <c r="H176" s="270"/>
      <c r="I176" s="2103" t="s">
        <v>118</v>
      </c>
      <c r="J176" s="2104"/>
      <c r="K176" s="2104"/>
      <c r="L176" s="2104"/>
      <c r="M176" s="2104"/>
      <c r="N176" s="2104"/>
      <c r="O176" s="2105"/>
    </row>
    <row r="177" spans="1:15" s="1624"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169" t="s">
        <v>577</v>
      </c>
      <c r="B178" s="2169" t="s">
        <v>578</v>
      </c>
      <c r="C178" s="99">
        <v>2014</v>
      </c>
      <c r="D178" s="33"/>
      <c r="E178" s="34"/>
      <c r="F178" s="34"/>
      <c r="G178" s="278">
        <v>0</v>
      </c>
      <c r="H178" s="148"/>
      <c r="I178" s="148"/>
      <c r="J178" s="34"/>
      <c r="K178" s="34"/>
      <c r="L178" s="34"/>
      <c r="M178" s="34"/>
      <c r="N178" s="34"/>
      <c r="O178" s="37"/>
    </row>
    <row r="179" spans="1:15">
      <c r="A179" s="2169"/>
      <c r="B179" s="2169"/>
      <c r="C179" s="103">
        <v>2015</v>
      </c>
      <c r="D179" s="40"/>
      <c r="E179" s="41"/>
      <c r="F179" s="41"/>
      <c r="G179" s="278">
        <v>0</v>
      </c>
      <c r="H179" s="279"/>
      <c r="I179" s="105"/>
      <c r="J179" s="41"/>
      <c r="K179" s="41"/>
      <c r="L179" s="41"/>
      <c r="M179" s="41"/>
      <c r="N179" s="41"/>
      <c r="O179" s="86"/>
    </row>
    <row r="180" spans="1:15">
      <c r="A180" s="2169"/>
      <c r="B180" s="2169"/>
      <c r="C180" s="103">
        <v>2016</v>
      </c>
      <c r="D180" s="40">
        <v>3</v>
      </c>
      <c r="E180" s="41"/>
      <c r="F180" s="41"/>
      <c r="G180" s="278">
        <v>3</v>
      </c>
      <c r="H180" s="279">
        <v>3</v>
      </c>
      <c r="I180" s="105"/>
      <c r="J180" s="41"/>
      <c r="K180" s="41"/>
      <c r="L180" s="41"/>
      <c r="M180" s="41">
        <v>3</v>
      </c>
      <c r="N180" s="41"/>
      <c r="O180" s="86"/>
    </row>
    <row r="181" spans="1:15">
      <c r="A181" s="2169"/>
      <c r="B181" s="2169"/>
      <c r="C181" s="103">
        <v>2017</v>
      </c>
      <c r="D181" s="40"/>
      <c r="E181" s="41"/>
      <c r="F181" s="41">
        <v>1</v>
      </c>
      <c r="G181" s="278">
        <v>1</v>
      </c>
      <c r="H181" s="279">
        <v>1</v>
      </c>
      <c r="I181" s="105"/>
      <c r="J181" s="41"/>
      <c r="K181" s="41"/>
      <c r="L181" s="41">
        <v>1</v>
      </c>
      <c r="M181" s="41"/>
      <c r="N181" s="41"/>
      <c r="O181" s="86"/>
    </row>
    <row r="182" spans="1:15">
      <c r="A182" s="2169"/>
      <c r="B182" s="2169"/>
      <c r="C182" s="103">
        <v>2018</v>
      </c>
      <c r="D182" s="40"/>
      <c r="E182" s="41"/>
      <c r="F182" s="41"/>
      <c r="G182" s="278">
        <v>0</v>
      </c>
      <c r="H182" s="279"/>
      <c r="I182" s="105"/>
      <c r="J182" s="41"/>
      <c r="K182" s="41"/>
      <c r="L182" s="41"/>
      <c r="M182" s="41"/>
      <c r="N182" s="41"/>
      <c r="O182" s="86"/>
    </row>
    <row r="183" spans="1:15">
      <c r="A183" s="2169"/>
      <c r="B183" s="2169"/>
      <c r="C183" s="103">
        <v>2019</v>
      </c>
      <c r="D183" s="40"/>
      <c r="E183" s="41"/>
      <c r="F183" s="41"/>
      <c r="G183" s="278">
        <v>0</v>
      </c>
      <c r="H183" s="279"/>
      <c r="I183" s="105"/>
      <c r="J183" s="41"/>
      <c r="K183" s="41"/>
      <c r="L183" s="41"/>
      <c r="M183" s="41"/>
      <c r="N183" s="41"/>
      <c r="O183" s="86"/>
    </row>
    <row r="184" spans="1:15">
      <c r="A184" s="2169"/>
      <c r="B184" s="2169"/>
      <c r="C184" s="103">
        <v>2020</v>
      </c>
      <c r="D184" s="40"/>
      <c r="E184" s="41"/>
      <c r="F184" s="41"/>
      <c r="G184" s="278">
        <v>0</v>
      </c>
      <c r="H184" s="279"/>
      <c r="I184" s="105"/>
      <c r="J184" s="41"/>
      <c r="K184" s="41"/>
      <c r="L184" s="41"/>
      <c r="M184" s="41"/>
      <c r="N184" s="41"/>
      <c r="O184" s="86"/>
    </row>
    <row r="185" spans="1:15" ht="45" customHeight="1" thickBot="1">
      <c r="A185" s="2170"/>
      <c r="B185" s="2170"/>
      <c r="C185" s="106" t="s">
        <v>13</v>
      </c>
      <c r="D185" s="132">
        <v>3</v>
      </c>
      <c r="E185" s="109">
        <v>0</v>
      </c>
      <c r="F185" s="109">
        <v>1</v>
      </c>
      <c r="G185" s="217">
        <v>4</v>
      </c>
      <c r="H185" s="280">
        <v>4</v>
      </c>
      <c r="I185" s="108">
        <v>0</v>
      </c>
      <c r="J185" s="109">
        <v>0</v>
      </c>
      <c r="K185" s="109">
        <v>0</v>
      </c>
      <c r="L185" s="109">
        <v>1</v>
      </c>
      <c r="M185" s="109">
        <f>SUM(M180)</f>
        <v>3</v>
      </c>
      <c r="N185" s="109">
        <v>0</v>
      </c>
      <c r="O185" s="110">
        <v>0</v>
      </c>
    </row>
    <row r="186" spans="1:15" ht="33" customHeight="1" thickBot="1"/>
    <row r="187" spans="1:15" ht="19.5" customHeight="1">
      <c r="A187" s="2109" t="s">
        <v>125</v>
      </c>
      <c r="B187" s="2167" t="s">
        <v>116</v>
      </c>
      <c r="C187" s="2089" t="s">
        <v>9</v>
      </c>
      <c r="D187" s="2085" t="s">
        <v>126</v>
      </c>
      <c r="E187" s="2086"/>
      <c r="F187" s="2086"/>
      <c r="G187" s="2087"/>
      <c r="H187" s="2088" t="s">
        <v>127</v>
      </c>
      <c r="I187" s="2089"/>
      <c r="J187" s="2089"/>
      <c r="K187" s="2089"/>
      <c r="L187" s="2090"/>
    </row>
    <row r="188" spans="1:15" ht="90" customHeight="1">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71" t="s">
        <v>579</v>
      </c>
      <c r="B189" s="2169" t="s">
        <v>580</v>
      </c>
      <c r="C189" s="285">
        <v>2014</v>
      </c>
      <c r="D189" s="126"/>
      <c r="E189" s="102"/>
      <c r="F189" s="102"/>
      <c r="G189" s="286">
        <v>0</v>
      </c>
      <c r="H189" s="101"/>
      <c r="I189" s="102"/>
      <c r="J189" s="102"/>
      <c r="K189" s="102"/>
      <c r="L189" s="127"/>
    </row>
    <row r="190" spans="1:15">
      <c r="A190" s="2171"/>
      <c r="B190" s="2169"/>
      <c r="C190" s="74">
        <v>2015</v>
      </c>
      <c r="D190" s="40"/>
      <c r="E190" s="41"/>
      <c r="F190" s="41"/>
      <c r="G190" s="286">
        <v>0</v>
      </c>
      <c r="H190" s="105"/>
      <c r="I190" s="41"/>
      <c r="J190" s="41"/>
      <c r="K190" s="41"/>
      <c r="L190" s="86"/>
    </row>
    <row r="191" spans="1:15">
      <c r="A191" s="2171"/>
      <c r="B191" s="2169"/>
      <c r="C191" s="74">
        <v>2016</v>
      </c>
      <c r="D191" s="40">
        <v>165</v>
      </c>
      <c r="E191" s="41"/>
      <c r="F191" s="41"/>
      <c r="G191" s="286">
        <v>165</v>
      </c>
      <c r="H191" s="105"/>
      <c r="I191" s="41">
        <v>142</v>
      </c>
      <c r="J191" s="41"/>
      <c r="K191" s="41"/>
      <c r="L191" s="86">
        <v>23</v>
      </c>
    </row>
    <row r="192" spans="1:15">
      <c r="A192" s="2171"/>
      <c r="B192" s="2169"/>
      <c r="C192" s="74">
        <v>2017</v>
      </c>
      <c r="D192" s="40">
        <v>62</v>
      </c>
      <c r="E192" s="41"/>
      <c r="F192" s="41"/>
      <c r="G192" s="286">
        <v>62</v>
      </c>
      <c r="H192" s="105"/>
      <c r="I192" s="41"/>
      <c r="J192" s="41"/>
      <c r="K192" s="41">
        <v>53</v>
      </c>
      <c r="L192" s="86">
        <v>9</v>
      </c>
    </row>
    <row r="193" spans="1:14">
      <c r="A193" s="2171"/>
      <c r="B193" s="2169"/>
      <c r="C193" s="74">
        <v>2018</v>
      </c>
      <c r="D193" s="40"/>
      <c r="E193" s="41"/>
      <c r="F193" s="41"/>
      <c r="G193" s="286">
        <v>0</v>
      </c>
      <c r="H193" s="105"/>
      <c r="I193" s="41"/>
      <c r="J193" s="41"/>
      <c r="K193" s="41"/>
      <c r="L193" s="86"/>
    </row>
    <row r="194" spans="1:14">
      <c r="A194" s="2171"/>
      <c r="B194" s="2169"/>
      <c r="C194" s="74">
        <v>2019</v>
      </c>
      <c r="D194" s="40"/>
      <c r="E194" s="41"/>
      <c r="F194" s="41"/>
      <c r="G194" s="286">
        <v>0</v>
      </c>
      <c r="H194" s="105"/>
      <c r="I194" s="41"/>
      <c r="J194" s="41"/>
      <c r="K194" s="41"/>
      <c r="L194" s="86"/>
    </row>
    <row r="195" spans="1:14">
      <c r="A195" s="2171"/>
      <c r="B195" s="2169"/>
      <c r="C195" s="74">
        <v>2020</v>
      </c>
      <c r="D195" s="40"/>
      <c r="E195" s="41"/>
      <c r="F195" s="41"/>
      <c r="G195" s="286">
        <v>0</v>
      </c>
      <c r="H195" s="105"/>
      <c r="I195" s="41"/>
      <c r="J195" s="41"/>
      <c r="K195" s="41"/>
      <c r="L195" s="86"/>
    </row>
    <row r="196" spans="1:14" ht="15.75" thickBot="1">
      <c r="A196" s="2172"/>
      <c r="B196" s="2170"/>
      <c r="C196" s="129" t="s">
        <v>13</v>
      </c>
      <c r="D196" s="132">
        <v>227</v>
      </c>
      <c r="E196" s="109">
        <v>0</v>
      </c>
      <c r="F196" s="109">
        <v>0</v>
      </c>
      <c r="G196" s="290">
        <v>227</v>
      </c>
      <c r="H196" s="108">
        <v>0</v>
      </c>
      <c r="I196" s="109">
        <v>142</v>
      </c>
      <c r="J196" s="109">
        <v>0</v>
      </c>
      <c r="K196" s="109">
        <v>53</v>
      </c>
      <c r="L196" s="110">
        <v>32</v>
      </c>
    </row>
    <row r="199" spans="1:14" ht="21">
      <c r="A199" s="961" t="s">
        <v>137</v>
      </c>
      <c r="B199" s="291"/>
      <c r="C199" s="292"/>
      <c r="D199" s="292"/>
      <c r="E199" s="292"/>
      <c r="F199" s="292"/>
      <c r="G199" s="292"/>
      <c r="H199" s="292"/>
      <c r="I199" s="292"/>
      <c r="J199" s="292"/>
      <c r="K199" s="292"/>
      <c r="L199" s="292"/>
      <c r="M199" s="66"/>
      <c r="N199" s="66"/>
    </row>
    <row r="200" spans="1:14" ht="10.5" customHeight="1" thickBot="1">
      <c r="A200" s="1648"/>
      <c r="B200" s="293"/>
      <c r="C200" s="292"/>
      <c r="D200" s="292"/>
      <c r="E200" s="292"/>
      <c r="F200" s="292"/>
      <c r="G200" s="292"/>
      <c r="H200" s="292"/>
      <c r="I200" s="292"/>
      <c r="J200" s="292"/>
      <c r="K200" s="292"/>
      <c r="L200" s="292"/>
    </row>
    <row r="201" spans="1:14" s="1624" customFormat="1" ht="101.25" customHeight="1">
      <c r="A201" s="294"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173"/>
      <c r="C209" s="129" t="s">
        <v>13</v>
      </c>
      <c r="D209" s="132">
        <v>0</v>
      </c>
      <c r="E209" s="132">
        <v>0</v>
      </c>
      <c r="F209" s="132">
        <v>0</v>
      </c>
      <c r="G209" s="132">
        <v>0</v>
      </c>
      <c r="H209" s="132">
        <v>0</v>
      </c>
      <c r="I209" s="132">
        <v>0</v>
      </c>
      <c r="J209" s="132">
        <v>0</v>
      </c>
      <c r="K209" s="132">
        <v>0</v>
      </c>
      <c r="L209" s="132">
        <v>0</v>
      </c>
    </row>
    <row r="211" spans="1:12" ht="15.75" thickBot="1"/>
    <row r="212" spans="1:12" ht="29.25">
      <c r="A212" s="316" t="s">
        <v>148</v>
      </c>
      <c r="B212" s="317" t="s">
        <v>149</v>
      </c>
      <c r="C212" s="318">
        <v>2014</v>
      </c>
      <c r="D212" s="319">
        <v>2015</v>
      </c>
      <c r="E212" s="319">
        <v>2016</v>
      </c>
      <c r="F212" s="319">
        <v>2017</v>
      </c>
      <c r="G212" s="319">
        <v>2018</v>
      </c>
      <c r="H212" s="319">
        <v>2019</v>
      </c>
      <c r="I212" s="320">
        <v>2020</v>
      </c>
    </row>
    <row r="213" spans="1:12" ht="15" customHeight="1">
      <c r="A213" s="8" t="s">
        <v>150</v>
      </c>
      <c r="B213" s="2174" t="s">
        <v>581</v>
      </c>
      <c r="C213" s="73"/>
      <c r="D213" s="455"/>
      <c r="E213" s="128">
        <v>1132917.3899999999</v>
      </c>
      <c r="F213" s="326">
        <v>4015</v>
      </c>
      <c r="G213" s="128"/>
      <c r="H213" s="128"/>
      <c r="I213" s="327"/>
    </row>
    <row r="214" spans="1:12">
      <c r="A214" s="8" t="s">
        <v>153</v>
      </c>
      <c r="B214" s="2169"/>
      <c r="C214" s="73"/>
      <c r="D214" s="326"/>
      <c r="E214" s="128">
        <v>1012700.4</v>
      </c>
      <c r="F214" s="326">
        <v>2400</v>
      </c>
      <c r="G214" s="128"/>
      <c r="H214" s="128"/>
      <c r="I214" s="327"/>
    </row>
    <row r="215" spans="1:12">
      <c r="A215" s="8" t="s">
        <v>155</v>
      </c>
      <c r="B215" s="2169"/>
      <c r="C215" s="73"/>
      <c r="D215" s="326"/>
      <c r="E215" s="455">
        <v>14546</v>
      </c>
      <c r="F215" s="326">
        <v>1615</v>
      </c>
      <c r="G215" s="128"/>
      <c r="H215" s="128"/>
      <c r="I215" s="327"/>
    </row>
    <row r="216" spans="1:12">
      <c r="A216" s="8" t="s">
        <v>157</v>
      </c>
      <c r="B216" s="2169"/>
      <c r="C216" s="73"/>
      <c r="D216" s="326"/>
      <c r="E216" s="128">
        <v>94314.99</v>
      </c>
      <c r="F216" s="326"/>
      <c r="G216" s="128"/>
      <c r="H216" s="128"/>
      <c r="I216" s="327"/>
    </row>
    <row r="217" spans="1:12">
      <c r="A217" s="8" t="s">
        <v>158</v>
      </c>
      <c r="B217" s="2169"/>
      <c r="C217" s="73"/>
      <c r="D217" s="326"/>
      <c r="E217" s="455">
        <v>11356</v>
      </c>
      <c r="F217" s="128"/>
      <c r="G217" s="128"/>
      <c r="H217" s="128"/>
      <c r="I217" s="327"/>
    </row>
    <row r="218" spans="1:12" ht="30">
      <c r="A218" s="19" t="s">
        <v>159</v>
      </c>
      <c r="B218" s="2169"/>
      <c r="C218" s="73"/>
      <c r="D218" s="1649"/>
      <c r="E218" s="1650">
        <v>368221.83</v>
      </c>
      <c r="F218" s="1651">
        <v>171747.33</v>
      </c>
      <c r="G218" s="128"/>
      <c r="H218" s="128"/>
      <c r="I218" s="327"/>
    </row>
    <row r="219" spans="1:12" ht="38.25" customHeight="1" thickBot="1">
      <c r="A219" s="1652"/>
      <c r="B219" s="2170"/>
      <c r="C219" s="45" t="s">
        <v>13</v>
      </c>
      <c r="D219" s="333"/>
      <c r="E219" s="333">
        <v>1501139.2200000002</v>
      </c>
      <c r="F219" s="333">
        <v>175762.33</v>
      </c>
      <c r="G219" s="333">
        <v>0</v>
      </c>
      <c r="H219" s="333">
        <v>0</v>
      </c>
      <c r="I219" s="333">
        <v>0</v>
      </c>
    </row>
    <row r="221" spans="1:12">
      <c r="A221" s="38" t="s">
        <v>582</v>
      </c>
    </row>
    <row r="222" spans="1:12">
      <c r="A222" s="38" t="s">
        <v>583</v>
      </c>
    </row>
    <row r="227" spans="1:5">
      <c r="A227" s="19"/>
      <c r="C227" s="474"/>
    </row>
    <row r="228" spans="1:5">
      <c r="C228" s="474"/>
    </row>
    <row r="231" spans="1:5">
      <c r="C231" s="474"/>
    </row>
    <row r="236" spans="1:5">
      <c r="E236" s="474"/>
    </row>
  </sheetData>
  <mergeCells count="63">
    <mergeCell ref="H187:L187"/>
    <mergeCell ref="A189:A196"/>
    <mergeCell ref="B189:B196"/>
    <mergeCell ref="A202:B209"/>
    <mergeCell ref="B213:B219"/>
    <mergeCell ref="D187:G187"/>
    <mergeCell ref="A178:A185"/>
    <mergeCell ref="B178:B185"/>
    <mergeCell ref="A187:A188"/>
    <mergeCell ref="B187:B188"/>
    <mergeCell ref="C187:C188"/>
    <mergeCell ref="I176:O176"/>
    <mergeCell ref="C142:C143"/>
    <mergeCell ref="J142:N142"/>
    <mergeCell ref="A144:B151"/>
    <mergeCell ref="A153:A154"/>
    <mergeCell ref="B153:B154"/>
    <mergeCell ref="C153:C154"/>
    <mergeCell ref="A142:A143"/>
    <mergeCell ref="B142:B143"/>
    <mergeCell ref="A155:B162"/>
    <mergeCell ref="A165:B172"/>
    <mergeCell ref="A176:A177"/>
    <mergeCell ref="B176:B177"/>
    <mergeCell ref="C176:C177"/>
    <mergeCell ref="A120:B127"/>
    <mergeCell ref="A129:A130"/>
    <mergeCell ref="B129:B130"/>
    <mergeCell ref="A131:A137"/>
    <mergeCell ref="B131:B137"/>
    <mergeCell ref="A118:A119"/>
    <mergeCell ref="B118:B119"/>
    <mergeCell ref="C118:C119"/>
    <mergeCell ref="D118:D119"/>
    <mergeCell ref="A85:B92"/>
    <mergeCell ref="A96:A97"/>
    <mergeCell ref="B96:B97"/>
    <mergeCell ref="C96:C97"/>
    <mergeCell ref="D96:E96"/>
    <mergeCell ref="A98:B105"/>
    <mergeCell ref="A107:A108"/>
    <mergeCell ref="B107:B108"/>
    <mergeCell ref="C107:C108"/>
    <mergeCell ref="D107:D108"/>
    <mergeCell ref="A109:B116"/>
    <mergeCell ref="A60:A61"/>
    <mergeCell ref="C60:C61"/>
    <mergeCell ref="D60:D61"/>
    <mergeCell ref="A62:B69"/>
    <mergeCell ref="A72:A79"/>
    <mergeCell ref="B72:B79"/>
    <mergeCell ref="A50:B58"/>
    <mergeCell ref="B1:F1"/>
    <mergeCell ref="F3:O3"/>
    <mergeCell ref="A4:O10"/>
    <mergeCell ref="D15:G15"/>
    <mergeCell ref="A17:A24"/>
    <mergeCell ref="B17:B24"/>
    <mergeCell ref="D26:G26"/>
    <mergeCell ref="A28:A35"/>
    <mergeCell ref="B28:B35"/>
    <mergeCell ref="A40:A47"/>
    <mergeCell ref="B40:B4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Y227"/>
  <sheetViews>
    <sheetView topLeftCell="A190" zoomScale="60" zoomScaleNormal="60" workbookViewId="0">
      <selection activeCell="F223" sqref="F22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23" customWidth="1"/>
    <col min="14" max="14" width="14" customWidth="1"/>
    <col min="15" max="15" width="13.5703125" customWidth="1"/>
    <col min="16" max="25" width="13.7109375" customWidth="1"/>
  </cols>
  <sheetData>
    <row r="1" spans="1:25" s="2" customFormat="1" ht="31.5">
      <c r="A1" s="1" t="s">
        <v>0</v>
      </c>
      <c r="B1" s="352" t="s">
        <v>235</v>
      </c>
      <c r="C1" s="353"/>
      <c r="D1" s="353"/>
      <c r="E1" s="353"/>
      <c r="F1" s="353"/>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t="s">
        <v>236</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5</v>
      </c>
      <c r="E19" s="41"/>
      <c r="F19" s="41"/>
      <c r="G19" s="35">
        <f t="shared" si="0"/>
        <v>5</v>
      </c>
      <c r="H19" s="42">
        <v>4</v>
      </c>
      <c r="I19" s="41">
        <v>1</v>
      </c>
      <c r="J19" s="41"/>
      <c r="K19" s="41"/>
      <c r="L19" s="41"/>
      <c r="M19" s="41"/>
      <c r="N19" s="41"/>
      <c r="O19" s="43"/>
      <c r="P19" s="38" t="s">
        <v>237</v>
      </c>
      <c r="Q19" s="38" t="s">
        <v>238</v>
      </c>
      <c r="R19" s="38"/>
      <c r="S19" s="38"/>
      <c r="T19" s="38"/>
      <c r="U19" s="38"/>
      <c r="V19" s="38"/>
      <c r="W19" s="38"/>
      <c r="X19" s="38"/>
      <c r="Y19" s="38"/>
    </row>
    <row r="20" spans="1:25">
      <c r="A20" s="2654"/>
      <c r="B20" s="2068"/>
      <c r="C20" s="39">
        <v>2017</v>
      </c>
      <c r="D20" s="457"/>
      <c r="E20" s="41"/>
      <c r="F20" s="41"/>
      <c r="G20" s="35">
        <f t="shared" si="0"/>
        <v>0</v>
      </c>
      <c r="H20" s="458"/>
      <c r="I20" s="459"/>
      <c r="J20" s="41"/>
      <c r="K20" s="41"/>
      <c r="L20" s="41"/>
      <c r="M20" s="41"/>
      <c r="N20" s="41"/>
      <c r="O20" s="43"/>
      <c r="P20" s="38" t="s">
        <v>239</v>
      </c>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5</v>
      </c>
      <c r="E24" s="47">
        <f>SUM(E17:E23)</f>
        <v>0</v>
      </c>
      <c r="F24" s="47">
        <f>SUM(F17:F23)</f>
        <v>0</v>
      </c>
      <c r="G24" s="48">
        <f>SUM(D24:F24)</f>
        <v>5</v>
      </c>
      <c r="H24" s="49">
        <f>SUM(H17:H23)</f>
        <v>4</v>
      </c>
      <c r="I24" s="50">
        <f>SUM(I17:I23)</f>
        <v>1</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t="s">
        <v>209</v>
      </c>
      <c r="I27" s="30"/>
      <c r="J27" s="30"/>
      <c r="K27" s="30"/>
      <c r="L27" s="30"/>
      <c r="M27" s="30"/>
      <c r="N27" s="30"/>
      <c r="O27" s="30"/>
      <c r="P27" s="30"/>
      <c r="Q27" s="19"/>
    </row>
    <row r="28" spans="1:25" ht="15" customHeight="1">
      <c r="A28" s="2674"/>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1"/>
      <c r="F29" s="41"/>
      <c r="G29" s="59">
        <f t="shared" ref="G29:G35" si="2">SUM(D29:F29)</f>
        <v>0</v>
      </c>
      <c r="H29" s="38"/>
      <c r="I29" s="38"/>
      <c r="J29" s="38"/>
      <c r="K29" s="38"/>
      <c r="L29" s="38"/>
      <c r="M29" s="38"/>
      <c r="N29" s="38"/>
      <c r="O29" s="38"/>
      <c r="P29" s="38"/>
      <c r="Q29" s="8"/>
    </row>
    <row r="30" spans="1:25">
      <c r="A30" s="2654"/>
      <c r="B30" s="2068"/>
      <c r="C30" s="60">
        <v>2016</v>
      </c>
      <c r="D30" s="42">
        <v>248</v>
      </c>
      <c r="E30" s="41"/>
      <c r="F30" s="41"/>
      <c r="G30" s="59">
        <f t="shared" si="2"/>
        <v>248</v>
      </c>
      <c r="H30" s="38"/>
      <c r="I30" s="38"/>
      <c r="J30" s="38"/>
      <c r="K30" s="38"/>
      <c r="L30" s="38"/>
      <c r="M30" s="38"/>
      <c r="N30" s="38"/>
      <c r="O30" s="38"/>
      <c r="P30" s="38"/>
      <c r="Q30" s="8"/>
    </row>
    <row r="31" spans="1:25">
      <c r="A31" s="2654"/>
      <c r="B31" s="2068"/>
      <c r="C31" s="60">
        <v>2017</v>
      </c>
      <c r="D31" s="42"/>
      <c r="E31" s="41"/>
      <c r="F31" s="41"/>
      <c r="G31" s="59">
        <f t="shared" si="2"/>
        <v>0</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248</v>
      </c>
      <c r="E35" s="47">
        <f>SUM(E28:E34)</f>
        <v>0</v>
      </c>
      <c r="F35" s="47">
        <f>SUM(F28:F34)</f>
        <v>0</v>
      </c>
      <c r="G35" s="51">
        <f t="shared" si="2"/>
        <v>248</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t="s">
        <v>240</v>
      </c>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40">
        <v>4251</v>
      </c>
      <c r="E42" s="39"/>
      <c r="F42" s="8"/>
      <c r="G42" s="38"/>
      <c r="H42" s="38"/>
    </row>
    <row r="43" spans="1:17">
      <c r="A43" s="2654"/>
      <c r="B43" s="2068"/>
      <c r="C43" s="74">
        <v>2017</v>
      </c>
      <c r="D43" s="40">
        <v>89</v>
      </c>
      <c r="E43" s="39"/>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4340</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t="s">
        <v>241</v>
      </c>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v>1</v>
      </c>
      <c r="E53" s="41"/>
      <c r="F53" s="41"/>
      <c r="G53" s="41">
        <v>2354</v>
      </c>
      <c r="H53" s="41"/>
      <c r="I53" s="41"/>
      <c r="J53" s="41">
        <v>24</v>
      </c>
      <c r="K53" s="86"/>
    </row>
    <row r="54" spans="1:15">
      <c r="A54" s="2674"/>
      <c r="B54" s="2026"/>
      <c r="C54" s="74">
        <v>2017</v>
      </c>
      <c r="D54" s="40">
        <v>1</v>
      </c>
      <c r="E54" s="41"/>
      <c r="F54" s="41"/>
      <c r="G54" s="41">
        <v>18</v>
      </c>
      <c r="H54" s="41"/>
      <c r="I54" s="41"/>
      <c r="J54" s="41">
        <v>2</v>
      </c>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2</v>
      </c>
      <c r="E58" s="47">
        <f>SUM(E51:E57)</f>
        <v>0</v>
      </c>
      <c r="F58" s="47">
        <f>SUM(F51:F57)</f>
        <v>0</v>
      </c>
      <c r="G58" s="47">
        <f>SUM(G51:G57)</f>
        <v>2372</v>
      </c>
      <c r="H58" s="47">
        <f>SUM(H51:H57)</f>
        <v>0</v>
      </c>
      <c r="I58" s="47">
        <f t="shared" ref="I58" si="3">SUM(I51:I57)</f>
        <v>0</v>
      </c>
      <c r="J58" s="47">
        <f>SUM(J51:J57)</f>
        <v>26</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t="s">
        <v>242</v>
      </c>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460">
        <v>2016</v>
      </c>
      <c r="D64" s="461">
        <v>5</v>
      </c>
      <c r="E64" s="462">
        <v>3</v>
      </c>
      <c r="F64" s="459">
        <v>2</v>
      </c>
      <c r="G64" s="459"/>
      <c r="H64" s="459"/>
      <c r="I64" s="459"/>
      <c r="J64" s="459"/>
      <c r="K64" s="459"/>
      <c r="L64" s="463"/>
      <c r="M64" s="8"/>
      <c r="N64" s="8"/>
      <c r="O64" s="8"/>
    </row>
    <row r="65" spans="1:20">
      <c r="A65" s="2659"/>
      <c r="B65" s="2039"/>
      <c r="C65" s="103">
        <v>2017</v>
      </c>
      <c r="D65" s="104"/>
      <c r="E65" s="105"/>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5</v>
      </c>
      <c r="E69" s="108">
        <f>SUM(E62:E68)</f>
        <v>3</v>
      </c>
      <c r="F69" s="109">
        <f t="shared" ref="F69:I69" si="4">SUM(F62:F68)</f>
        <v>2</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c r="E74" s="128"/>
      <c r="F74" s="128"/>
      <c r="G74" s="125">
        <f t="shared" si="5"/>
        <v>0</v>
      </c>
      <c r="H74" s="40"/>
      <c r="I74" s="40"/>
      <c r="J74" s="41"/>
      <c r="K74" s="41"/>
      <c r="L74" s="41"/>
      <c r="M74" s="41"/>
      <c r="N74" s="41"/>
      <c r="O74" s="86"/>
    </row>
    <row r="75" spans="1:20">
      <c r="A75" s="2654"/>
      <c r="B75" s="2039"/>
      <c r="C75" s="74">
        <v>2017</v>
      </c>
      <c r="D75" s="128"/>
      <c r="E75" s="128"/>
      <c r="F75" s="128"/>
      <c r="G75" s="125">
        <f t="shared" si="5"/>
        <v>0</v>
      </c>
      <c r="H75" s="40"/>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363" t="s">
        <v>9</v>
      </c>
      <c r="D129" s="182" t="s">
        <v>76</v>
      </c>
      <c r="E129" s="183"/>
      <c r="F129" s="183"/>
      <c r="G129" s="184"/>
      <c r="H129" s="178"/>
      <c r="I129" s="178"/>
      <c r="J129" s="178"/>
      <c r="K129" s="178"/>
      <c r="L129" s="178"/>
      <c r="M129" s="178"/>
      <c r="N129" s="178"/>
    </row>
    <row r="130" spans="1:16" ht="77.25" customHeight="1">
      <c r="A130" s="2044"/>
      <c r="B130" s="2046"/>
      <c r="C130" s="351"/>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59" t="s">
        <v>243</v>
      </c>
      <c r="B178" s="2039"/>
      <c r="C178" s="99">
        <v>2014</v>
      </c>
      <c r="D178" s="33"/>
      <c r="E178" s="34"/>
      <c r="F178" s="34"/>
      <c r="G178" s="278">
        <f>SUM(D178:F178)</f>
        <v>0</v>
      </c>
      <c r="H178" s="148"/>
      <c r="I178" s="148"/>
      <c r="J178" s="34"/>
      <c r="K178" s="34"/>
      <c r="L178" s="34"/>
      <c r="M178" s="34"/>
      <c r="N178" s="34"/>
      <c r="O178" s="37"/>
    </row>
    <row r="179" spans="1:15">
      <c r="A179" s="2659"/>
      <c r="B179" s="2039"/>
      <c r="C179" s="103">
        <v>2015</v>
      </c>
      <c r="D179" s="40"/>
      <c r="E179" s="41"/>
      <c r="F179" s="41"/>
      <c r="G179" s="278">
        <f t="shared" ref="G179:G184" si="19">SUM(D179:F179)</f>
        <v>0</v>
      </c>
      <c r="H179" s="279"/>
      <c r="I179" s="105"/>
      <c r="J179" s="41"/>
      <c r="K179" s="41"/>
      <c r="L179" s="41"/>
      <c r="M179" s="41"/>
      <c r="N179" s="41"/>
      <c r="O179" s="86"/>
    </row>
    <row r="180" spans="1:15">
      <c r="A180" s="2659"/>
      <c r="B180" s="2039"/>
      <c r="C180" s="103">
        <v>2016</v>
      </c>
      <c r="D180" s="40">
        <v>14</v>
      </c>
      <c r="E180" s="41">
        <v>3</v>
      </c>
      <c r="F180" s="41"/>
      <c r="G180" s="278">
        <f t="shared" si="19"/>
        <v>17</v>
      </c>
      <c r="H180" s="279">
        <v>23</v>
      </c>
      <c r="I180" s="105">
        <v>14</v>
      </c>
      <c r="J180" s="41">
        <v>3</v>
      </c>
      <c r="K180" s="41"/>
      <c r="L180" s="41"/>
      <c r="M180" s="41"/>
      <c r="N180" s="41"/>
      <c r="O180" s="86"/>
    </row>
    <row r="181" spans="1:15">
      <c r="A181" s="2659"/>
      <c r="B181" s="2039"/>
      <c r="C181" s="103">
        <v>2017</v>
      </c>
      <c r="D181" s="40"/>
      <c r="E181" s="41">
        <v>1</v>
      </c>
      <c r="F181" s="41"/>
      <c r="G181" s="278">
        <f t="shared" si="19"/>
        <v>1</v>
      </c>
      <c r="H181" s="279">
        <v>2</v>
      </c>
      <c r="I181" s="105">
        <v>1</v>
      </c>
      <c r="J181" s="41"/>
      <c r="K181" s="41"/>
      <c r="L181" s="41"/>
      <c r="M181" s="41"/>
      <c r="N181" s="41"/>
      <c r="O181" s="86"/>
    </row>
    <row r="182" spans="1:15">
      <c r="A182" s="2659"/>
      <c r="B182" s="2039"/>
      <c r="C182" s="103">
        <v>2018</v>
      </c>
      <c r="D182" s="40"/>
      <c r="E182" s="41"/>
      <c r="F182" s="41"/>
      <c r="G182" s="278">
        <f t="shared" si="19"/>
        <v>0</v>
      </c>
      <c r="H182" s="279"/>
      <c r="I182" s="105"/>
      <c r="J182" s="41"/>
      <c r="K182" s="41"/>
      <c r="L182" s="41"/>
      <c r="M182" s="41"/>
      <c r="N182" s="41"/>
      <c r="O182" s="86"/>
    </row>
    <row r="183" spans="1:15">
      <c r="A183" s="2659"/>
      <c r="B183" s="2039"/>
      <c r="C183" s="103">
        <v>2019</v>
      </c>
      <c r="D183" s="40"/>
      <c r="E183" s="41"/>
      <c r="F183" s="41"/>
      <c r="G183" s="278">
        <f t="shared" si="19"/>
        <v>0</v>
      </c>
      <c r="H183" s="279"/>
      <c r="I183" s="105"/>
      <c r="J183" s="41"/>
      <c r="K183" s="41"/>
      <c r="L183" s="41"/>
      <c r="M183" s="41"/>
      <c r="N183" s="41"/>
      <c r="O183" s="86"/>
    </row>
    <row r="184" spans="1:15">
      <c r="A184" s="2659"/>
      <c r="B184" s="2039"/>
      <c r="C184" s="103">
        <v>2020</v>
      </c>
      <c r="D184" s="40"/>
      <c r="E184" s="41"/>
      <c r="F184" s="41"/>
      <c r="G184" s="278">
        <f t="shared" si="19"/>
        <v>0</v>
      </c>
      <c r="H184" s="279"/>
      <c r="I184" s="105"/>
      <c r="J184" s="41"/>
      <c r="K184" s="41"/>
      <c r="L184" s="41"/>
      <c r="M184" s="41"/>
      <c r="N184" s="41"/>
      <c r="O184" s="86"/>
    </row>
    <row r="185" spans="1:15" ht="240" customHeight="1" thickBot="1">
      <c r="A185" s="2067"/>
      <c r="B185" s="2042"/>
      <c r="C185" s="106" t="s">
        <v>13</v>
      </c>
      <c r="D185" s="132">
        <f>SUM(D178:D184)</f>
        <v>14</v>
      </c>
      <c r="E185" s="109">
        <f>SUM(E178:E184)</f>
        <v>4</v>
      </c>
      <c r="F185" s="109">
        <f>SUM(F178:F184)</f>
        <v>0</v>
      </c>
      <c r="G185" s="217">
        <f t="shared" ref="G185:O185" si="20">SUM(G178:G184)</f>
        <v>18</v>
      </c>
      <c r="H185" s="280">
        <f t="shared" si="20"/>
        <v>25</v>
      </c>
      <c r="I185" s="108">
        <f t="shared" si="20"/>
        <v>15</v>
      </c>
      <c r="J185" s="109">
        <f t="shared" si="20"/>
        <v>3</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244</v>
      </c>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v>279</v>
      </c>
      <c r="E191" s="41">
        <v>60</v>
      </c>
      <c r="F191" s="41"/>
      <c r="G191" s="286">
        <f t="shared" si="21"/>
        <v>339</v>
      </c>
      <c r="H191" s="105"/>
      <c r="I191" s="41"/>
      <c r="J191" s="41">
        <v>185</v>
      </c>
      <c r="K191" s="41"/>
      <c r="L191" s="86">
        <v>154</v>
      </c>
    </row>
    <row r="192" spans="1:15">
      <c r="A192" s="2658"/>
      <c r="B192" s="2068"/>
      <c r="C192" s="74">
        <v>2017</v>
      </c>
      <c r="D192" s="40"/>
      <c r="E192" s="41">
        <v>25</v>
      </c>
      <c r="F192" s="41"/>
      <c r="G192" s="286">
        <f t="shared" si="21"/>
        <v>25</v>
      </c>
      <c r="H192" s="105"/>
      <c r="I192" s="41"/>
      <c r="J192" s="41">
        <v>11</v>
      </c>
      <c r="K192" s="41">
        <v>2</v>
      </c>
      <c r="L192" s="86">
        <v>12</v>
      </c>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279</v>
      </c>
      <c r="E196" s="109">
        <f t="shared" si="22"/>
        <v>85</v>
      </c>
      <c r="F196" s="109">
        <f t="shared" si="22"/>
        <v>0</v>
      </c>
      <c r="G196" s="290">
        <f t="shared" si="22"/>
        <v>364</v>
      </c>
      <c r="H196" s="108">
        <f t="shared" si="22"/>
        <v>0</v>
      </c>
      <c r="I196" s="109">
        <f t="shared" si="22"/>
        <v>0</v>
      </c>
      <c r="J196" s="109">
        <f t="shared" si="22"/>
        <v>196</v>
      </c>
      <c r="K196" s="109">
        <f t="shared" si="22"/>
        <v>2</v>
      </c>
      <c r="L196" s="110">
        <f t="shared" si="22"/>
        <v>166</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245</v>
      </c>
      <c r="C213" s="73"/>
      <c r="D213" s="128"/>
      <c r="E213" s="1499">
        <f>SUM(E214:E217)</f>
        <v>199206.83</v>
      </c>
      <c r="F213" s="1499">
        <f>SUM(F214:F217)</f>
        <v>17843.52</v>
      </c>
      <c r="G213" s="128"/>
      <c r="H213" s="128"/>
      <c r="I213" s="327"/>
    </row>
    <row r="214" spans="1:12">
      <c r="A214" t="s">
        <v>153</v>
      </c>
      <c r="B214" s="2171"/>
      <c r="C214" s="73"/>
      <c r="D214" s="464"/>
      <c r="E214" s="369">
        <v>33608.25</v>
      </c>
      <c r="F214" s="128">
        <v>0</v>
      </c>
      <c r="G214" s="128"/>
      <c r="H214" s="128"/>
      <c r="I214" s="327"/>
    </row>
    <row r="215" spans="1:12">
      <c r="A215" t="s">
        <v>155</v>
      </c>
      <c r="B215" s="2171"/>
      <c r="C215" s="73"/>
      <c r="D215" s="128"/>
      <c r="E215" s="369"/>
      <c r="F215" s="128">
        <v>0</v>
      </c>
      <c r="G215" s="128"/>
      <c r="H215" s="128"/>
      <c r="I215" s="327"/>
    </row>
    <row r="216" spans="1:12">
      <c r="A216" t="s">
        <v>157</v>
      </c>
      <c r="B216" s="2171"/>
      <c r="C216" s="73"/>
      <c r="D216" s="128"/>
      <c r="E216" s="369">
        <v>9243</v>
      </c>
      <c r="F216" s="128">
        <v>0</v>
      </c>
      <c r="G216" s="128"/>
      <c r="H216" s="128"/>
      <c r="I216" s="327"/>
    </row>
    <row r="217" spans="1:12">
      <c r="A217" t="s">
        <v>158</v>
      </c>
      <c r="B217" s="2171"/>
      <c r="C217" s="73"/>
      <c r="D217" s="128"/>
      <c r="E217" s="369">
        <v>156355.57999999999</v>
      </c>
      <c r="F217" s="128">
        <v>17843.52</v>
      </c>
      <c r="G217" s="128"/>
      <c r="H217" s="128"/>
      <c r="I217" s="327"/>
    </row>
    <row r="218" spans="1:12" ht="30">
      <c r="A218" s="31" t="s">
        <v>159</v>
      </c>
      <c r="B218" s="2171"/>
      <c r="C218" s="73"/>
      <c r="D218" s="128"/>
      <c r="E218" s="128">
        <v>98994.95</v>
      </c>
      <c r="F218" s="128">
        <v>30821.9</v>
      </c>
      <c r="G218" s="128"/>
      <c r="H218" s="128"/>
      <c r="I218" s="327"/>
    </row>
    <row r="219" spans="1:12" ht="15.75" thickBot="1">
      <c r="A219" s="349"/>
      <c r="B219" s="2172"/>
      <c r="C219" s="45" t="s">
        <v>13</v>
      </c>
      <c r="D219" s="465">
        <f>SUM(D214:D218)</f>
        <v>0</v>
      </c>
      <c r="E219" s="333">
        <f>SUM(E214:E218)</f>
        <v>298201.77999999997</v>
      </c>
      <c r="F219" s="333">
        <f t="shared" ref="F219:I219" si="24">SUM(F214:F218)</f>
        <v>48665.42</v>
      </c>
      <c r="G219" s="333">
        <f t="shared" si="24"/>
        <v>0</v>
      </c>
      <c r="H219" s="333">
        <f t="shared" si="24"/>
        <v>0</v>
      </c>
      <c r="I219" s="333">
        <f t="shared" si="24"/>
        <v>0</v>
      </c>
    </row>
    <row r="221" spans="1:12">
      <c r="A221" t="s">
        <v>246</v>
      </c>
    </row>
    <row r="223" spans="1:12">
      <c r="A223" t="s">
        <v>247</v>
      </c>
    </row>
    <row r="224" spans="1:12">
      <c r="A224" t="s">
        <v>248</v>
      </c>
    </row>
    <row r="227" spans="1:1">
      <c r="A227" s="31"/>
    </row>
  </sheetData>
  <mergeCells count="55">
    <mergeCell ref="A28:B35"/>
    <mergeCell ref="F3:O3"/>
    <mergeCell ref="A4:O10"/>
    <mergeCell ref="D15:G15"/>
    <mergeCell ref="A17:B24"/>
    <mergeCell ref="D26:G26"/>
    <mergeCell ref="C60:C61"/>
    <mergeCell ref="D60:D61"/>
    <mergeCell ref="A62:B69"/>
    <mergeCell ref="A72:B79"/>
    <mergeCell ref="A85:B92"/>
    <mergeCell ref="A120:B127"/>
    <mergeCell ref="A129:A130"/>
    <mergeCell ref="A40:B47"/>
    <mergeCell ref="A50:B58"/>
    <mergeCell ref="A60:A61"/>
    <mergeCell ref="A96:A97"/>
    <mergeCell ref="B96:B97"/>
    <mergeCell ref="A109:B116"/>
    <mergeCell ref="A107:A108"/>
    <mergeCell ref="A118:A119"/>
    <mergeCell ref="B118:B119"/>
    <mergeCell ref="B129:B130"/>
    <mergeCell ref="C118:C119"/>
    <mergeCell ref="B107:B108"/>
    <mergeCell ref="C96:C97"/>
    <mergeCell ref="D96:E96"/>
    <mergeCell ref="A98:B105"/>
    <mergeCell ref="C107:C108"/>
    <mergeCell ref="D107:D108"/>
    <mergeCell ref="D118:D119"/>
    <mergeCell ref="J142:N142"/>
    <mergeCell ref="A153:A154"/>
    <mergeCell ref="B153:B154"/>
    <mergeCell ref="C153:C154"/>
    <mergeCell ref="A144:B151"/>
    <mergeCell ref="B142:B143"/>
    <mergeCell ref="C142:C143"/>
    <mergeCell ref="A131:B137"/>
    <mergeCell ref="A142:A143"/>
    <mergeCell ref="A155:B162"/>
    <mergeCell ref="A165:B172"/>
    <mergeCell ref="A189:B196"/>
    <mergeCell ref="A202:B209"/>
    <mergeCell ref="B213:B219"/>
    <mergeCell ref="I176:O176"/>
    <mergeCell ref="A178:B185"/>
    <mergeCell ref="A187:A188"/>
    <mergeCell ref="B187:B188"/>
    <mergeCell ref="C187:C188"/>
    <mergeCell ref="D187:G187"/>
    <mergeCell ref="H187:L187"/>
    <mergeCell ref="A176:A177"/>
    <mergeCell ref="B176:B177"/>
    <mergeCell ref="C176:C177"/>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Y227"/>
  <sheetViews>
    <sheetView zoomScale="60" zoomScaleNormal="60" workbookViewId="0">
      <selection activeCell="J24" sqref="J2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249</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118" t="s">
        <v>250</v>
      </c>
      <c r="B17" s="2068"/>
      <c r="C17" s="32">
        <v>2014</v>
      </c>
      <c r="D17" s="33"/>
      <c r="E17" s="34"/>
      <c r="F17" s="34"/>
      <c r="G17" s="35">
        <v>0</v>
      </c>
      <c r="H17" s="36"/>
      <c r="I17" s="34"/>
      <c r="J17" s="34"/>
      <c r="K17" s="34"/>
      <c r="L17" s="34"/>
      <c r="M17" s="34"/>
      <c r="N17" s="34"/>
      <c r="O17" s="37"/>
      <c r="P17" s="38"/>
      <c r="Q17" s="38"/>
      <c r="R17" s="38"/>
      <c r="S17" s="38"/>
      <c r="T17" s="38"/>
      <c r="U17" s="38"/>
      <c r="V17" s="38"/>
      <c r="W17" s="38"/>
      <c r="X17" s="38"/>
      <c r="Y17" s="38"/>
    </row>
    <row r="18" spans="1:25">
      <c r="A18" s="2119"/>
      <c r="B18" s="2068"/>
      <c r="C18" s="39">
        <v>2015</v>
      </c>
      <c r="D18" s="40"/>
      <c r="E18" s="41"/>
      <c r="F18" s="41"/>
      <c r="G18" s="1973"/>
      <c r="H18" s="42"/>
      <c r="I18" s="41"/>
      <c r="J18" s="41"/>
      <c r="K18" s="41"/>
      <c r="L18" s="41"/>
      <c r="M18" s="41"/>
      <c r="N18" s="41"/>
      <c r="O18" s="43"/>
      <c r="P18" s="38"/>
      <c r="Q18" s="38"/>
      <c r="R18" s="38"/>
      <c r="S18" s="38"/>
      <c r="T18" s="38"/>
      <c r="U18" s="38"/>
      <c r="V18" s="38"/>
      <c r="W18" s="38"/>
      <c r="X18" s="38"/>
      <c r="Y18" s="38"/>
    </row>
    <row r="19" spans="1:25">
      <c r="A19" s="2119"/>
      <c r="B19" s="2068"/>
      <c r="C19" s="39">
        <v>2016</v>
      </c>
      <c r="D19" s="40">
        <v>5</v>
      </c>
      <c r="E19" s="41">
        <v>0</v>
      </c>
      <c r="F19" s="41">
        <v>0</v>
      </c>
      <c r="G19" s="35">
        <v>5</v>
      </c>
      <c r="H19" s="42">
        <v>5</v>
      </c>
      <c r="I19" s="41"/>
      <c r="J19" s="41"/>
      <c r="K19" s="41"/>
      <c r="L19" s="41"/>
      <c r="M19" s="41"/>
      <c r="N19" s="41"/>
      <c r="O19" s="43"/>
      <c r="P19" s="38"/>
      <c r="Q19" s="38"/>
      <c r="R19" s="38"/>
      <c r="S19" s="38"/>
      <c r="T19" s="38"/>
      <c r="U19" s="38"/>
      <c r="V19" s="38"/>
      <c r="W19" s="38"/>
      <c r="X19" s="38"/>
      <c r="Y19" s="38"/>
    </row>
    <row r="20" spans="1:25">
      <c r="A20" s="2119"/>
      <c r="B20" s="2068"/>
      <c r="C20" s="39">
        <v>2017</v>
      </c>
      <c r="D20" s="40">
        <v>6</v>
      </c>
      <c r="E20" s="41"/>
      <c r="F20" s="41"/>
      <c r="G20" s="35">
        <v>6</v>
      </c>
      <c r="H20" s="42">
        <v>6</v>
      </c>
      <c r="I20" s="41"/>
      <c r="J20" s="41"/>
      <c r="K20" s="41"/>
      <c r="L20" s="41"/>
      <c r="M20" s="41"/>
      <c r="N20" s="41"/>
      <c r="O20" s="43"/>
      <c r="P20" s="38"/>
      <c r="Q20" s="38"/>
      <c r="R20" s="38"/>
      <c r="S20" s="38"/>
      <c r="T20" s="38"/>
      <c r="U20" s="38"/>
      <c r="V20" s="38"/>
      <c r="W20" s="38"/>
      <c r="X20" s="38"/>
      <c r="Y20" s="38"/>
    </row>
    <row r="21" spans="1:25">
      <c r="A21" s="2119"/>
      <c r="B21" s="2068"/>
      <c r="C21" s="39">
        <v>2018</v>
      </c>
      <c r="D21" s="40"/>
      <c r="E21" s="41"/>
      <c r="F21" s="41"/>
      <c r="G21" s="35">
        <v>0</v>
      </c>
      <c r="H21" s="42"/>
      <c r="I21" s="41"/>
      <c r="J21" s="41"/>
      <c r="K21" s="41"/>
      <c r="L21" s="41"/>
      <c r="M21" s="41"/>
      <c r="N21" s="41"/>
      <c r="O21" s="43"/>
      <c r="P21" s="38"/>
      <c r="Q21" s="38"/>
      <c r="R21" s="38"/>
      <c r="S21" s="38"/>
      <c r="T21" s="38"/>
      <c r="U21" s="38"/>
      <c r="V21" s="38"/>
      <c r="W21" s="38"/>
      <c r="X21" s="38"/>
      <c r="Y21" s="38"/>
    </row>
    <row r="22" spans="1:25">
      <c r="A22" s="2119"/>
      <c r="B22" s="2068"/>
      <c r="C22" s="44">
        <v>2019</v>
      </c>
      <c r="D22" s="40"/>
      <c r="E22" s="41"/>
      <c r="F22" s="41"/>
      <c r="G22" s="35">
        <v>0</v>
      </c>
      <c r="H22" s="42"/>
      <c r="I22" s="41"/>
      <c r="J22" s="41"/>
      <c r="K22" s="41"/>
      <c r="L22" s="41"/>
      <c r="M22" s="41"/>
      <c r="N22" s="41"/>
      <c r="O22" s="43"/>
      <c r="P22" s="38"/>
      <c r="Q22" s="38"/>
      <c r="R22" s="38"/>
      <c r="S22" s="38"/>
      <c r="T22" s="38"/>
      <c r="U22" s="38"/>
      <c r="V22" s="38"/>
      <c r="W22" s="38"/>
      <c r="X22" s="38"/>
      <c r="Y22" s="38"/>
    </row>
    <row r="23" spans="1:25">
      <c r="A23" s="2119"/>
      <c r="B23" s="2068"/>
      <c r="C23" s="39">
        <v>2020</v>
      </c>
      <c r="D23" s="40"/>
      <c r="E23" s="41"/>
      <c r="F23" s="41"/>
      <c r="G23" s="35">
        <v>0</v>
      </c>
      <c r="H23" s="42"/>
      <c r="I23" s="41"/>
      <c r="J23" s="41"/>
      <c r="K23" s="41"/>
      <c r="L23" s="41"/>
      <c r="M23" s="41"/>
      <c r="N23" s="41"/>
      <c r="O23" s="43"/>
      <c r="P23" s="38"/>
      <c r="Q23" s="38"/>
      <c r="R23" s="38"/>
      <c r="S23" s="38"/>
      <c r="T23" s="38"/>
      <c r="U23" s="38"/>
      <c r="V23" s="38"/>
      <c r="W23" s="38"/>
      <c r="X23" s="38"/>
      <c r="Y23" s="38"/>
    </row>
    <row r="24" spans="1:25" ht="101.25" customHeight="1" thickBot="1">
      <c r="A24" s="2070"/>
      <c r="B24" s="2071"/>
      <c r="C24" s="45" t="s">
        <v>13</v>
      </c>
      <c r="D24" s="46">
        <f>SUM(D18:D23)</f>
        <v>11</v>
      </c>
      <c r="E24" s="46">
        <f t="shared" ref="E24:O24" si="0">SUM(E18:E23)</f>
        <v>0</v>
      </c>
      <c r="F24" s="46">
        <f t="shared" si="0"/>
        <v>0</v>
      </c>
      <c r="G24" s="51">
        <f t="shared" si="0"/>
        <v>11</v>
      </c>
      <c r="H24" s="46">
        <f t="shared" si="0"/>
        <v>11</v>
      </c>
      <c r="I24" s="46">
        <f t="shared" si="0"/>
        <v>0</v>
      </c>
      <c r="J24" s="46">
        <f t="shared" si="0"/>
        <v>0</v>
      </c>
      <c r="K24" s="46">
        <f t="shared" si="0"/>
        <v>0</v>
      </c>
      <c r="L24" s="46">
        <f t="shared" si="0"/>
        <v>0</v>
      </c>
      <c r="M24" s="46">
        <f t="shared" si="0"/>
        <v>0</v>
      </c>
      <c r="N24" s="46">
        <f t="shared" si="0"/>
        <v>0</v>
      </c>
      <c r="O24" s="46">
        <f t="shared" si="0"/>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470"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118" t="s">
        <v>251</v>
      </c>
      <c r="B28" s="2068"/>
      <c r="C28" s="58">
        <v>2014</v>
      </c>
      <c r="D28" s="36"/>
      <c r="E28" s="34"/>
      <c r="F28" s="34"/>
      <c r="G28" s="59">
        <v>0</v>
      </c>
      <c r="H28" s="38"/>
      <c r="I28" s="38"/>
      <c r="J28" s="38"/>
      <c r="K28" s="38"/>
      <c r="L28" s="38"/>
      <c r="M28" s="38"/>
      <c r="N28" s="38"/>
      <c r="O28" s="38"/>
      <c r="P28" s="38"/>
      <c r="Q28" s="8"/>
    </row>
    <row r="29" spans="1:25">
      <c r="A29" s="2119"/>
      <c r="B29" s="2068"/>
      <c r="C29" s="60">
        <v>2015</v>
      </c>
      <c r="D29" s="42"/>
      <c r="E29" s="41"/>
      <c r="F29" s="41"/>
      <c r="G29" s="59">
        <v>0</v>
      </c>
      <c r="H29" s="38"/>
      <c r="I29" s="38"/>
      <c r="J29" s="38"/>
      <c r="K29" s="38"/>
      <c r="L29" s="38"/>
      <c r="M29" s="38"/>
      <c r="N29" s="38"/>
      <c r="O29" s="38"/>
      <c r="P29" s="38"/>
      <c r="Q29" s="8"/>
    </row>
    <row r="30" spans="1:25">
      <c r="A30" s="2119"/>
      <c r="B30" s="2068"/>
      <c r="C30" s="60">
        <v>2016</v>
      </c>
      <c r="D30" s="335">
        <v>1000</v>
      </c>
      <c r="E30" s="41"/>
      <c r="F30" s="41"/>
      <c r="G30" s="59">
        <v>1000</v>
      </c>
      <c r="H30" s="38"/>
      <c r="I30" s="38"/>
      <c r="J30" s="38"/>
      <c r="K30" s="38"/>
      <c r="L30" s="38"/>
      <c r="M30" s="38"/>
      <c r="N30" s="38"/>
      <c r="O30" s="38"/>
      <c r="P30" s="38"/>
      <c r="Q30" s="8"/>
    </row>
    <row r="31" spans="1:25">
      <c r="A31" s="2119"/>
      <c r="B31" s="2068"/>
      <c r="C31" s="60">
        <v>2017</v>
      </c>
      <c r="D31" s="42">
        <v>5007</v>
      </c>
      <c r="E31" s="41"/>
      <c r="F31" s="41"/>
      <c r="G31" s="59">
        <v>5007</v>
      </c>
      <c r="H31" s="38"/>
      <c r="I31" s="38"/>
      <c r="J31" s="38"/>
      <c r="K31" s="38"/>
      <c r="L31" s="38"/>
      <c r="M31" s="38"/>
      <c r="N31" s="38"/>
      <c r="O31" s="38"/>
      <c r="P31" s="38"/>
      <c r="Q31" s="8"/>
    </row>
    <row r="32" spans="1:25">
      <c r="A32" s="2119"/>
      <c r="B32" s="2068"/>
      <c r="C32" s="60">
        <v>2018</v>
      </c>
      <c r="D32" s="42"/>
      <c r="E32" s="41"/>
      <c r="F32" s="41"/>
      <c r="G32" s="59">
        <v>0</v>
      </c>
      <c r="H32" s="38"/>
      <c r="I32" s="38"/>
      <c r="J32" s="38"/>
      <c r="K32" s="38"/>
      <c r="L32" s="38"/>
      <c r="M32" s="38"/>
      <c r="N32" s="38"/>
      <c r="O32" s="38"/>
      <c r="P32" s="38"/>
      <c r="Q32" s="8"/>
    </row>
    <row r="33" spans="1:17">
      <c r="A33" s="2119"/>
      <c r="B33" s="2068"/>
      <c r="C33" s="61">
        <v>2019</v>
      </c>
      <c r="D33" s="42"/>
      <c r="E33" s="41"/>
      <c r="F33" s="41"/>
      <c r="G33" s="59">
        <v>0</v>
      </c>
      <c r="H33" s="38"/>
      <c r="I33" s="38"/>
      <c r="J33" s="38"/>
      <c r="K33" s="38"/>
      <c r="L33" s="38"/>
      <c r="M33" s="38"/>
      <c r="N33" s="38"/>
      <c r="O33" s="38"/>
      <c r="P33" s="38"/>
      <c r="Q33" s="8"/>
    </row>
    <row r="34" spans="1:17">
      <c r="A34" s="2119"/>
      <c r="B34" s="2068"/>
      <c r="C34" s="60">
        <v>2020</v>
      </c>
      <c r="D34" s="42"/>
      <c r="E34" s="41"/>
      <c r="F34" s="41"/>
      <c r="G34" s="59">
        <v>0</v>
      </c>
      <c r="H34" s="38"/>
      <c r="I34" s="38"/>
      <c r="J34" s="38"/>
      <c r="K34" s="38"/>
      <c r="L34" s="38"/>
      <c r="M34" s="38"/>
      <c r="N34" s="38"/>
      <c r="O34" s="38"/>
      <c r="P34" s="38"/>
      <c r="Q34" s="8"/>
    </row>
    <row r="35" spans="1:17" ht="195" customHeight="1" thickBot="1">
      <c r="A35" s="2070"/>
      <c r="B35" s="2071"/>
      <c r="C35" s="62" t="s">
        <v>13</v>
      </c>
      <c r="D35" s="49">
        <f>SUM(D29:D34)</f>
        <v>6007</v>
      </c>
      <c r="E35" s="49">
        <f t="shared" ref="E35:G35" si="1">SUM(E29:E34)</f>
        <v>0</v>
      </c>
      <c r="F35" s="49">
        <f t="shared" si="1"/>
        <v>0</v>
      </c>
      <c r="G35" s="49">
        <f t="shared" si="1"/>
        <v>6007</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118" t="s">
        <v>252</v>
      </c>
      <c r="B40" s="2068"/>
      <c r="C40" s="73">
        <v>2014</v>
      </c>
      <c r="D40" s="33"/>
      <c r="E40" s="32"/>
      <c r="F40" s="8"/>
      <c r="G40" s="38"/>
      <c r="H40" s="38"/>
    </row>
    <row r="41" spans="1:17">
      <c r="A41" s="2119"/>
      <c r="B41" s="2068"/>
      <c r="C41" s="74">
        <v>2015</v>
      </c>
      <c r="D41" s="40"/>
      <c r="E41" s="39"/>
      <c r="F41" s="8"/>
      <c r="G41" s="38"/>
      <c r="H41" s="38"/>
    </row>
    <row r="42" spans="1:17">
      <c r="A42" s="2119"/>
      <c r="B42" s="2068"/>
      <c r="C42" s="74">
        <v>2016</v>
      </c>
      <c r="D42" s="434">
        <v>1788</v>
      </c>
      <c r="E42" s="39">
        <v>1234</v>
      </c>
      <c r="F42" s="8"/>
      <c r="G42" s="38"/>
      <c r="H42" s="38"/>
    </row>
    <row r="43" spans="1:17">
      <c r="A43" s="2119"/>
      <c r="B43" s="2068"/>
      <c r="C43" s="74">
        <v>2017</v>
      </c>
      <c r="D43" s="40">
        <v>2827</v>
      </c>
      <c r="E43" s="39">
        <v>2707</v>
      </c>
      <c r="F43" s="8"/>
      <c r="G43" s="38"/>
      <c r="H43" s="38"/>
    </row>
    <row r="44" spans="1:17">
      <c r="A44" s="2119"/>
      <c r="B44" s="2068"/>
      <c r="C44" s="74">
        <v>2018</v>
      </c>
      <c r="D44" s="40"/>
      <c r="E44" s="39"/>
      <c r="F44" s="8"/>
      <c r="G44" s="38"/>
      <c r="H44" s="38"/>
    </row>
    <row r="45" spans="1:17">
      <c r="A45" s="2119"/>
      <c r="B45" s="2068"/>
      <c r="C45" s="74">
        <v>2019</v>
      </c>
      <c r="D45" s="40"/>
      <c r="E45" s="39"/>
      <c r="F45" s="8"/>
      <c r="G45" s="38"/>
      <c r="H45" s="38"/>
    </row>
    <row r="46" spans="1:17">
      <c r="A46" s="2119"/>
      <c r="B46" s="2068"/>
      <c r="C46" s="74">
        <v>2020</v>
      </c>
      <c r="D46" s="40"/>
      <c r="E46" s="39"/>
      <c r="F46" s="8"/>
      <c r="G46" s="38"/>
      <c r="H46" s="38"/>
    </row>
    <row r="47" spans="1:17" ht="15.75" thickBot="1">
      <c r="A47" s="2070"/>
      <c r="B47" s="2071"/>
      <c r="C47" s="45" t="s">
        <v>13</v>
      </c>
      <c r="D47" s="46">
        <f>SUM(D41:D46)</f>
        <v>4615</v>
      </c>
      <c r="E47" s="46">
        <f>SUM(E41:E46)</f>
        <v>3941</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118"/>
      <c r="B51" s="2026"/>
      <c r="C51" s="74">
        <v>2014</v>
      </c>
      <c r="D51" s="40"/>
      <c r="E51" s="41"/>
      <c r="F51" s="41"/>
      <c r="G51" s="41"/>
      <c r="H51" s="41"/>
      <c r="I51" s="41"/>
      <c r="J51" s="41"/>
      <c r="K51" s="86"/>
    </row>
    <row r="52" spans="1:15">
      <c r="A52" s="2118"/>
      <c r="B52" s="2026"/>
      <c r="C52" s="74">
        <v>2015</v>
      </c>
      <c r="D52" s="40"/>
      <c r="E52" s="41"/>
      <c r="F52" s="41"/>
      <c r="G52" s="41"/>
      <c r="H52" s="41"/>
      <c r="I52" s="41"/>
      <c r="J52" s="41"/>
      <c r="K52" s="86"/>
    </row>
    <row r="53" spans="1:15">
      <c r="A53" s="2118"/>
      <c r="B53" s="2026"/>
      <c r="C53" s="74">
        <v>2016</v>
      </c>
      <c r="D53" s="40"/>
      <c r="E53" s="41"/>
      <c r="F53" s="41"/>
      <c r="G53" s="41"/>
      <c r="H53" s="41"/>
      <c r="I53" s="41"/>
      <c r="J53" s="41"/>
      <c r="K53" s="86"/>
    </row>
    <row r="54" spans="1:15">
      <c r="A54" s="2118"/>
      <c r="B54" s="2026"/>
      <c r="C54" s="74">
        <v>2017</v>
      </c>
      <c r="D54" s="40"/>
      <c r="E54" s="41"/>
      <c r="F54" s="41"/>
      <c r="G54" s="41"/>
      <c r="H54" s="41"/>
      <c r="I54" s="41"/>
      <c r="J54" s="41"/>
      <c r="K54" s="86"/>
    </row>
    <row r="55" spans="1:15">
      <c r="A55" s="2118"/>
      <c r="B55" s="2026"/>
      <c r="C55" s="74">
        <v>2018</v>
      </c>
      <c r="D55" s="40"/>
      <c r="E55" s="41"/>
      <c r="F55" s="41"/>
      <c r="G55" s="41"/>
      <c r="H55" s="41"/>
      <c r="I55" s="41"/>
      <c r="J55" s="41"/>
      <c r="K55" s="86"/>
    </row>
    <row r="56" spans="1:15">
      <c r="A56" s="2118"/>
      <c r="B56" s="2026"/>
      <c r="C56" s="74">
        <v>2019</v>
      </c>
      <c r="D56" s="40"/>
      <c r="E56" s="41"/>
      <c r="F56" s="41"/>
      <c r="G56" s="41"/>
      <c r="H56" s="41"/>
      <c r="I56" s="41"/>
      <c r="J56" s="41"/>
      <c r="K56" s="86"/>
    </row>
    <row r="57" spans="1:15">
      <c r="A57" s="2118"/>
      <c r="B57" s="2026"/>
      <c r="C57" s="74">
        <v>2020</v>
      </c>
      <c r="D57" s="40"/>
      <c r="E57" s="41"/>
      <c r="F57" s="41"/>
      <c r="G57" s="41"/>
      <c r="H57" s="41"/>
      <c r="I57" s="41"/>
      <c r="J57" s="41"/>
      <c r="K57" s="87"/>
    </row>
    <row r="58" spans="1:15" ht="20.25" customHeight="1" thickBot="1">
      <c r="A58" s="2027"/>
      <c r="B58" s="2028"/>
      <c r="C58" s="45" t="s">
        <v>13</v>
      </c>
      <c r="D58" s="46">
        <v>0</v>
      </c>
      <c r="E58" s="47">
        <v>0</v>
      </c>
      <c r="F58" s="47">
        <v>0</v>
      </c>
      <c r="G58" s="47">
        <v>0</v>
      </c>
      <c r="H58" s="47">
        <v>0</v>
      </c>
      <c r="I58" s="47">
        <v>0</v>
      </c>
      <c r="J58" s="47">
        <v>0</v>
      </c>
      <c r="K58" s="51">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120" t="s">
        <v>612</v>
      </c>
      <c r="B62" s="2039"/>
      <c r="C62" s="99">
        <v>2014</v>
      </c>
      <c r="D62" s="100"/>
      <c r="E62" s="101"/>
      <c r="F62" s="102"/>
      <c r="G62" s="102"/>
      <c r="H62" s="102"/>
      <c r="I62" s="102"/>
      <c r="J62" s="102"/>
      <c r="K62" s="102"/>
      <c r="L62" s="37"/>
      <c r="M62" s="8"/>
      <c r="N62" s="8"/>
      <c r="O62" s="8"/>
    </row>
    <row r="63" spans="1:15">
      <c r="A63" s="2121"/>
      <c r="B63" s="2039"/>
      <c r="C63" s="103">
        <v>2015</v>
      </c>
      <c r="D63" s="104"/>
      <c r="E63" s="105"/>
      <c r="F63" s="41"/>
      <c r="G63" s="41"/>
      <c r="H63" s="41"/>
      <c r="I63" s="41"/>
      <c r="J63" s="41"/>
      <c r="K63" s="41"/>
      <c r="L63" s="86"/>
      <c r="M63" s="8"/>
      <c r="N63" s="8"/>
      <c r="O63" s="8"/>
    </row>
    <row r="64" spans="1:15">
      <c r="A64" s="2121"/>
      <c r="B64" s="2039"/>
      <c r="C64" s="103">
        <v>2016</v>
      </c>
      <c r="D64" s="471">
        <v>24</v>
      </c>
      <c r="E64" s="472">
        <v>24</v>
      </c>
      <c r="F64" s="41"/>
      <c r="G64" s="41"/>
      <c r="H64" s="41"/>
      <c r="I64" s="41"/>
      <c r="J64" s="41"/>
      <c r="K64" s="41"/>
      <c r="L64" s="86"/>
      <c r="M64" s="8"/>
      <c r="N64" s="8"/>
      <c r="O64" s="8"/>
    </row>
    <row r="65" spans="1:20">
      <c r="A65" s="2121"/>
      <c r="B65" s="2039"/>
      <c r="C65" s="103">
        <v>2017</v>
      </c>
      <c r="D65" s="104">
        <v>20</v>
      </c>
      <c r="E65" s="105">
        <v>20</v>
      </c>
      <c r="F65" s="41"/>
      <c r="G65" s="41"/>
      <c r="H65" s="41"/>
      <c r="I65" s="41"/>
      <c r="J65" s="41"/>
      <c r="K65" s="41"/>
      <c r="L65" s="86"/>
      <c r="M65" s="8"/>
      <c r="N65" s="8"/>
      <c r="O65" s="8"/>
    </row>
    <row r="66" spans="1:20">
      <c r="A66" s="2121"/>
      <c r="B66" s="2039"/>
      <c r="C66" s="103">
        <v>2018</v>
      </c>
      <c r="D66" s="104"/>
      <c r="E66" s="105"/>
      <c r="F66" s="41"/>
      <c r="G66" s="41"/>
      <c r="H66" s="41"/>
      <c r="I66" s="41"/>
      <c r="J66" s="41"/>
      <c r="K66" s="41"/>
      <c r="L66" s="86"/>
      <c r="M66" s="8"/>
      <c r="N66" s="8"/>
      <c r="O66" s="8"/>
    </row>
    <row r="67" spans="1:20" ht="17.25" customHeight="1">
      <c r="A67" s="2121"/>
      <c r="B67" s="2039"/>
      <c r="C67" s="103">
        <v>2019</v>
      </c>
      <c r="D67" s="104"/>
      <c r="E67" s="105"/>
      <c r="F67" s="41"/>
      <c r="G67" s="41"/>
      <c r="H67" s="41"/>
      <c r="I67" s="41"/>
      <c r="J67" s="41"/>
      <c r="K67" s="41"/>
      <c r="L67" s="86"/>
      <c r="M67" s="8"/>
      <c r="N67" s="8"/>
      <c r="O67" s="8"/>
    </row>
    <row r="68" spans="1:20" ht="16.5" customHeight="1">
      <c r="A68" s="2121"/>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SUM(D63:D68)</f>
        <v>44</v>
      </c>
      <c r="E69" s="107">
        <f t="shared" ref="E69:L69" si="2">SUM(E63:E68)</f>
        <v>44</v>
      </c>
      <c r="F69" s="107">
        <f t="shared" si="2"/>
        <v>0</v>
      </c>
      <c r="G69" s="107">
        <f t="shared" si="2"/>
        <v>0</v>
      </c>
      <c r="H69" s="107">
        <f t="shared" si="2"/>
        <v>0</v>
      </c>
      <c r="I69" s="107">
        <f t="shared" si="2"/>
        <v>0</v>
      </c>
      <c r="J69" s="107">
        <f t="shared" si="2"/>
        <v>0</v>
      </c>
      <c r="K69" s="107">
        <f t="shared" si="2"/>
        <v>0</v>
      </c>
      <c r="L69" s="107">
        <f t="shared" si="2"/>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118"/>
      <c r="B72" s="2039"/>
      <c r="C72" s="73">
        <v>2014</v>
      </c>
      <c r="D72" s="124"/>
      <c r="E72" s="124"/>
      <c r="F72" s="124"/>
      <c r="G72" s="125">
        <v>0</v>
      </c>
      <c r="H72" s="33"/>
      <c r="I72" s="126"/>
      <c r="J72" s="102"/>
      <c r="K72" s="102"/>
      <c r="L72" s="102"/>
      <c r="M72" s="102"/>
      <c r="N72" s="102"/>
      <c r="O72" s="127"/>
    </row>
    <row r="73" spans="1:20">
      <c r="A73" s="2119"/>
      <c r="B73" s="2039"/>
      <c r="C73" s="74">
        <v>2015</v>
      </c>
      <c r="D73" s="128"/>
      <c r="E73" s="128"/>
      <c r="F73" s="128"/>
      <c r="G73" s="125">
        <v>0</v>
      </c>
      <c r="H73" s="40"/>
      <c r="I73" s="40"/>
      <c r="J73" s="41"/>
      <c r="K73" s="41"/>
      <c r="L73" s="41"/>
      <c r="M73" s="41"/>
      <c r="N73" s="41"/>
      <c r="O73" s="86"/>
    </row>
    <row r="74" spans="1:20">
      <c r="A74" s="2119"/>
      <c r="B74" s="2039"/>
      <c r="C74" s="74">
        <v>2016</v>
      </c>
      <c r="D74" s="128"/>
      <c r="E74" s="128"/>
      <c r="F74" s="128"/>
      <c r="G74" s="125">
        <v>0</v>
      </c>
      <c r="H74" s="40"/>
      <c r="I74" s="40"/>
      <c r="J74" s="41"/>
      <c r="K74" s="41"/>
      <c r="L74" s="41"/>
      <c r="M74" s="41"/>
      <c r="N74" s="41"/>
      <c r="O74" s="86"/>
    </row>
    <row r="75" spans="1:20">
      <c r="A75" s="2119"/>
      <c r="B75" s="2039"/>
      <c r="C75" s="74">
        <v>2017</v>
      </c>
      <c r="D75" s="128"/>
      <c r="E75" s="128"/>
      <c r="F75" s="128"/>
      <c r="G75" s="125">
        <v>0</v>
      </c>
      <c r="H75" s="40"/>
      <c r="I75" s="40"/>
      <c r="J75" s="41"/>
      <c r="K75" s="41"/>
      <c r="L75" s="41"/>
      <c r="M75" s="41"/>
      <c r="N75" s="41"/>
      <c r="O75" s="86"/>
    </row>
    <row r="76" spans="1:20">
      <c r="A76" s="2119"/>
      <c r="B76" s="2039"/>
      <c r="C76" s="74">
        <v>2018</v>
      </c>
      <c r="D76" s="128"/>
      <c r="E76" s="128"/>
      <c r="F76" s="128"/>
      <c r="G76" s="125">
        <v>0</v>
      </c>
      <c r="H76" s="40"/>
      <c r="I76" s="40"/>
      <c r="J76" s="41"/>
      <c r="K76" s="41"/>
      <c r="L76" s="41"/>
      <c r="M76" s="41"/>
      <c r="N76" s="41"/>
      <c r="O76" s="86"/>
    </row>
    <row r="77" spans="1:20" ht="15.75" customHeight="1">
      <c r="A77" s="2119"/>
      <c r="B77" s="2039"/>
      <c r="C77" s="74">
        <v>2019</v>
      </c>
      <c r="D77" s="128"/>
      <c r="E77" s="128"/>
      <c r="F77" s="128"/>
      <c r="G77" s="125">
        <v>0</v>
      </c>
      <c r="H77" s="40"/>
      <c r="I77" s="40"/>
      <c r="J77" s="41"/>
      <c r="K77" s="41"/>
      <c r="L77" s="41"/>
      <c r="M77" s="41"/>
      <c r="N77" s="41"/>
      <c r="O77" s="86"/>
    </row>
    <row r="78" spans="1:20" ht="17.25" customHeight="1">
      <c r="A78" s="2119"/>
      <c r="B78" s="2039"/>
      <c r="C78" s="74">
        <v>2020</v>
      </c>
      <c r="D78" s="128"/>
      <c r="E78" s="128"/>
      <c r="F78" s="128"/>
      <c r="G78" s="125">
        <v>0</v>
      </c>
      <c r="H78" s="40"/>
      <c r="I78" s="40"/>
      <c r="J78" s="41"/>
      <c r="K78" s="41"/>
      <c r="L78" s="41"/>
      <c r="M78" s="41"/>
      <c r="N78" s="41"/>
      <c r="O78" s="86"/>
    </row>
    <row r="79" spans="1:20" ht="20.25" customHeight="1" thickBot="1">
      <c r="A79" s="2122"/>
      <c r="B79" s="2042"/>
      <c r="C79" s="129" t="s">
        <v>13</v>
      </c>
      <c r="D79" s="107">
        <v>0</v>
      </c>
      <c r="E79" s="107">
        <v>0</v>
      </c>
      <c r="F79" s="107">
        <v>0</v>
      </c>
      <c r="G79" s="130">
        <v>0</v>
      </c>
      <c r="H79" s="131">
        <v>0</v>
      </c>
      <c r="I79" s="132">
        <v>0</v>
      </c>
      <c r="J79" s="109">
        <v>0</v>
      </c>
      <c r="K79" s="109">
        <v>0</v>
      </c>
      <c r="L79" s="109">
        <v>0</v>
      </c>
      <c r="M79" s="109">
        <v>0</v>
      </c>
      <c r="N79" s="109">
        <v>0</v>
      </c>
      <c r="O79" s="110">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802"/>
      <c r="B85" s="2039"/>
      <c r="C85" s="73">
        <v>2014</v>
      </c>
      <c r="D85" s="147"/>
      <c r="E85" s="148"/>
      <c r="F85" s="34"/>
      <c r="G85" s="34"/>
      <c r="H85" s="34"/>
      <c r="I85" s="34"/>
      <c r="J85" s="34"/>
      <c r="K85" s="37"/>
    </row>
    <row r="86" spans="1:16">
      <c r="A86" s="2124"/>
      <c r="B86" s="2039"/>
      <c r="C86" s="74">
        <v>2015</v>
      </c>
      <c r="D86" s="149"/>
      <c r="E86" s="105"/>
      <c r="F86" s="41"/>
      <c r="G86" s="41"/>
      <c r="H86" s="41"/>
      <c r="I86" s="41"/>
      <c r="J86" s="41"/>
      <c r="K86" s="86"/>
    </row>
    <row r="87" spans="1:16">
      <c r="A87" s="2124"/>
      <c r="B87" s="2039"/>
      <c r="C87" s="74">
        <v>2016</v>
      </c>
      <c r="D87" s="149"/>
      <c r="E87" s="105"/>
      <c r="F87" s="41"/>
      <c r="G87" s="41"/>
      <c r="H87" s="41"/>
      <c r="I87" s="41"/>
      <c r="J87" s="41"/>
      <c r="K87" s="86"/>
    </row>
    <row r="88" spans="1:16">
      <c r="A88" s="2124"/>
      <c r="B88" s="2039"/>
      <c r="C88" s="74">
        <v>2017</v>
      </c>
      <c r="D88" s="149"/>
      <c r="E88" s="105"/>
      <c r="F88" s="41"/>
      <c r="G88" s="41"/>
      <c r="H88" s="41"/>
      <c r="I88" s="41"/>
      <c r="J88" s="41"/>
      <c r="K88" s="86"/>
    </row>
    <row r="89" spans="1:16">
      <c r="A89" s="2124"/>
      <c r="B89" s="2039"/>
      <c r="C89" s="74">
        <v>2018</v>
      </c>
      <c r="D89" s="149"/>
      <c r="E89" s="105"/>
      <c r="F89" s="41"/>
      <c r="G89" s="41"/>
      <c r="H89" s="41"/>
      <c r="I89" s="41"/>
      <c r="J89" s="41"/>
      <c r="K89" s="86"/>
    </row>
    <row r="90" spans="1:16">
      <c r="A90" s="2124"/>
      <c r="B90" s="2039"/>
      <c r="C90" s="74">
        <v>2019</v>
      </c>
      <c r="D90" s="149"/>
      <c r="E90" s="105"/>
      <c r="F90" s="41"/>
      <c r="G90" s="41"/>
      <c r="H90" s="41"/>
      <c r="I90" s="41"/>
      <c r="J90" s="41"/>
      <c r="K90" s="86"/>
    </row>
    <row r="91" spans="1:16">
      <c r="A91" s="2124"/>
      <c r="B91" s="2039"/>
      <c r="C91" s="74">
        <v>2020</v>
      </c>
      <c r="D91" s="149"/>
      <c r="E91" s="105"/>
      <c r="F91" s="41"/>
      <c r="G91" s="41"/>
      <c r="H91" s="41"/>
      <c r="I91" s="41"/>
      <c r="J91" s="41"/>
      <c r="K91" s="86"/>
    </row>
    <row r="92" spans="1:16" ht="18" customHeight="1" thickBot="1">
      <c r="A92" s="2041"/>
      <c r="B92" s="2042"/>
      <c r="C92" s="129" t="s">
        <v>13</v>
      </c>
      <c r="D92" s="150">
        <v>0</v>
      </c>
      <c r="E92" s="108">
        <v>0</v>
      </c>
      <c r="F92" s="109">
        <v>0</v>
      </c>
      <c r="G92" s="109">
        <v>0</v>
      </c>
      <c r="H92" s="109">
        <v>0</v>
      </c>
      <c r="I92" s="109">
        <v>0</v>
      </c>
      <c r="J92" s="109">
        <v>0</v>
      </c>
      <c r="K92" s="110">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120"/>
      <c r="B98" s="2039"/>
      <c r="C98" s="99">
        <v>2014</v>
      </c>
      <c r="D98" s="33"/>
      <c r="E98" s="34"/>
      <c r="F98" s="167"/>
      <c r="G98" s="168"/>
      <c r="H98" s="168"/>
      <c r="I98" s="168"/>
      <c r="J98" s="168"/>
      <c r="K98" s="168"/>
      <c r="L98" s="168"/>
      <c r="M98" s="169"/>
      <c r="N98" s="158"/>
      <c r="O98" s="158"/>
      <c r="P98" s="158"/>
    </row>
    <row r="99" spans="1:16" ht="16.5" customHeight="1">
      <c r="A99" s="2121"/>
      <c r="B99" s="2039"/>
      <c r="C99" s="103">
        <v>2015</v>
      </c>
      <c r="D99" s="40"/>
      <c r="E99" s="41"/>
      <c r="F99" s="170"/>
      <c r="G99" s="171"/>
      <c r="H99" s="171"/>
      <c r="I99" s="171"/>
      <c r="J99" s="171"/>
      <c r="K99" s="171"/>
      <c r="L99" s="171"/>
      <c r="M99" s="172"/>
      <c r="N99" s="158"/>
      <c r="O99" s="158"/>
      <c r="P99" s="158"/>
    </row>
    <row r="100" spans="1:16" ht="16.5" customHeight="1">
      <c r="A100" s="2121"/>
      <c r="B100" s="2039"/>
      <c r="C100" s="103">
        <v>2016</v>
      </c>
      <c r="D100" s="40"/>
      <c r="E100" s="41"/>
      <c r="F100" s="170"/>
      <c r="G100" s="171"/>
      <c r="H100" s="171"/>
      <c r="I100" s="171"/>
      <c r="J100" s="171"/>
      <c r="K100" s="171"/>
      <c r="L100" s="171"/>
      <c r="M100" s="172"/>
      <c r="N100" s="158"/>
      <c r="O100" s="158"/>
      <c r="P100" s="158"/>
    </row>
    <row r="101" spans="1:16" ht="16.5" customHeight="1">
      <c r="A101" s="2121"/>
      <c r="B101" s="2039"/>
      <c r="C101" s="103">
        <v>2017</v>
      </c>
      <c r="D101" s="40"/>
      <c r="E101" s="41"/>
      <c r="F101" s="170"/>
      <c r="G101" s="171"/>
      <c r="H101" s="171"/>
      <c r="I101" s="171"/>
      <c r="J101" s="171"/>
      <c r="K101" s="171"/>
      <c r="L101" s="171"/>
      <c r="M101" s="172"/>
      <c r="N101" s="158"/>
      <c r="O101" s="158"/>
      <c r="P101" s="158"/>
    </row>
    <row r="102" spans="1:16" ht="15.75" customHeight="1">
      <c r="A102" s="2121"/>
      <c r="B102" s="2039"/>
      <c r="C102" s="103">
        <v>2018</v>
      </c>
      <c r="D102" s="40"/>
      <c r="E102" s="41"/>
      <c r="F102" s="170"/>
      <c r="G102" s="171"/>
      <c r="H102" s="171"/>
      <c r="I102" s="171"/>
      <c r="J102" s="171"/>
      <c r="K102" s="171"/>
      <c r="L102" s="171"/>
      <c r="M102" s="172"/>
      <c r="N102" s="158"/>
      <c r="O102" s="158"/>
      <c r="P102" s="158"/>
    </row>
    <row r="103" spans="1:16" ht="14.25" customHeight="1">
      <c r="A103" s="2121"/>
      <c r="B103" s="2039"/>
      <c r="C103" s="103">
        <v>2019</v>
      </c>
      <c r="D103" s="40"/>
      <c r="E103" s="41"/>
      <c r="F103" s="170"/>
      <c r="G103" s="171"/>
      <c r="H103" s="171"/>
      <c r="I103" s="171"/>
      <c r="J103" s="171"/>
      <c r="K103" s="171"/>
      <c r="L103" s="171"/>
      <c r="M103" s="172"/>
      <c r="N103" s="158"/>
      <c r="O103" s="158"/>
      <c r="P103" s="158"/>
    </row>
    <row r="104" spans="1:16" ht="14.25" customHeight="1">
      <c r="A104" s="2121"/>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v>0</v>
      </c>
      <c r="E105" s="109">
        <v>0</v>
      </c>
      <c r="F105" s="173">
        <v>0</v>
      </c>
      <c r="G105" s="174">
        <v>0</v>
      </c>
      <c r="H105" s="174">
        <v>0</v>
      </c>
      <c r="I105" s="174">
        <v>0</v>
      </c>
      <c r="J105" s="174">
        <v>0</v>
      </c>
      <c r="K105" s="174">
        <v>0</v>
      </c>
      <c r="L105" s="174">
        <v>0</v>
      </c>
      <c r="M105" s="175">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120"/>
      <c r="B109" s="2039"/>
      <c r="C109" s="99">
        <v>2014</v>
      </c>
      <c r="D109" s="34"/>
      <c r="E109" s="167"/>
      <c r="F109" s="168"/>
      <c r="G109" s="168"/>
      <c r="H109" s="168"/>
      <c r="I109" s="168"/>
      <c r="J109" s="168"/>
      <c r="K109" s="168"/>
      <c r="L109" s="169"/>
      <c r="M109" s="178"/>
      <c r="N109" s="178"/>
    </row>
    <row r="110" spans="1:16">
      <c r="A110" s="2121"/>
      <c r="B110" s="2039"/>
      <c r="C110" s="103">
        <v>2015</v>
      </c>
      <c r="D110" s="41"/>
      <c r="E110" s="170"/>
      <c r="F110" s="171"/>
      <c r="G110" s="171"/>
      <c r="H110" s="171"/>
      <c r="I110" s="171"/>
      <c r="J110" s="171"/>
      <c r="K110" s="171"/>
      <c r="L110" s="172"/>
      <c r="M110" s="178"/>
      <c r="N110" s="178"/>
    </row>
    <row r="111" spans="1:16">
      <c r="A111" s="2121"/>
      <c r="B111" s="2039"/>
      <c r="C111" s="103">
        <v>2016</v>
      </c>
      <c r="D111" s="41"/>
      <c r="E111" s="170"/>
      <c r="F111" s="171"/>
      <c r="G111" s="171"/>
      <c r="H111" s="171"/>
      <c r="I111" s="171"/>
      <c r="J111" s="171"/>
      <c r="K111" s="171"/>
      <c r="L111" s="172"/>
      <c r="M111" s="178"/>
      <c r="N111" s="178"/>
    </row>
    <row r="112" spans="1:16">
      <c r="A112" s="2121"/>
      <c r="B112" s="2039"/>
      <c r="C112" s="103">
        <v>2017</v>
      </c>
      <c r="D112" s="41"/>
      <c r="E112" s="170"/>
      <c r="F112" s="171"/>
      <c r="G112" s="171"/>
      <c r="H112" s="171"/>
      <c r="I112" s="171"/>
      <c r="J112" s="171"/>
      <c r="K112" s="171"/>
      <c r="L112" s="172"/>
      <c r="M112" s="178"/>
      <c r="N112" s="178"/>
    </row>
    <row r="113" spans="1:14">
      <c r="A113" s="2121"/>
      <c r="B113" s="2039"/>
      <c r="C113" s="103">
        <v>2018</v>
      </c>
      <c r="D113" s="41"/>
      <c r="E113" s="170"/>
      <c r="F113" s="171"/>
      <c r="G113" s="171"/>
      <c r="H113" s="171"/>
      <c r="I113" s="171"/>
      <c r="J113" s="171"/>
      <c r="K113" s="171"/>
      <c r="L113" s="172"/>
      <c r="M113" s="178"/>
      <c r="N113" s="178"/>
    </row>
    <row r="114" spans="1:14">
      <c r="A114" s="2121"/>
      <c r="B114" s="2039"/>
      <c r="C114" s="103">
        <v>2019</v>
      </c>
      <c r="D114" s="41"/>
      <c r="E114" s="170"/>
      <c r="F114" s="171"/>
      <c r="G114" s="171"/>
      <c r="H114" s="171"/>
      <c r="I114" s="171"/>
      <c r="J114" s="171"/>
      <c r="K114" s="171"/>
      <c r="L114" s="172"/>
      <c r="M114" s="178"/>
      <c r="N114" s="178"/>
    </row>
    <row r="115" spans="1:14">
      <c r="A115" s="2121"/>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v>0</v>
      </c>
      <c r="E116" s="173">
        <v>0</v>
      </c>
      <c r="F116" s="174">
        <v>0</v>
      </c>
      <c r="G116" s="174">
        <v>0</v>
      </c>
      <c r="H116" s="174">
        <v>0</v>
      </c>
      <c r="I116" s="174">
        <v>0</v>
      </c>
      <c r="J116" s="174"/>
      <c r="K116" s="174">
        <v>0</v>
      </c>
      <c r="L116" s="175">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120"/>
      <c r="B120" s="2039"/>
      <c r="C120" s="99">
        <v>2014</v>
      </c>
      <c r="D120" s="34"/>
      <c r="E120" s="167"/>
      <c r="F120" s="168"/>
      <c r="G120" s="168"/>
      <c r="H120" s="168"/>
      <c r="I120" s="168"/>
      <c r="J120" s="168"/>
      <c r="K120" s="168"/>
      <c r="L120" s="169"/>
      <c r="M120" s="178"/>
      <c r="N120" s="178"/>
    </row>
    <row r="121" spans="1:14">
      <c r="A121" s="2121"/>
      <c r="B121" s="2039"/>
      <c r="C121" s="103">
        <v>2015</v>
      </c>
      <c r="D121" s="41"/>
      <c r="E121" s="170"/>
      <c r="F121" s="171"/>
      <c r="G121" s="171"/>
      <c r="H121" s="171"/>
      <c r="I121" s="171"/>
      <c r="J121" s="171"/>
      <c r="K121" s="171"/>
      <c r="L121" s="172"/>
      <c r="M121" s="178"/>
      <c r="N121" s="178"/>
    </row>
    <row r="122" spans="1:14">
      <c r="A122" s="2121"/>
      <c r="B122" s="2039"/>
      <c r="C122" s="103">
        <v>2016</v>
      </c>
      <c r="D122" s="41"/>
      <c r="E122" s="170"/>
      <c r="F122" s="171"/>
      <c r="G122" s="171"/>
      <c r="H122" s="171"/>
      <c r="I122" s="171"/>
      <c r="J122" s="171"/>
      <c r="K122" s="171"/>
      <c r="L122" s="172"/>
      <c r="M122" s="178"/>
      <c r="N122" s="178"/>
    </row>
    <row r="123" spans="1:14">
      <c r="A123" s="2121"/>
      <c r="B123" s="2039"/>
      <c r="C123" s="103">
        <v>2017</v>
      </c>
      <c r="D123" s="41"/>
      <c r="E123" s="170"/>
      <c r="F123" s="171"/>
      <c r="G123" s="171"/>
      <c r="H123" s="171"/>
      <c r="I123" s="171"/>
      <c r="J123" s="171"/>
      <c r="K123" s="171"/>
      <c r="L123" s="172"/>
      <c r="M123" s="178"/>
      <c r="N123" s="178"/>
    </row>
    <row r="124" spans="1:14">
      <c r="A124" s="2121"/>
      <c r="B124" s="2039"/>
      <c r="C124" s="103">
        <v>2018</v>
      </c>
      <c r="D124" s="41"/>
      <c r="E124" s="170"/>
      <c r="F124" s="171"/>
      <c r="G124" s="171"/>
      <c r="H124" s="171"/>
      <c r="I124" s="171"/>
      <c r="J124" s="171"/>
      <c r="K124" s="171"/>
      <c r="L124" s="172"/>
      <c r="M124" s="178"/>
      <c r="N124" s="178"/>
    </row>
    <row r="125" spans="1:14">
      <c r="A125" s="2121"/>
      <c r="B125" s="2039"/>
      <c r="C125" s="103">
        <v>2019</v>
      </c>
      <c r="D125" s="41"/>
      <c r="E125" s="170"/>
      <c r="F125" s="171"/>
      <c r="G125" s="171"/>
      <c r="H125" s="171"/>
      <c r="I125" s="171"/>
      <c r="J125" s="171"/>
      <c r="K125" s="171"/>
      <c r="L125" s="172"/>
      <c r="M125" s="178"/>
      <c r="N125" s="178"/>
    </row>
    <row r="126" spans="1:14">
      <c r="A126" s="2121"/>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v>0</v>
      </c>
      <c r="E127" s="173">
        <v>0</v>
      </c>
      <c r="F127" s="174">
        <v>0</v>
      </c>
      <c r="G127" s="174">
        <v>0</v>
      </c>
      <c r="H127" s="174">
        <v>0</v>
      </c>
      <c r="I127" s="174">
        <v>0</v>
      </c>
      <c r="J127" s="174"/>
      <c r="K127" s="174">
        <v>0</v>
      </c>
      <c r="L127" s="175">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69" t="s">
        <v>9</v>
      </c>
      <c r="D129" s="182" t="s">
        <v>76</v>
      </c>
      <c r="E129" s="183"/>
      <c r="F129" s="183"/>
      <c r="G129" s="184"/>
      <c r="H129" s="178"/>
      <c r="I129" s="178"/>
      <c r="J129" s="178"/>
      <c r="K129" s="178"/>
      <c r="L129" s="178"/>
      <c r="M129" s="178"/>
      <c r="N129" s="178"/>
    </row>
    <row r="130" spans="1:16" ht="77.25" customHeight="1">
      <c r="A130" s="2044"/>
      <c r="B130" s="2046"/>
      <c r="C130" s="468"/>
      <c r="D130" s="159" t="s">
        <v>77</v>
      </c>
      <c r="E130" s="186" t="s">
        <v>78</v>
      </c>
      <c r="F130" s="160" t="s">
        <v>79</v>
      </c>
      <c r="G130" s="187" t="s">
        <v>13</v>
      </c>
      <c r="H130" s="178"/>
      <c r="I130" s="178"/>
      <c r="J130" s="178"/>
      <c r="K130" s="178"/>
      <c r="L130" s="178"/>
      <c r="M130" s="178"/>
      <c r="N130" s="178"/>
    </row>
    <row r="131" spans="1:16" ht="15" customHeight="1">
      <c r="A131" s="2118"/>
      <c r="B131" s="2068"/>
      <c r="C131" s="99">
        <v>2015</v>
      </c>
      <c r="D131" s="33"/>
      <c r="E131" s="34"/>
      <c r="F131" s="34"/>
      <c r="G131" s="191">
        <v>0</v>
      </c>
      <c r="H131" s="178"/>
      <c r="I131" s="178"/>
      <c r="J131" s="178"/>
      <c r="K131" s="178"/>
      <c r="L131" s="178"/>
      <c r="M131" s="178"/>
      <c r="N131" s="178"/>
    </row>
    <row r="132" spans="1:16">
      <c r="A132" s="2119"/>
      <c r="B132" s="2068"/>
      <c r="C132" s="103">
        <v>2016</v>
      </c>
      <c r="D132" s="40"/>
      <c r="E132" s="41"/>
      <c r="F132" s="41"/>
      <c r="G132" s="191">
        <v>0</v>
      </c>
      <c r="H132" s="178"/>
      <c r="I132" s="178"/>
      <c r="J132" s="178"/>
      <c r="K132" s="178"/>
      <c r="L132" s="178"/>
      <c r="M132" s="178"/>
      <c r="N132" s="178"/>
    </row>
    <row r="133" spans="1:16">
      <c r="A133" s="2119"/>
      <c r="B133" s="2068"/>
      <c r="C133" s="103">
        <v>2017</v>
      </c>
      <c r="D133" s="40"/>
      <c r="E133" s="41"/>
      <c r="F133" s="41"/>
      <c r="G133" s="191">
        <v>0</v>
      </c>
      <c r="H133" s="178"/>
      <c r="I133" s="178"/>
      <c r="J133" s="178"/>
      <c r="K133" s="178"/>
      <c r="L133" s="178"/>
      <c r="M133" s="178"/>
      <c r="N133" s="178"/>
    </row>
    <row r="134" spans="1:16">
      <c r="A134" s="2119"/>
      <c r="B134" s="2068"/>
      <c r="C134" s="103">
        <v>2018</v>
      </c>
      <c r="D134" s="40"/>
      <c r="E134" s="41"/>
      <c r="F134" s="41"/>
      <c r="G134" s="191">
        <v>0</v>
      </c>
      <c r="H134" s="178"/>
      <c r="I134" s="178"/>
      <c r="J134" s="178"/>
      <c r="K134" s="178"/>
      <c r="L134" s="178"/>
      <c r="M134" s="178"/>
      <c r="N134" s="178"/>
    </row>
    <row r="135" spans="1:16">
      <c r="A135" s="2119"/>
      <c r="B135" s="2068"/>
      <c r="C135" s="103">
        <v>2019</v>
      </c>
      <c r="D135" s="40"/>
      <c r="E135" s="41"/>
      <c r="F135" s="41"/>
      <c r="G135" s="191">
        <v>0</v>
      </c>
      <c r="H135" s="178"/>
      <c r="I135" s="178"/>
      <c r="J135" s="178"/>
      <c r="K135" s="178"/>
      <c r="L135" s="178"/>
      <c r="M135" s="178"/>
      <c r="N135" s="178"/>
    </row>
    <row r="136" spans="1:16">
      <c r="A136" s="2119"/>
      <c r="B136" s="2068"/>
      <c r="C136" s="103">
        <v>2020</v>
      </c>
      <c r="D136" s="40"/>
      <c r="E136" s="41"/>
      <c r="F136" s="41"/>
      <c r="G136" s="191">
        <v>0</v>
      </c>
      <c r="H136" s="178"/>
      <c r="I136" s="178"/>
      <c r="J136" s="178"/>
      <c r="K136" s="178"/>
      <c r="L136" s="178"/>
      <c r="M136" s="178"/>
      <c r="N136" s="178"/>
    </row>
    <row r="137" spans="1:16" ht="17.25" customHeight="1" thickBot="1">
      <c r="A137" s="2070"/>
      <c r="B137" s="2071"/>
      <c r="C137" s="106" t="s">
        <v>13</v>
      </c>
      <c r="D137" s="132">
        <v>0</v>
      </c>
      <c r="E137" s="132">
        <v>0</v>
      </c>
      <c r="F137" s="132">
        <v>0</v>
      </c>
      <c r="G137" s="192">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120"/>
      <c r="B144" s="2039"/>
      <c r="C144" s="99">
        <v>2014</v>
      </c>
      <c r="D144" s="33"/>
      <c r="E144" s="33"/>
      <c r="F144" s="34"/>
      <c r="G144" s="168"/>
      <c r="H144" s="168"/>
      <c r="I144" s="210">
        <v>0</v>
      </c>
      <c r="J144" s="211"/>
      <c r="K144" s="212"/>
      <c r="L144" s="211"/>
      <c r="M144" s="212"/>
      <c r="N144" s="213"/>
      <c r="O144" s="158"/>
      <c r="P144" s="158"/>
    </row>
    <row r="145" spans="1:16" ht="19.5" customHeight="1">
      <c r="A145" s="2121"/>
      <c r="B145" s="2039"/>
      <c r="C145" s="103">
        <v>2015</v>
      </c>
      <c r="D145" s="40"/>
      <c r="E145" s="40"/>
      <c r="F145" s="41"/>
      <c r="G145" s="171"/>
      <c r="H145" s="171"/>
      <c r="I145" s="210">
        <v>0</v>
      </c>
      <c r="J145" s="214"/>
      <c r="K145" s="215"/>
      <c r="L145" s="214"/>
      <c r="M145" s="215"/>
      <c r="N145" s="216"/>
      <c r="O145" s="158"/>
      <c r="P145" s="158"/>
    </row>
    <row r="146" spans="1:16" ht="20.25" customHeight="1">
      <c r="A146" s="2121"/>
      <c r="B146" s="2039"/>
      <c r="C146" s="103">
        <v>2016</v>
      </c>
      <c r="D146" s="40"/>
      <c r="E146" s="40"/>
      <c r="F146" s="41"/>
      <c r="G146" s="171"/>
      <c r="H146" s="171"/>
      <c r="I146" s="210">
        <v>0</v>
      </c>
      <c r="J146" s="214"/>
      <c r="K146" s="215"/>
      <c r="L146" s="214"/>
      <c r="M146" s="215"/>
      <c r="N146" s="216"/>
      <c r="O146" s="158"/>
      <c r="P146" s="158"/>
    </row>
    <row r="147" spans="1:16" ht="17.25" customHeight="1">
      <c r="A147" s="2121"/>
      <c r="B147" s="2039"/>
      <c r="C147" s="103">
        <v>2017</v>
      </c>
      <c r="D147" s="40"/>
      <c r="E147" s="40"/>
      <c r="F147" s="41"/>
      <c r="G147" s="171"/>
      <c r="H147" s="171"/>
      <c r="I147" s="210">
        <v>0</v>
      </c>
      <c r="J147" s="214"/>
      <c r="K147" s="215"/>
      <c r="L147" s="214"/>
      <c r="M147" s="215"/>
      <c r="N147" s="216"/>
      <c r="O147" s="158"/>
      <c r="P147" s="158"/>
    </row>
    <row r="148" spans="1:16" ht="19.5" customHeight="1">
      <c r="A148" s="2121"/>
      <c r="B148" s="2039"/>
      <c r="C148" s="103">
        <v>2018</v>
      </c>
      <c r="D148" s="40"/>
      <c r="E148" s="40"/>
      <c r="F148" s="41"/>
      <c r="G148" s="171"/>
      <c r="H148" s="171"/>
      <c r="I148" s="210">
        <v>0</v>
      </c>
      <c r="J148" s="214"/>
      <c r="K148" s="215"/>
      <c r="L148" s="214"/>
      <c r="M148" s="215"/>
      <c r="N148" s="216"/>
      <c r="O148" s="158"/>
      <c r="P148" s="158"/>
    </row>
    <row r="149" spans="1:16" ht="19.5" customHeight="1">
      <c r="A149" s="2121"/>
      <c r="B149" s="2039"/>
      <c r="C149" s="103">
        <v>2019</v>
      </c>
      <c r="D149" s="40"/>
      <c r="E149" s="40"/>
      <c r="F149" s="41"/>
      <c r="G149" s="171"/>
      <c r="H149" s="171"/>
      <c r="I149" s="210">
        <v>0</v>
      </c>
      <c r="J149" s="214"/>
      <c r="K149" s="215"/>
      <c r="L149" s="214"/>
      <c r="M149" s="215"/>
      <c r="N149" s="216"/>
      <c r="O149" s="158"/>
      <c r="P149" s="158"/>
    </row>
    <row r="150" spans="1:16" ht="18.75" customHeight="1">
      <c r="A150" s="2121"/>
      <c r="B150" s="2039"/>
      <c r="C150" s="103">
        <v>2020</v>
      </c>
      <c r="D150" s="40"/>
      <c r="E150" s="40"/>
      <c r="F150" s="41"/>
      <c r="G150" s="171"/>
      <c r="H150" s="171"/>
      <c r="I150" s="210">
        <v>0</v>
      </c>
      <c r="J150" s="214"/>
      <c r="K150" s="215"/>
      <c r="L150" s="214"/>
      <c r="M150" s="215"/>
      <c r="N150" s="216"/>
      <c r="O150" s="158"/>
      <c r="P150" s="158"/>
    </row>
    <row r="151" spans="1:16" ht="18" customHeight="1" thickBot="1">
      <c r="A151" s="2067"/>
      <c r="B151" s="2042"/>
      <c r="C151" s="106" t="s">
        <v>13</v>
      </c>
      <c r="D151" s="132">
        <v>0</v>
      </c>
      <c r="E151" s="132">
        <v>0</v>
      </c>
      <c r="F151" s="132">
        <v>0</v>
      </c>
      <c r="G151" s="132">
        <v>0</v>
      </c>
      <c r="H151" s="132">
        <v>0</v>
      </c>
      <c r="I151" s="217">
        <v>0</v>
      </c>
      <c r="J151" s="218">
        <v>0</v>
      </c>
      <c r="K151" s="219">
        <v>0</v>
      </c>
      <c r="L151" s="218">
        <v>0</v>
      </c>
      <c r="M151" s="219">
        <v>0</v>
      </c>
      <c r="N151" s="220">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125"/>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120"/>
      <c r="B155" s="2039"/>
      <c r="C155" s="230">
        <v>2014</v>
      </c>
      <c r="D155" s="211"/>
      <c r="E155" s="168"/>
      <c r="F155" s="212"/>
      <c r="G155" s="210">
        <v>0</v>
      </c>
      <c r="H155" s="211"/>
      <c r="I155" s="168"/>
      <c r="J155" s="169"/>
      <c r="O155" s="158"/>
      <c r="P155" s="158"/>
    </row>
    <row r="156" spans="1:16" ht="19.5" customHeight="1">
      <c r="A156" s="2121"/>
      <c r="B156" s="2039"/>
      <c r="C156" s="231">
        <v>2015</v>
      </c>
      <c r="D156" s="214"/>
      <c r="E156" s="171"/>
      <c r="F156" s="215"/>
      <c r="G156" s="210">
        <v>0</v>
      </c>
      <c r="H156" s="214"/>
      <c r="I156" s="171"/>
      <c r="J156" s="172"/>
      <c r="O156" s="158"/>
      <c r="P156" s="158"/>
    </row>
    <row r="157" spans="1:16" ht="17.25" customHeight="1">
      <c r="A157" s="2121"/>
      <c r="B157" s="2039"/>
      <c r="C157" s="231">
        <v>2016</v>
      </c>
      <c r="D157" s="214"/>
      <c r="E157" s="171"/>
      <c r="F157" s="215"/>
      <c r="G157" s="210">
        <v>0</v>
      </c>
      <c r="H157" s="214"/>
      <c r="I157" s="171"/>
      <c r="J157" s="172"/>
      <c r="O157" s="158"/>
      <c r="P157" s="158"/>
    </row>
    <row r="158" spans="1:16" ht="15" customHeight="1">
      <c r="A158" s="2121"/>
      <c r="B158" s="2039"/>
      <c r="C158" s="231">
        <v>2017</v>
      </c>
      <c r="D158" s="214"/>
      <c r="E158" s="171"/>
      <c r="F158" s="215"/>
      <c r="G158" s="210">
        <v>0</v>
      </c>
      <c r="H158" s="214"/>
      <c r="I158" s="171"/>
      <c r="J158" s="172"/>
      <c r="O158" s="158"/>
      <c r="P158" s="158"/>
    </row>
    <row r="159" spans="1:16" ht="19.5" customHeight="1">
      <c r="A159" s="2121"/>
      <c r="B159" s="2039"/>
      <c r="C159" s="231">
        <v>2018</v>
      </c>
      <c r="D159" s="214"/>
      <c r="E159" s="171"/>
      <c r="F159" s="215"/>
      <c r="G159" s="210">
        <v>0</v>
      </c>
      <c r="H159" s="214"/>
      <c r="I159" s="171"/>
      <c r="J159" s="172"/>
      <c r="O159" s="158"/>
      <c r="P159" s="158"/>
    </row>
    <row r="160" spans="1:16" ht="15" customHeight="1">
      <c r="A160" s="2121"/>
      <c r="B160" s="2039"/>
      <c r="C160" s="231">
        <v>2019</v>
      </c>
      <c r="D160" s="214"/>
      <c r="E160" s="171"/>
      <c r="F160" s="215"/>
      <c r="G160" s="210">
        <v>0</v>
      </c>
      <c r="H160" s="214"/>
      <c r="I160" s="171"/>
      <c r="J160" s="172"/>
      <c r="O160" s="158"/>
      <c r="P160" s="158"/>
    </row>
    <row r="161" spans="1:18" ht="17.25" customHeight="1">
      <c r="A161" s="2121"/>
      <c r="B161" s="2039"/>
      <c r="C161" s="231">
        <v>2020</v>
      </c>
      <c r="D161" s="214"/>
      <c r="E161" s="171"/>
      <c r="F161" s="215"/>
      <c r="G161" s="210">
        <v>0</v>
      </c>
      <c r="H161" s="214"/>
      <c r="I161" s="171"/>
      <c r="J161" s="172"/>
      <c r="O161" s="158"/>
      <c r="P161" s="158"/>
    </row>
    <row r="162" spans="1:18" ht="15.75" thickBot="1">
      <c r="A162" s="2067"/>
      <c r="B162" s="2042"/>
      <c r="C162" s="232" t="s">
        <v>13</v>
      </c>
      <c r="D162" s="218">
        <v>0</v>
      </c>
      <c r="E162" s="174">
        <v>0</v>
      </c>
      <c r="F162" s="219">
        <v>0</v>
      </c>
      <c r="G162" s="219">
        <v>0</v>
      </c>
      <c r="H162" s="218">
        <v>0</v>
      </c>
      <c r="I162" s="174">
        <v>0</v>
      </c>
      <c r="J162" s="233">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473"/>
    </row>
    <row r="165" spans="1:18" ht="15.75" customHeight="1">
      <c r="A165" s="2094"/>
      <c r="B165" s="2024"/>
      <c r="C165" s="248">
        <v>2014</v>
      </c>
      <c r="D165" s="168"/>
      <c r="E165" s="168"/>
      <c r="F165" s="168"/>
      <c r="G165" s="168"/>
      <c r="H165" s="168"/>
      <c r="I165" s="169"/>
      <c r="J165" s="249">
        <v>0</v>
      </c>
      <c r="K165" s="250">
        <v>0</v>
      </c>
      <c r="L165" s="473"/>
    </row>
    <row r="166" spans="1:18">
      <c r="A166" s="2095"/>
      <c r="B166" s="2026"/>
      <c r="C166" s="251">
        <v>2015</v>
      </c>
      <c r="D166" s="252"/>
      <c r="E166" s="252"/>
      <c r="F166" s="252"/>
      <c r="G166" s="252"/>
      <c r="H166" s="252"/>
      <c r="I166" s="253"/>
      <c r="J166" s="254">
        <v>0</v>
      </c>
      <c r="K166" s="255">
        <v>0</v>
      </c>
      <c r="L166" s="473"/>
    </row>
    <row r="167" spans="1:18">
      <c r="A167" s="2095"/>
      <c r="B167" s="2026"/>
      <c r="C167" s="251">
        <v>2016</v>
      </c>
      <c r="D167" s="252"/>
      <c r="E167" s="252"/>
      <c r="F167" s="252"/>
      <c r="G167" s="252"/>
      <c r="H167" s="252"/>
      <c r="I167" s="253"/>
      <c r="J167" s="254">
        <v>0</v>
      </c>
      <c r="K167" s="255">
        <v>0</v>
      </c>
    </row>
    <row r="168" spans="1:18">
      <c r="A168" s="2095"/>
      <c r="B168" s="2026"/>
      <c r="C168" s="251">
        <v>2017</v>
      </c>
      <c r="D168" s="252"/>
      <c r="E168" s="158"/>
      <c r="F168" s="252"/>
      <c r="G168" s="252"/>
      <c r="H168" s="252"/>
      <c r="I168" s="253"/>
      <c r="J168" s="254">
        <v>0</v>
      </c>
      <c r="K168" s="255">
        <v>0</v>
      </c>
    </row>
    <row r="169" spans="1:18">
      <c r="A169" s="2095"/>
      <c r="B169" s="2026"/>
      <c r="C169" s="256">
        <v>2018</v>
      </c>
      <c r="D169" s="252"/>
      <c r="E169" s="252"/>
      <c r="F169" s="252"/>
      <c r="G169" s="257"/>
      <c r="H169" s="252"/>
      <c r="I169" s="253"/>
      <c r="J169" s="254">
        <v>0</v>
      </c>
      <c r="K169" s="255">
        <v>0</v>
      </c>
      <c r="L169" s="473"/>
    </row>
    <row r="170" spans="1:18">
      <c r="A170" s="2095"/>
      <c r="B170" s="2026"/>
      <c r="C170" s="251">
        <v>2019</v>
      </c>
      <c r="D170" s="158"/>
      <c r="E170" s="252"/>
      <c r="F170" s="252"/>
      <c r="G170" s="252"/>
      <c r="H170" s="257"/>
      <c r="I170" s="253"/>
      <c r="J170" s="254">
        <v>0</v>
      </c>
      <c r="K170" s="255">
        <v>0</v>
      </c>
      <c r="L170" s="473"/>
    </row>
    <row r="171" spans="1:18">
      <c r="A171" s="2095"/>
      <c r="B171" s="2026"/>
      <c r="C171" s="256">
        <v>2020</v>
      </c>
      <c r="D171" s="252"/>
      <c r="E171" s="252"/>
      <c r="F171" s="252"/>
      <c r="G171" s="252"/>
      <c r="H171" s="252"/>
      <c r="I171" s="253"/>
      <c r="J171" s="254">
        <v>0</v>
      </c>
      <c r="K171" s="255">
        <v>0</v>
      </c>
      <c r="L171" s="473"/>
    </row>
    <row r="172" spans="1:18" ht="41.25" customHeight="1" thickBot="1">
      <c r="A172" s="2096"/>
      <c r="B172" s="2028"/>
      <c r="C172" s="258" t="s">
        <v>13</v>
      </c>
      <c r="D172" s="174">
        <v>0</v>
      </c>
      <c r="E172" s="174">
        <v>0</v>
      </c>
      <c r="F172" s="174">
        <v>0</v>
      </c>
      <c r="G172" s="174">
        <v>0</v>
      </c>
      <c r="H172" s="174">
        <v>0</v>
      </c>
      <c r="I172" s="259">
        <v>0</v>
      </c>
      <c r="J172" s="260">
        <v>0</v>
      </c>
      <c r="K172" s="218">
        <v>0</v>
      </c>
      <c r="L172" s="473"/>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20"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20" ht="27.75" customHeight="1">
      <c r="A178" s="2798" t="s">
        <v>253</v>
      </c>
      <c r="B178" s="2799"/>
      <c r="C178" s="99">
        <v>2014</v>
      </c>
      <c r="D178" s="33"/>
      <c r="E178" s="34"/>
      <c r="F178" s="34"/>
      <c r="G178" s="278">
        <v>0</v>
      </c>
      <c r="H178" s="148"/>
      <c r="I178" s="148"/>
      <c r="J178" s="34"/>
      <c r="K178" s="34"/>
      <c r="L178" s="34"/>
      <c r="M178" s="34"/>
      <c r="N178" s="34"/>
      <c r="O178" s="37"/>
    </row>
    <row r="179" spans="1:20" ht="30.75" customHeight="1">
      <c r="A179" s="2798"/>
      <c r="B179" s="2799"/>
      <c r="C179" s="103">
        <v>2015</v>
      </c>
      <c r="D179" s="40"/>
      <c r="E179" s="41"/>
      <c r="F179" s="41"/>
      <c r="G179" s="278">
        <v>0</v>
      </c>
      <c r="H179" s="279"/>
      <c r="I179" s="105"/>
      <c r="J179" s="41"/>
      <c r="K179" s="41"/>
      <c r="L179" s="41"/>
      <c r="M179" s="41"/>
      <c r="N179" s="41"/>
      <c r="O179" s="86"/>
    </row>
    <row r="180" spans="1:20" ht="30.75" customHeight="1">
      <c r="A180" s="2798"/>
      <c r="B180" s="2799"/>
      <c r="C180" s="103">
        <v>2016</v>
      </c>
      <c r="D180" s="40">
        <v>7</v>
      </c>
      <c r="E180" s="41"/>
      <c r="F180" s="41">
        <v>1</v>
      </c>
      <c r="G180" s="278">
        <v>8</v>
      </c>
      <c r="H180" s="279">
        <v>9</v>
      </c>
      <c r="I180" s="105">
        <v>8</v>
      </c>
      <c r="J180" s="41"/>
      <c r="K180" s="41"/>
      <c r="L180" s="41"/>
      <c r="M180" s="41"/>
      <c r="N180" s="41"/>
      <c r="O180" s="86"/>
      <c r="T180" s="474"/>
    </row>
    <row r="181" spans="1:20" ht="35.25" customHeight="1">
      <c r="A181" s="2798"/>
      <c r="B181" s="2799"/>
      <c r="C181" s="103">
        <v>2017</v>
      </c>
      <c r="D181" s="40">
        <v>7</v>
      </c>
      <c r="E181" s="41">
        <v>2</v>
      </c>
      <c r="F181" s="41">
        <v>32</v>
      </c>
      <c r="G181" s="278">
        <v>41</v>
      </c>
      <c r="H181" s="279">
        <v>42</v>
      </c>
      <c r="I181" s="105">
        <v>41</v>
      </c>
      <c r="J181" s="41"/>
      <c r="K181" s="41"/>
      <c r="L181" s="41"/>
      <c r="M181" s="41"/>
      <c r="N181" s="41"/>
      <c r="O181" s="86"/>
    </row>
    <row r="182" spans="1:20" ht="34.5" customHeight="1">
      <c r="A182" s="2798"/>
      <c r="B182" s="2799"/>
      <c r="C182" s="103">
        <v>2018</v>
      </c>
      <c r="D182" s="40"/>
      <c r="E182" s="41"/>
      <c r="F182" s="41"/>
      <c r="G182" s="278">
        <v>0</v>
      </c>
      <c r="H182" s="279"/>
      <c r="I182" s="105"/>
      <c r="J182" s="41"/>
      <c r="K182" s="41"/>
      <c r="L182" s="41"/>
      <c r="M182" s="41"/>
      <c r="N182" s="41"/>
      <c r="O182" s="86"/>
    </row>
    <row r="183" spans="1:20" ht="27.75" customHeight="1">
      <c r="A183" s="2798"/>
      <c r="B183" s="2799"/>
      <c r="C183" s="103">
        <v>2019</v>
      </c>
      <c r="D183" s="40"/>
      <c r="E183" s="41"/>
      <c r="F183" s="41"/>
      <c r="G183" s="278">
        <v>0</v>
      </c>
      <c r="H183" s="279"/>
      <c r="I183" s="105"/>
      <c r="J183" s="41"/>
      <c r="K183" s="41"/>
      <c r="L183" s="41"/>
      <c r="M183" s="41"/>
      <c r="N183" s="41"/>
      <c r="O183" s="86"/>
    </row>
    <row r="184" spans="1:20" ht="53.25" customHeight="1">
      <c r="A184" s="2798"/>
      <c r="B184" s="2799"/>
      <c r="C184" s="103">
        <v>2020</v>
      </c>
      <c r="D184" s="40"/>
      <c r="E184" s="41"/>
      <c r="F184" s="41"/>
      <c r="G184" s="278">
        <v>0</v>
      </c>
      <c r="H184" s="279"/>
      <c r="I184" s="105"/>
      <c r="J184" s="41"/>
      <c r="K184" s="41"/>
      <c r="L184" s="41"/>
      <c r="M184" s="41"/>
      <c r="N184" s="41"/>
      <c r="O184" s="86"/>
    </row>
    <row r="185" spans="1:20" ht="260.25" customHeight="1" thickBot="1">
      <c r="A185" s="2800"/>
      <c r="B185" s="2801"/>
      <c r="C185" s="106" t="s">
        <v>13</v>
      </c>
      <c r="D185" s="132">
        <f>SUM(D179:D184)</f>
        <v>14</v>
      </c>
      <c r="E185" s="132">
        <f t="shared" ref="E185:O185" si="3">SUM(E179:E184)</f>
        <v>2</v>
      </c>
      <c r="F185" s="132">
        <f t="shared" si="3"/>
        <v>33</v>
      </c>
      <c r="G185" s="132">
        <f t="shared" si="3"/>
        <v>49</v>
      </c>
      <c r="H185" s="132">
        <f t="shared" si="3"/>
        <v>51</v>
      </c>
      <c r="I185" s="132">
        <f t="shared" si="3"/>
        <v>49</v>
      </c>
      <c r="J185" s="132">
        <f t="shared" si="3"/>
        <v>0</v>
      </c>
      <c r="K185" s="132">
        <f t="shared" si="3"/>
        <v>0</v>
      </c>
      <c r="L185" s="132">
        <f t="shared" si="3"/>
        <v>0</v>
      </c>
      <c r="M185" s="132">
        <f t="shared" si="3"/>
        <v>0</v>
      </c>
      <c r="N185" s="132">
        <f t="shared" si="3"/>
        <v>0</v>
      </c>
      <c r="O185" s="132">
        <f t="shared" si="3"/>
        <v>0</v>
      </c>
    </row>
    <row r="186" spans="1:20" ht="33" customHeight="1" thickBot="1"/>
    <row r="187" spans="1:20" ht="19.5" customHeight="1">
      <c r="A187" s="2109" t="s">
        <v>125</v>
      </c>
      <c r="B187" s="2099" t="s">
        <v>116</v>
      </c>
      <c r="C187" s="2089" t="s">
        <v>9</v>
      </c>
      <c r="D187" s="2085" t="s">
        <v>126</v>
      </c>
      <c r="E187" s="2086"/>
      <c r="F187" s="2086"/>
      <c r="G187" s="2087"/>
      <c r="H187" s="2088" t="s">
        <v>127</v>
      </c>
      <c r="I187" s="2089"/>
      <c r="J187" s="2089"/>
      <c r="K187" s="2089"/>
      <c r="L187" s="2090"/>
    </row>
    <row r="188" spans="1:20" ht="90" customHeight="1">
      <c r="A188" s="2110"/>
      <c r="B188" s="2100"/>
      <c r="C188" s="2111"/>
      <c r="D188" s="281" t="s">
        <v>128</v>
      </c>
      <c r="E188" s="281" t="s">
        <v>129</v>
      </c>
      <c r="F188" s="281" t="s">
        <v>130</v>
      </c>
      <c r="G188" s="282" t="s">
        <v>13</v>
      </c>
      <c r="H188" s="283" t="s">
        <v>131</v>
      </c>
      <c r="I188" s="281" t="s">
        <v>132</v>
      </c>
      <c r="J188" s="281" t="s">
        <v>133</v>
      </c>
      <c r="K188" s="281" t="s">
        <v>134</v>
      </c>
      <c r="L188" s="284" t="s">
        <v>135</v>
      </c>
    </row>
    <row r="189" spans="1:20" ht="15" customHeight="1">
      <c r="A189" s="2126" t="s">
        <v>254</v>
      </c>
      <c r="B189" s="2127"/>
      <c r="C189" s="285">
        <v>2014</v>
      </c>
      <c r="D189" s="126"/>
      <c r="E189" s="102"/>
      <c r="F189" s="102"/>
      <c r="G189" s="286">
        <v>0</v>
      </c>
      <c r="H189" s="101"/>
      <c r="I189" s="102"/>
      <c r="J189" s="102"/>
      <c r="K189" s="102"/>
      <c r="L189" s="127"/>
    </row>
    <row r="190" spans="1:20">
      <c r="A190" s="2128"/>
      <c r="B190" s="2068"/>
      <c r="C190" s="74">
        <v>2015</v>
      </c>
      <c r="D190" s="40"/>
      <c r="E190" s="41"/>
      <c r="F190" s="41"/>
      <c r="G190" s="286">
        <v>0</v>
      </c>
      <c r="H190" s="105"/>
      <c r="I190" s="41"/>
      <c r="J190" s="41"/>
      <c r="K190" s="41"/>
      <c r="L190" s="86"/>
    </row>
    <row r="191" spans="1:20">
      <c r="A191" s="2128"/>
      <c r="B191" s="2068"/>
      <c r="C191" s="74">
        <v>2016</v>
      </c>
      <c r="D191" s="40">
        <v>80</v>
      </c>
      <c r="E191" s="41"/>
      <c r="F191" s="41">
        <v>155</v>
      </c>
      <c r="G191" s="286">
        <v>235</v>
      </c>
      <c r="H191" s="105"/>
      <c r="I191" s="41">
        <v>4</v>
      </c>
      <c r="J191" s="41">
        <v>60</v>
      </c>
      <c r="K191" s="41">
        <v>32</v>
      </c>
      <c r="L191" s="86">
        <v>139</v>
      </c>
    </row>
    <row r="192" spans="1:20">
      <c r="A192" s="2128"/>
      <c r="B192" s="2068"/>
      <c r="C192" s="74">
        <v>2017</v>
      </c>
      <c r="D192" s="40">
        <v>190</v>
      </c>
      <c r="E192" s="41">
        <v>75</v>
      </c>
      <c r="F192" s="41">
        <v>148</v>
      </c>
      <c r="G192" s="286">
        <v>413</v>
      </c>
      <c r="H192" s="105"/>
      <c r="I192" s="41">
        <v>10</v>
      </c>
      <c r="J192" s="41">
        <v>55</v>
      </c>
      <c r="K192" s="41">
        <v>60</v>
      </c>
      <c r="L192" s="86">
        <v>288</v>
      </c>
    </row>
    <row r="193" spans="1:14">
      <c r="A193" s="2128"/>
      <c r="B193" s="2068"/>
      <c r="C193" s="74">
        <v>2018</v>
      </c>
      <c r="D193" s="40"/>
      <c r="E193" s="41"/>
      <c r="F193" s="41"/>
      <c r="G193" s="286">
        <v>0</v>
      </c>
      <c r="H193" s="105"/>
      <c r="I193" s="41"/>
      <c r="J193" s="41"/>
      <c r="K193" s="41"/>
      <c r="L193" s="86"/>
    </row>
    <row r="194" spans="1:14">
      <c r="A194" s="2128"/>
      <c r="B194" s="2068"/>
      <c r="C194" s="74">
        <v>2019</v>
      </c>
      <c r="D194" s="40"/>
      <c r="E194" s="41"/>
      <c r="F194" s="41"/>
      <c r="G194" s="286">
        <v>0</v>
      </c>
      <c r="H194" s="105"/>
      <c r="I194" s="41"/>
      <c r="J194" s="41"/>
      <c r="K194" s="41"/>
      <c r="L194" s="86"/>
    </row>
    <row r="195" spans="1:14">
      <c r="A195" s="2128"/>
      <c r="B195" s="2068"/>
      <c r="C195" s="74">
        <v>2020</v>
      </c>
      <c r="D195" s="40"/>
      <c r="E195" s="41"/>
      <c r="F195" s="41"/>
      <c r="G195" s="286">
        <v>0</v>
      </c>
      <c r="H195" s="105"/>
      <c r="I195" s="41"/>
      <c r="J195" s="41"/>
      <c r="K195" s="41"/>
      <c r="L195" s="86"/>
    </row>
    <row r="196" spans="1:14" ht="262.5" customHeight="1" thickBot="1">
      <c r="A196" s="2129"/>
      <c r="B196" s="2071"/>
      <c r="C196" s="129" t="s">
        <v>13</v>
      </c>
      <c r="D196" s="132">
        <f>SUM(D190:D195)</f>
        <v>270</v>
      </c>
      <c r="E196" s="132">
        <f t="shared" ref="E196:L196" si="4">SUM(E190:E195)</f>
        <v>75</v>
      </c>
      <c r="F196" s="132">
        <f t="shared" si="4"/>
        <v>303</v>
      </c>
      <c r="G196" s="132">
        <f t="shared" si="4"/>
        <v>648</v>
      </c>
      <c r="H196" s="132">
        <f t="shared" si="4"/>
        <v>0</v>
      </c>
      <c r="I196" s="132">
        <f t="shared" si="4"/>
        <v>14</v>
      </c>
      <c r="J196" s="132">
        <f t="shared" si="4"/>
        <v>115</v>
      </c>
      <c r="K196" s="132">
        <f t="shared" si="4"/>
        <v>92</v>
      </c>
      <c r="L196" s="132">
        <f t="shared" si="4"/>
        <v>427</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119"/>
      <c r="B202" s="2068"/>
      <c r="C202" s="73">
        <v>2014</v>
      </c>
      <c r="D202" s="33"/>
      <c r="E202" s="34"/>
      <c r="F202" s="34"/>
      <c r="G202" s="32"/>
      <c r="H202" s="303"/>
      <c r="I202" s="304"/>
      <c r="J202" s="305"/>
      <c r="K202" s="34"/>
      <c r="L202" s="37"/>
    </row>
    <row r="203" spans="1:14">
      <c r="A203" s="2119"/>
      <c r="B203" s="2068"/>
      <c r="C203" s="74">
        <v>2015</v>
      </c>
      <c r="D203" s="40"/>
      <c r="E203" s="41"/>
      <c r="F203" s="41"/>
      <c r="G203" s="39"/>
      <c r="H203" s="306"/>
      <c r="I203" s="307"/>
      <c r="J203" s="308"/>
      <c r="K203" s="41"/>
      <c r="L203" s="86"/>
    </row>
    <row r="204" spans="1:14">
      <c r="A204" s="2119"/>
      <c r="B204" s="2068"/>
      <c r="C204" s="74">
        <v>2016</v>
      </c>
      <c r="D204" s="40"/>
      <c r="E204" s="41"/>
      <c r="F204" s="41"/>
      <c r="G204" s="39"/>
      <c r="H204" s="306"/>
      <c r="I204" s="307"/>
      <c r="J204" s="308"/>
      <c r="K204" s="41"/>
      <c r="L204" s="86"/>
    </row>
    <row r="205" spans="1:14">
      <c r="A205" s="2119"/>
      <c r="B205" s="2068"/>
      <c r="C205" s="74">
        <v>2017</v>
      </c>
      <c r="D205" s="40"/>
      <c r="E205" s="41"/>
      <c r="F205" s="41"/>
      <c r="G205" s="39"/>
      <c r="H205" s="306"/>
      <c r="I205" s="307"/>
      <c r="J205" s="308"/>
      <c r="K205" s="41"/>
      <c r="L205" s="86"/>
    </row>
    <row r="206" spans="1:14">
      <c r="A206" s="2119"/>
      <c r="B206" s="2068"/>
      <c r="C206" s="74">
        <v>2018</v>
      </c>
      <c r="D206" s="40"/>
      <c r="E206" s="41"/>
      <c r="F206" s="41"/>
      <c r="G206" s="39"/>
      <c r="H206" s="306"/>
      <c r="I206" s="307"/>
      <c r="J206" s="308"/>
      <c r="K206" s="41"/>
      <c r="L206" s="86"/>
    </row>
    <row r="207" spans="1:14">
      <c r="A207" s="2119"/>
      <c r="B207" s="2068"/>
      <c r="C207" s="74">
        <v>2019</v>
      </c>
      <c r="D207" s="40"/>
      <c r="E207" s="41"/>
      <c r="F207" s="41"/>
      <c r="G207" s="39"/>
      <c r="H207" s="306"/>
      <c r="I207" s="307"/>
      <c r="J207" s="308"/>
      <c r="K207" s="41"/>
      <c r="L207" s="86"/>
    </row>
    <row r="208" spans="1:14">
      <c r="A208" s="2119"/>
      <c r="B208" s="2068"/>
      <c r="C208" s="74">
        <v>2020</v>
      </c>
      <c r="D208" s="309"/>
      <c r="E208" s="310"/>
      <c r="F208" s="310"/>
      <c r="G208" s="311"/>
      <c r="H208" s="312"/>
      <c r="I208" s="313"/>
      <c r="J208" s="314"/>
      <c r="K208" s="310"/>
      <c r="L208" s="315"/>
    </row>
    <row r="209" spans="1:20" ht="20.25" customHeight="1" thickBot="1">
      <c r="A209" s="2070"/>
      <c r="B209" s="2071"/>
      <c r="C209" s="129" t="s">
        <v>13</v>
      </c>
      <c r="D209" s="132">
        <v>0</v>
      </c>
      <c r="E209" s="132">
        <v>0</v>
      </c>
      <c r="F209" s="132">
        <v>0</v>
      </c>
      <c r="G209" s="132">
        <v>0</v>
      </c>
      <c r="H209" s="132">
        <v>0</v>
      </c>
      <c r="I209" s="132">
        <v>0</v>
      </c>
      <c r="J209" s="132">
        <v>0</v>
      </c>
      <c r="K209" s="132">
        <v>0</v>
      </c>
      <c r="L209" s="132">
        <v>0</v>
      </c>
    </row>
    <row r="211" spans="1:20" ht="15.75" thickBot="1"/>
    <row r="212" spans="1:20" ht="29.25">
      <c r="A212" s="368" t="s">
        <v>148</v>
      </c>
      <c r="B212" s="317" t="s">
        <v>149</v>
      </c>
      <c r="C212" s="318">
        <v>2014</v>
      </c>
      <c r="D212" s="319">
        <v>2015</v>
      </c>
      <c r="E212" s="319">
        <v>2016</v>
      </c>
      <c r="F212" s="319">
        <v>2017</v>
      </c>
      <c r="G212" s="319">
        <v>2018</v>
      </c>
      <c r="H212" s="319">
        <v>2019</v>
      </c>
      <c r="I212" s="320">
        <v>2020</v>
      </c>
    </row>
    <row r="213" spans="1:20" ht="15" customHeight="1">
      <c r="A213" t="s">
        <v>150</v>
      </c>
      <c r="B213" s="2388" t="s">
        <v>255</v>
      </c>
      <c r="C213" s="73"/>
      <c r="D213" s="326">
        <v>0</v>
      </c>
      <c r="E213" s="326">
        <f>SUM(E214:E217)</f>
        <v>52149.11</v>
      </c>
      <c r="F213" s="326">
        <f>SUM(F214:F217)</f>
        <v>52829.83</v>
      </c>
      <c r="G213" s="128"/>
      <c r="H213" s="128"/>
      <c r="I213" s="327"/>
      <c r="J213" s="325">
        <f>SUM(E213+F213)</f>
        <v>104978.94</v>
      </c>
    </row>
    <row r="214" spans="1:20">
      <c r="A214" t="s">
        <v>153</v>
      </c>
      <c r="B214" s="2796"/>
      <c r="C214" s="73"/>
      <c r="D214" s="326">
        <v>0</v>
      </c>
      <c r="E214" s="326">
        <v>0</v>
      </c>
      <c r="F214" s="128">
        <v>0</v>
      </c>
      <c r="G214" s="128"/>
      <c r="H214" s="128"/>
      <c r="I214" s="327"/>
    </row>
    <row r="215" spans="1:20">
      <c r="A215" t="s">
        <v>155</v>
      </c>
      <c r="B215" s="2796"/>
      <c r="C215" s="73"/>
      <c r="D215" s="128">
        <v>0</v>
      </c>
      <c r="E215" s="128">
        <v>780.43</v>
      </c>
      <c r="F215" s="128">
        <v>0</v>
      </c>
      <c r="G215" s="128"/>
      <c r="H215" s="128"/>
      <c r="I215" s="327"/>
    </row>
    <row r="216" spans="1:20">
      <c r="A216" t="s">
        <v>157</v>
      </c>
      <c r="B216" s="2796"/>
      <c r="C216" s="73"/>
      <c r="D216" s="128">
        <v>0</v>
      </c>
      <c r="E216" s="128">
        <v>0</v>
      </c>
      <c r="F216" s="128">
        <v>0</v>
      </c>
      <c r="G216" s="128"/>
      <c r="H216" s="128"/>
      <c r="I216" s="327"/>
    </row>
    <row r="217" spans="1:20">
      <c r="A217" t="s">
        <v>158</v>
      </c>
      <c r="B217" s="2796"/>
      <c r="C217" s="73"/>
      <c r="D217" s="128">
        <v>0</v>
      </c>
      <c r="E217" s="326">
        <v>51368.68</v>
      </c>
      <c r="F217" s="326">
        <v>52829.83</v>
      </c>
      <c r="G217" s="128"/>
      <c r="H217" s="128"/>
      <c r="I217" s="327"/>
      <c r="K217" s="325"/>
    </row>
    <row r="218" spans="1:20" ht="30">
      <c r="A218" s="31" t="s">
        <v>159</v>
      </c>
      <c r="B218" s="2796"/>
      <c r="C218" s="73"/>
      <c r="D218" s="326">
        <v>0</v>
      </c>
      <c r="E218" s="326">
        <v>109329.15</v>
      </c>
      <c r="F218" s="326">
        <v>40395.4</v>
      </c>
      <c r="G218" s="128"/>
      <c r="H218" s="128"/>
      <c r="I218" s="327"/>
    </row>
    <row r="219" spans="1:20" ht="315" customHeight="1" thickBot="1">
      <c r="A219" s="467"/>
      <c r="B219" s="2797"/>
      <c r="C219" s="45" t="s">
        <v>13</v>
      </c>
      <c r="D219" s="333">
        <v>0</v>
      </c>
      <c r="E219" s="331">
        <f>SUM(E213+E218)</f>
        <v>161478.26</v>
      </c>
      <c r="F219" s="331">
        <f>F213+F218</f>
        <v>93225.23000000001</v>
      </c>
      <c r="G219" s="331">
        <f t="shared" ref="G219:I219" si="5">G213+G218</f>
        <v>0</v>
      </c>
      <c r="H219" s="331">
        <f t="shared" si="5"/>
        <v>0</v>
      </c>
      <c r="I219" s="331">
        <f t="shared" si="5"/>
        <v>0</v>
      </c>
    </row>
    <row r="223" spans="1:20">
      <c r="T223">
        <f>SUM(T220:T222)</f>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Y227"/>
  <sheetViews>
    <sheetView topLeftCell="B223" zoomScale="60" zoomScaleNormal="60" workbookViewId="0">
      <selection activeCell="H214" sqref="H21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256</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20"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t="s">
        <v>257</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15</v>
      </c>
      <c r="E19" s="41">
        <v>1</v>
      </c>
      <c r="F19" s="41"/>
      <c r="G19" s="35">
        <f t="shared" si="0"/>
        <v>16</v>
      </c>
      <c r="H19" s="42">
        <v>16</v>
      </c>
      <c r="I19" s="41"/>
      <c r="J19" s="41"/>
      <c r="K19" s="41"/>
      <c r="L19" s="41"/>
      <c r="M19" s="41"/>
      <c r="N19" s="41"/>
      <c r="O19" s="43"/>
      <c r="P19" s="38"/>
      <c r="Q19" s="38"/>
      <c r="R19" s="38"/>
      <c r="S19" s="38"/>
      <c r="T19" s="38"/>
      <c r="U19" s="38"/>
      <c r="V19" s="38"/>
      <c r="W19" s="38"/>
      <c r="X19" s="38"/>
      <c r="Y19" s="38"/>
    </row>
    <row r="20" spans="1:25">
      <c r="A20" s="2654"/>
      <c r="B20" s="2068"/>
      <c r="C20" s="39">
        <v>2017</v>
      </c>
      <c r="D20" s="40">
        <v>6</v>
      </c>
      <c r="E20" s="41"/>
      <c r="F20" s="41"/>
      <c r="G20" s="35">
        <f t="shared" si="0"/>
        <v>6</v>
      </c>
      <c r="H20" s="42">
        <v>6</v>
      </c>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48.6" customHeight="1" thickBot="1">
      <c r="A24" s="2070"/>
      <c r="B24" s="2071"/>
      <c r="C24" s="45" t="s">
        <v>13</v>
      </c>
      <c r="D24" s="46">
        <f>SUM(D17:D23)</f>
        <v>21</v>
      </c>
      <c r="E24" s="47">
        <f>SUM(E17:E23)</f>
        <v>1</v>
      </c>
      <c r="F24" s="47">
        <f>SUM(F17:F23)</f>
        <v>0</v>
      </c>
      <c r="G24" s="48">
        <f>SUM(D24:F24)</f>
        <v>22</v>
      </c>
      <c r="H24" s="49">
        <f>SUM(H17:H23)</f>
        <v>22</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t="s">
        <v>258</v>
      </c>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75"/>
      <c r="F29" s="41"/>
      <c r="G29" s="59">
        <f t="shared" ref="G29:G35" si="2">SUM(D29:F29)</f>
        <v>0</v>
      </c>
      <c r="H29" s="38"/>
      <c r="I29" s="38"/>
      <c r="J29" s="38"/>
      <c r="K29" s="38"/>
      <c r="L29" s="38"/>
      <c r="M29" s="38"/>
      <c r="N29" s="38"/>
      <c r="O29" s="38"/>
      <c r="P29" s="38"/>
      <c r="Q29" s="8"/>
    </row>
    <row r="30" spans="1:25">
      <c r="A30" s="2654"/>
      <c r="B30" s="2068"/>
      <c r="C30" s="60">
        <v>2016</v>
      </c>
      <c r="D30" s="42">
        <v>2375</v>
      </c>
      <c r="E30" s="475">
        <v>80000</v>
      </c>
      <c r="F30" s="41"/>
      <c r="G30" s="59">
        <f t="shared" si="2"/>
        <v>82375</v>
      </c>
      <c r="H30" s="38"/>
      <c r="I30" s="38"/>
      <c r="J30" s="38"/>
      <c r="K30" s="38"/>
      <c r="L30" s="38"/>
      <c r="M30" s="38"/>
      <c r="N30" s="38"/>
      <c r="O30" s="38"/>
      <c r="P30" s="38"/>
      <c r="Q30" s="8"/>
    </row>
    <row r="31" spans="1:25">
      <c r="A31" s="2654"/>
      <c r="B31" s="2068"/>
      <c r="C31" s="60">
        <v>2017</v>
      </c>
      <c r="D31" s="42">
        <v>10452</v>
      </c>
      <c r="E31" s="41"/>
      <c r="F31" s="41"/>
      <c r="G31" s="59">
        <f t="shared" si="2"/>
        <v>10452</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12827</v>
      </c>
      <c r="E35" s="47">
        <f>SUM(E28:E34)</f>
        <v>80000</v>
      </c>
      <c r="F35" s="47">
        <f>SUM(F28:F34)</f>
        <v>0</v>
      </c>
      <c r="G35" s="51">
        <f t="shared" si="2"/>
        <v>92827</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40">
        <v>1018</v>
      </c>
      <c r="E42" s="39">
        <v>67</v>
      </c>
      <c r="F42" s="8"/>
      <c r="G42" s="38"/>
      <c r="H42" s="38"/>
    </row>
    <row r="43" spans="1:17">
      <c r="A43" s="2654"/>
      <c r="B43" s="2068"/>
      <c r="C43" s="74">
        <v>2017</v>
      </c>
      <c r="D43" s="40">
        <v>2077</v>
      </c>
      <c r="E43" s="39">
        <v>318</v>
      </c>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3095</v>
      </c>
      <c r="E47" s="76">
        <f>SUM(E40:E46)</f>
        <v>385</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v>1</v>
      </c>
      <c r="E54" s="41"/>
      <c r="F54" s="41"/>
      <c r="G54" s="41">
        <v>10</v>
      </c>
      <c r="H54" s="41"/>
      <c r="I54" s="41"/>
      <c r="J54" s="41">
        <v>3</v>
      </c>
      <c r="K54" s="86">
        <v>5</v>
      </c>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1</v>
      </c>
      <c r="E58" s="47">
        <f>SUM(E51:E57)</f>
        <v>0</v>
      </c>
      <c r="F58" s="47">
        <f>SUM(F51:F57)</f>
        <v>0</v>
      </c>
      <c r="G58" s="47">
        <f>SUM(G51:G57)</f>
        <v>10</v>
      </c>
      <c r="H58" s="47">
        <f>SUM(H51:H57)</f>
        <v>0</v>
      </c>
      <c r="I58" s="47">
        <f t="shared" ref="I58" si="3">SUM(I51:I57)</f>
        <v>0</v>
      </c>
      <c r="J58" s="47">
        <f>SUM(J51:J57)</f>
        <v>3</v>
      </c>
      <c r="K58" s="51">
        <f>SUM(K50:K56)</f>
        <v>5</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684"/>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c r="E64" s="105"/>
      <c r="F64" s="41"/>
      <c r="G64" s="41"/>
      <c r="H64" s="41"/>
      <c r="I64" s="41"/>
      <c r="J64" s="41"/>
      <c r="K64" s="41"/>
      <c r="L64" s="86"/>
      <c r="M64" s="8"/>
      <c r="N64" s="8"/>
      <c r="O64" s="8"/>
    </row>
    <row r="65" spans="1:20">
      <c r="A65" s="2659"/>
      <c r="B65" s="2039"/>
      <c r="C65" s="103">
        <v>2017</v>
      </c>
      <c r="D65" s="104"/>
      <c r="E65" s="105"/>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0</v>
      </c>
      <c r="E69" s="108">
        <f>SUM(E62:E68)</f>
        <v>0</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t="s">
        <v>259</v>
      </c>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c r="E74" s="128"/>
      <c r="F74" s="128">
        <v>12</v>
      </c>
      <c r="G74" s="125">
        <f t="shared" si="5"/>
        <v>12</v>
      </c>
      <c r="H74" s="40">
        <v>12</v>
      </c>
      <c r="I74" s="40"/>
      <c r="J74" s="41"/>
      <c r="K74" s="41"/>
      <c r="L74" s="41"/>
      <c r="M74" s="41"/>
      <c r="N74" s="41"/>
      <c r="O74" s="86"/>
    </row>
    <row r="75" spans="1:20">
      <c r="A75" s="2654"/>
      <c r="B75" s="2039"/>
      <c r="C75" s="74">
        <v>2017</v>
      </c>
      <c r="D75" s="128"/>
      <c r="E75" s="128"/>
      <c r="F75" s="128">
        <v>31</v>
      </c>
      <c r="G75" s="125">
        <f t="shared" si="5"/>
        <v>31</v>
      </c>
      <c r="H75" s="40">
        <v>31</v>
      </c>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43</v>
      </c>
      <c r="G79" s="130">
        <f>SUM(G72:G78)</f>
        <v>43</v>
      </c>
      <c r="H79" s="131">
        <v>43</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672"/>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672"/>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t="s">
        <v>260</v>
      </c>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v>6</v>
      </c>
      <c r="E111" s="170">
        <v>6</v>
      </c>
      <c r="F111" s="171"/>
      <c r="G111" s="171"/>
      <c r="H111" s="171"/>
      <c r="I111" s="171"/>
      <c r="J111" s="171"/>
      <c r="K111" s="171"/>
      <c r="L111" s="172"/>
      <c r="M111" s="178"/>
      <c r="N111" s="178"/>
    </row>
    <row r="112" spans="1:16">
      <c r="A112" s="2659"/>
      <c r="B112" s="2039"/>
      <c r="C112" s="103">
        <v>2017</v>
      </c>
      <c r="D112" s="41">
        <v>10</v>
      </c>
      <c r="E112" s="170">
        <v>10</v>
      </c>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16</v>
      </c>
      <c r="E116" s="173">
        <f t="shared" si="9"/>
        <v>16</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672"/>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69" t="s">
        <v>9</v>
      </c>
      <c r="D129" s="182" t="s">
        <v>76</v>
      </c>
      <c r="E129" s="183"/>
      <c r="F129" s="183"/>
      <c r="G129" s="184"/>
      <c r="H129" s="178"/>
      <c r="I129" s="178"/>
      <c r="J129" s="178"/>
      <c r="K129" s="178"/>
      <c r="L129" s="178"/>
      <c r="M129" s="178"/>
      <c r="N129" s="178"/>
    </row>
    <row r="130" spans="1:16" ht="77.25" customHeight="1">
      <c r="A130" s="2672"/>
      <c r="B130" s="2046"/>
      <c r="C130" s="468"/>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676"/>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476">
        <f>SUM(D165,F165,H165)</f>
        <v>0</v>
      </c>
      <c r="K165" s="250">
        <f>SUM(E165,G165,I165)</f>
        <v>0</v>
      </c>
      <c r="L165" s="247"/>
    </row>
    <row r="166" spans="1:18">
      <c r="A166" s="2095"/>
      <c r="B166" s="2026"/>
      <c r="C166" s="251">
        <v>2015</v>
      </c>
      <c r="D166" s="252"/>
      <c r="E166" s="252"/>
      <c r="F166" s="252"/>
      <c r="G166" s="252"/>
      <c r="H166" s="252"/>
      <c r="I166" s="253"/>
      <c r="J166" s="477">
        <f t="shared" ref="J166:K171" si="17">SUM(D166,F166,H166)</f>
        <v>0</v>
      </c>
      <c r="K166" s="255">
        <f t="shared" si="17"/>
        <v>0</v>
      </c>
      <c r="L166" s="247"/>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247"/>
    </row>
    <row r="170" spans="1:18">
      <c r="A170" s="2095"/>
      <c r="B170" s="2026"/>
      <c r="C170" s="251">
        <v>2019</v>
      </c>
      <c r="D170" s="158"/>
      <c r="E170" s="252"/>
      <c r="F170" s="252"/>
      <c r="G170" s="252"/>
      <c r="H170" s="257"/>
      <c r="I170" s="253"/>
      <c r="J170" s="477">
        <f t="shared" si="17"/>
        <v>0</v>
      </c>
      <c r="K170" s="255">
        <f t="shared" si="17"/>
        <v>0</v>
      </c>
      <c r="L170" s="247"/>
    </row>
    <row r="171" spans="1:18">
      <c r="A171" s="2095"/>
      <c r="B171" s="2026"/>
      <c r="C171" s="256">
        <v>2020</v>
      </c>
      <c r="D171" s="252"/>
      <c r="E171" s="252"/>
      <c r="F171" s="252"/>
      <c r="G171" s="252"/>
      <c r="H171" s="252"/>
      <c r="I171" s="253"/>
      <c r="J171" s="477">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669"/>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63" t="s">
        <v>261</v>
      </c>
      <c r="B178" s="2039"/>
      <c r="C178" s="99">
        <v>2014</v>
      </c>
      <c r="D178" s="33"/>
      <c r="E178" s="34"/>
      <c r="F178" s="34"/>
      <c r="G178" s="278">
        <f>SUM(D178:F178)</f>
        <v>0</v>
      </c>
      <c r="H178" s="148"/>
      <c r="I178" s="148"/>
      <c r="J178" s="34"/>
      <c r="K178" s="34"/>
      <c r="L178" s="34"/>
      <c r="M178" s="34"/>
      <c r="N178" s="34"/>
      <c r="O178" s="37"/>
    </row>
    <row r="179" spans="1:15">
      <c r="A179" s="2659"/>
      <c r="B179" s="2039"/>
      <c r="C179" s="103">
        <v>2015</v>
      </c>
      <c r="D179" s="40"/>
      <c r="E179" s="41"/>
      <c r="F179" s="41"/>
      <c r="G179" s="278">
        <f t="shared" ref="G179:G184" si="19">SUM(D179:F179)</f>
        <v>0</v>
      </c>
      <c r="H179" s="279"/>
      <c r="I179" s="105"/>
      <c r="J179" s="41"/>
      <c r="K179" s="41"/>
      <c r="L179" s="41"/>
      <c r="M179" s="41"/>
      <c r="N179" s="41"/>
      <c r="O179" s="86"/>
    </row>
    <row r="180" spans="1:15">
      <c r="A180" s="2659"/>
      <c r="B180" s="2039"/>
      <c r="C180" s="103">
        <v>2016</v>
      </c>
      <c r="D180" s="40">
        <v>6</v>
      </c>
      <c r="E180" s="41"/>
      <c r="F180" s="41"/>
      <c r="G180" s="278">
        <f t="shared" si="19"/>
        <v>6</v>
      </c>
      <c r="H180" s="279">
        <v>6</v>
      </c>
      <c r="I180" s="105">
        <v>6</v>
      </c>
      <c r="J180" s="41"/>
      <c r="K180" s="41"/>
      <c r="L180" s="41"/>
      <c r="M180" s="41"/>
      <c r="N180" s="41"/>
      <c r="O180" s="86"/>
    </row>
    <row r="181" spans="1:15">
      <c r="A181" s="2659"/>
      <c r="B181" s="2039"/>
      <c r="C181" s="103">
        <v>2017</v>
      </c>
      <c r="D181" s="40">
        <v>5</v>
      </c>
      <c r="E181" s="41"/>
      <c r="F181" s="41"/>
      <c r="G181" s="278">
        <f t="shared" si="19"/>
        <v>5</v>
      </c>
      <c r="H181" s="279">
        <v>5</v>
      </c>
      <c r="I181" s="105">
        <v>5</v>
      </c>
      <c r="J181" s="41"/>
      <c r="K181" s="41"/>
      <c r="L181" s="41"/>
      <c r="M181" s="41"/>
      <c r="N181" s="41"/>
      <c r="O181" s="86"/>
    </row>
    <row r="182" spans="1:15">
      <c r="A182" s="2659"/>
      <c r="B182" s="2039"/>
      <c r="C182" s="103">
        <v>2018</v>
      </c>
      <c r="D182" s="40"/>
      <c r="E182" s="41"/>
      <c r="F182" s="41"/>
      <c r="G182" s="278">
        <f t="shared" si="19"/>
        <v>0</v>
      </c>
      <c r="H182" s="279"/>
      <c r="I182" s="105"/>
      <c r="J182" s="41"/>
      <c r="K182" s="41"/>
      <c r="L182" s="41"/>
      <c r="M182" s="41"/>
      <c r="N182" s="41"/>
      <c r="O182" s="86"/>
    </row>
    <row r="183" spans="1:15">
      <c r="A183" s="2659"/>
      <c r="B183" s="2039"/>
      <c r="C183" s="103">
        <v>2019</v>
      </c>
      <c r="D183" s="40"/>
      <c r="E183" s="41"/>
      <c r="F183" s="41"/>
      <c r="G183" s="278">
        <f t="shared" si="19"/>
        <v>0</v>
      </c>
      <c r="H183" s="279"/>
      <c r="I183" s="105"/>
      <c r="J183" s="41"/>
      <c r="K183" s="41"/>
      <c r="L183" s="41"/>
      <c r="M183" s="41"/>
      <c r="N183" s="41"/>
      <c r="O183" s="86"/>
    </row>
    <row r="184" spans="1:15">
      <c r="A184" s="2659"/>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11</v>
      </c>
      <c r="E185" s="109">
        <f>SUM(E178:E184)</f>
        <v>0</v>
      </c>
      <c r="F185" s="109">
        <f>SUM(F178:F184)</f>
        <v>0</v>
      </c>
      <c r="G185" s="217">
        <f t="shared" ref="G185:O185" si="20">SUM(G178:G184)</f>
        <v>11</v>
      </c>
      <c r="H185" s="280">
        <f t="shared" si="20"/>
        <v>11</v>
      </c>
      <c r="I185" s="108">
        <f t="shared" si="20"/>
        <v>11</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 t="shared" ref="G190:G195" si="21">SUM(D190:F190)</f>
        <v>0</v>
      </c>
      <c r="H190" s="105"/>
      <c r="I190" s="41"/>
      <c r="J190" s="41"/>
      <c r="K190" s="41"/>
      <c r="L190" s="86"/>
    </row>
    <row r="191" spans="1:15">
      <c r="A191" s="2658"/>
      <c r="B191" s="2068"/>
      <c r="C191" s="74">
        <v>2016</v>
      </c>
      <c r="D191" s="40">
        <v>66</v>
      </c>
      <c r="E191" s="41"/>
      <c r="F191" s="41"/>
      <c r="G191" s="286">
        <f t="shared" si="21"/>
        <v>66</v>
      </c>
      <c r="H191" s="105"/>
      <c r="I191" s="41"/>
      <c r="J191" s="41">
        <v>66</v>
      </c>
      <c r="K191" s="41"/>
      <c r="L191" s="86"/>
    </row>
    <row r="192" spans="1:15">
      <c r="A192" s="2658"/>
      <c r="B192" s="2068"/>
      <c r="C192" s="74">
        <v>2017</v>
      </c>
      <c r="D192" s="40">
        <v>158</v>
      </c>
      <c r="E192" s="41"/>
      <c r="F192" s="41"/>
      <c r="G192" s="286">
        <f t="shared" si="21"/>
        <v>158</v>
      </c>
      <c r="H192" s="105"/>
      <c r="I192" s="41"/>
      <c r="J192" s="41">
        <v>111</v>
      </c>
      <c r="K192" s="41">
        <v>47</v>
      </c>
      <c r="L192" s="86"/>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224</v>
      </c>
      <c r="E196" s="109">
        <f t="shared" si="22"/>
        <v>0</v>
      </c>
      <c r="F196" s="109">
        <f t="shared" si="22"/>
        <v>0</v>
      </c>
      <c r="G196" s="290">
        <f t="shared" si="22"/>
        <v>224</v>
      </c>
      <c r="H196" s="108">
        <f t="shared" si="22"/>
        <v>0</v>
      </c>
      <c r="I196" s="109">
        <f t="shared" si="22"/>
        <v>0</v>
      </c>
      <c r="J196" s="109">
        <f t="shared" si="22"/>
        <v>177</v>
      </c>
      <c r="K196" s="109">
        <f t="shared" si="22"/>
        <v>47</v>
      </c>
      <c r="L196" s="110">
        <f t="shared" si="22"/>
        <v>0</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c r="C213" s="73"/>
      <c r="D213" s="128"/>
      <c r="E213" s="326">
        <v>196722.95</v>
      </c>
      <c r="F213" s="128">
        <v>23464.799999999999</v>
      </c>
      <c r="G213" s="128"/>
      <c r="H213" s="128"/>
      <c r="I213" s="327"/>
    </row>
    <row r="214" spans="1:12">
      <c r="A214" t="s">
        <v>153</v>
      </c>
      <c r="B214" s="2171"/>
      <c r="C214" s="73"/>
      <c r="D214" s="128"/>
      <c r="E214" s="326">
        <v>196722.95</v>
      </c>
      <c r="F214" s="128">
        <v>23464.799999999999</v>
      </c>
      <c r="G214" s="128"/>
      <c r="H214" s="128"/>
      <c r="I214" s="327"/>
    </row>
    <row r="215" spans="1:12">
      <c r="A215" t="s">
        <v>155</v>
      </c>
      <c r="B215" s="2171"/>
      <c r="C215" s="73"/>
      <c r="D215" s="128"/>
      <c r="E215" s="326"/>
      <c r="F215" s="128"/>
      <c r="G215" s="128"/>
      <c r="H215" s="128"/>
      <c r="I215" s="327"/>
    </row>
    <row r="216" spans="1:12">
      <c r="A216" t="s">
        <v>157</v>
      </c>
      <c r="B216" s="2171"/>
      <c r="C216" s="73"/>
      <c r="D216" s="128"/>
      <c r="E216" s="326">
        <v>0</v>
      </c>
      <c r="F216" s="128"/>
      <c r="G216" s="128"/>
      <c r="H216" s="128"/>
      <c r="I216" s="327"/>
    </row>
    <row r="217" spans="1:12">
      <c r="A217" t="s">
        <v>158</v>
      </c>
      <c r="B217" s="2171"/>
      <c r="C217" s="73"/>
      <c r="D217" s="128"/>
      <c r="E217" s="326">
        <v>0</v>
      </c>
      <c r="F217" s="128"/>
      <c r="G217" s="128"/>
      <c r="H217" s="128"/>
      <c r="I217" s="327"/>
    </row>
    <row r="218" spans="1:12" ht="30">
      <c r="A218" s="31" t="s">
        <v>159</v>
      </c>
      <c r="B218" s="2171"/>
      <c r="C218" s="73"/>
      <c r="D218" s="128"/>
      <c r="E218" s="326">
        <v>123639.35</v>
      </c>
      <c r="F218" s="326">
        <v>56637.53</v>
      </c>
      <c r="G218" s="128"/>
      <c r="H218" s="128"/>
      <c r="I218" s="327"/>
    </row>
    <row r="219" spans="1:12" ht="15.75" thickBot="1">
      <c r="A219" s="349"/>
      <c r="B219" s="2172"/>
      <c r="C219" s="45" t="s">
        <v>13</v>
      </c>
      <c r="D219" s="333">
        <f>SUM(D214:D218)</f>
        <v>0</v>
      </c>
      <c r="E219" s="331">
        <f t="shared" ref="E219:I219" si="24">SUM(E214:E218)</f>
        <v>320362.30000000005</v>
      </c>
      <c r="F219" s="333">
        <f t="shared" si="24"/>
        <v>80102.33</v>
      </c>
      <c r="G219" s="333">
        <f t="shared" si="24"/>
        <v>0</v>
      </c>
      <c r="H219" s="333">
        <f t="shared" si="24"/>
        <v>0</v>
      </c>
      <c r="I219" s="33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Y227"/>
  <sheetViews>
    <sheetView topLeftCell="B202" zoomScale="60" zoomScaleNormal="60" workbookViewId="0">
      <selection activeCell="K195" sqref="K19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262</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674" t="s">
        <v>263</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54"/>
      <c r="B18" s="2068"/>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654"/>
      <c r="B19" s="2068"/>
      <c r="C19" s="39">
        <v>2016</v>
      </c>
      <c r="D19" s="40">
        <v>28</v>
      </c>
      <c r="E19" s="41"/>
      <c r="F19" s="41"/>
      <c r="G19" s="35">
        <f t="shared" si="0"/>
        <v>28</v>
      </c>
      <c r="H19" s="42">
        <v>28</v>
      </c>
      <c r="I19" s="41"/>
      <c r="J19" s="41"/>
      <c r="K19" s="41"/>
      <c r="L19" s="41"/>
      <c r="M19" s="41"/>
      <c r="N19" s="41"/>
      <c r="O19" s="43"/>
      <c r="P19" s="38"/>
      <c r="Q19" s="38"/>
      <c r="R19" s="38"/>
      <c r="S19" s="38"/>
      <c r="T19" s="38"/>
      <c r="U19" s="38"/>
      <c r="V19" s="38"/>
      <c r="W19" s="38"/>
      <c r="X19" s="38"/>
      <c r="Y19" s="38"/>
    </row>
    <row r="20" spans="1:25">
      <c r="A20" s="2654"/>
      <c r="B20" s="2068"/>
      <c r="C20" s="39">
        <v>2017</v>
      </c>
      <c r="D20" s="40">
        <v>3</v>
      </c>
      <c r="E20" s="41">
        <v>1</v>
      </c>
      <c r="F20" s="41"/>
      <c r="G20" s="35">
        <f t="shared" si="0"/>
        <v>4</v>
      </c>
      <c r="H20" s="42">
        <v>4</v>
      </c>
      <c r="I20" s="41"/>
      <c r="J20" s="41"/>
      <c r="K20" s="41"/>
      <c r="L20" s="41"/>
      <c r="M20" s="41"/>
      <c r="N20" s="41"/>
      <c r="O20" s="43"/>
      <c r="P20" s="38"/>
      <c r="Q20" s="38"/>
      <c r="R20" s="38"/>
      <c r="S20" s="38"/>
      <c r="T20" s="38"/>
      <c r="U20" s="38"/>
      <c r="V20" s="38"/>
      <c r="W20" s="38"/>
      <c r="X20" s="38"/>
      <c r="Y20" s="38"/>
    </row>
    <row r="21" spans="1:25">
      <c r="A21" s="2654"/>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654"/>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654"/>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31</v>
      </c>
      <c r="E24" s="47">
        <f>SUM(E17:E23)</f>
        <v>1</v>
      </c>
      <c r="F24" s="47">
        <f>SUM(F17:F23)</f>
        <v>0</v>
      </c>
      <c r="G24" s="48">
        <f>SUM(D24:F24)</f>
        <v>32</v>
      </c>
      <c r="H24" s="49">
        <f>SUM(H17:H23)</f>
        <v>32</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674"/>
      <c r="B28" s="2068"/>
      <c r="C28" s="58">
        <v>2014</v>
      </c>
      <c r="D28" s="36"/>
      <c r="E28" s="34"/>
      <c r="F28" s="34"/>
      <c r="G28" s="59">
        <f>SUM(D28:F28)</f>
        <v>0</v>
      </c>
      <c r="H28" s="38"/>
      <c r="I28" s="38"/>
      <c r="J28" s="38"/>
      <c r="K28" s="38"/>
      <c r="L28" s="38"/>
      <c r="M28" s="38"/>
      <c r="N28" s="38"/>
      <c r="O28" s="38"/>
      <c r="P28" s="38"/>
      <c r="Q28" s="8"/>
    </row>
    <row r="29" spans="1:25">
      <c r="A29" s="2654"/>
      <c r="B29" s="2068"/>
      <c r="C29" s="60">
        <v>2015</v>
      </c>
      <c r="D29" s="42"/>
      <c r="E29" s="41"/>
      <c r="F29" s="41"/>
      <c r="G29" s="59">
        <f t="shared" ref="G29:G35" si="2">SUM(D29:F29)</f>
        <v>0</v>
      </c>
      <c r="H29" s="38"/>
      <c r="I29" s="38"/>
      <c r="J29" s="38"/>
      <c r="K29" s="38"/>
      <c r="L29" s="38"/>
      <c r="M29" s="38"/>
      <c r="N29" s="38"/>
      <c r="O29" s="38"/>
      <c r="P29" s="38"/>
      <c r="Q29" s="8"/>
    </row>
    <row r="30" spans="1:25">
      <c r="A30" s="2654"/>
      <c r="B30" s="2068"/>
      <c r="C30" s="60">
        <v>2016</v>
      </c>
      <c r="D30" s="42">
        <v>749</v>
      </c>
      <c r="E30" s="41"/>
      <c r="F30" s="41"/>
      <c r="G30" s="59">
        <f t="shared" si="2"/>
        <v>749</v>
      </c>
      <c r="H30" s="38"/>
      <c r="I30" s="38"/>
      <c r="J30" s="38"/>
      <c r="K30" s="38"/>
      <c r="L30" s="38"/>
      <c r="M30" s="38"/>
      <c r="N30" s="38"/>
      <c r="O30" s="38"/>
      <c r="P30" s="38"/>
      <c r="Q30" s="8"/>
    </row>
    <row r="31" spans="1:25">
      <c r="A31" s="2654"/>
      <c r="B31" s="2068"/>
      <c r="C31" s="60">
        <v>2017</v>
      </c>
      <c r="D31" s="42">
        <v>9000</v>
      </c>
      <c r="E31" s="41">
        <v>71250</v>
      </c>
      <c r="F31" s="41"/>
      <c r="G31" s="59">
        <f t="shared" si="2"/>
        <v>80250</v>
      </c>
      <c r="H31" s="38"/>
      <c r="I31" s="38"/>
      <c r="J31" s="38"/>
      <c r="K31" s="38"/>
      <c r="L31" s="38"/>
      <c r="M31" s="38"/>
      <c r="N31" s="38"/>
      <c r="O31" s="38"/>
      <c r="P31" s="38"/>
      <c r="Q31" s="8"/>
    </row>
    <row r="32" spans="1:25">
      <c r="A32" s="2654"/>
      <c r="B32" s="2068"/>
      <c r="C32" s="60">
        <v>2018</v>
      </c>
      <c r="D32" s="42"/>
      <c r="E32" s="41"/>
      <c r="F32" s="41"/>
      <c r="G32" s="59">
        <f>SUM(D32:F32)</f>
        <v>0</v>
      </c>
      <c r="H32" s="38"/>
      <c r="I32" s="38"/>
      <c r="J32" s="38"/>
      <c r="K32" s="38"/>
      <c r="L32" s="38"/>
      <c r="M32" s="38"/>
      <c r="N32" s="38"/>
      <c r="O32" s="38"/>
      <c r="P32" s="38"/>
      <c r="Q32" s="8"/>
    </row>
    <row r="33" spans="1:17">
      <c r="A33" s="2654"/>
      <c r="B33" s="2068"/>
      <c r="C33" s="61">
        <v>2019</v>
      </c>
      <c r="D33" s="42"/>
      <c r="E33" s="41"/>
      <c r="F33" s="41"/>
      <c r="G33" s="59">
        <f t="shared" si="2"/>
        <v>0</v>
      </c>
      <c r="H33" s="38"/>
      <c r="I33" s="38"/>
      <c r="J33" s="38"/>
      <c r="K33" s="38"/>
      <c r="L33" s="38"/>
      <c r="M33" s="38"/>
      <c r="N33" s="38"/>
      <c r="O33" s="38"/>
      <c r="P33" s="38"/>
      <c r="Q33" s="8"/>
    </row>
    <row r="34" spans="1:17">
      <c r="A34" s="2654"/>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9749</v>
      </c>
      <c r="E35" s="47">
        <f>SUM(E28:E34)</f>
        <v>71250</v>
      </c>
      <c r="F35" s="47">
        <f>SUM(F28:F34)</f>
        <v>0</v>
      </c>
      <c r="G35" s="51">
        <f t="shared" si="2"/>
        <v>80999</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t="s">
        <v>264</v>
      </c>
      <c r="B40" s="2068"/>
      <c r="C40" s="73">
        <v>2014</v>
      </c>
      <c r="D40" s="33"/>
      <c r="E40" s="32"/>
      <c r="F40" s="8"/>
      <c r="G40" s="38"/>
      <c r="H40" s="38"/>
    </row>
    <row r="41" spans="1:17">
      <c r="A41" s="2654"/>
      <c r="B41" s="2068"/>
      <c r="C41" s="74">
        <v>2015</v>
      </c>
      <c r="D41" s="40"/>
      <c r="E41" s="39"/>
      <c r="F41" s="8"/>
      <c r="G41" s="38"/>
      <c r="H41" s="38"/>
    </row>
    <row r="42" spans="1:17">
      <c r="A42" s="2654"/>
      <c r="B42" s="2068"/>
      <c r="C42" s="74">
        <v>2016</v>
      </c>
      <c r="D42" s="40">
        <v>11637</v>
      </c>
      <c r="E42" s="39">
        <v>11637</v>
      </c>
      <c r="F42" s="8"/>
      <c r="G42" s="38"/>
      <c r="H42" s="38"/>
    </row>
    <row r="43" spans="1:17">
      <c r="A43" s="2654"/>
      <c r="B43" s="2068"/>
      <c r="C43" s="74">
        <v>2017</v>
      </c>
      <c r="D43" s="40">
        <v>6000</v>
      </c>
      <c r="E43" s="39">
        <v>6000</v>
      </c>
      <c r="F43" s="8"/>
      <c r="G43" s="38"/>
      <c r="H43" s="38"/>
    </row>
    <row r="44" spans="1:17">
      <c r="A44" s="2654"/>
      <c r="B44" s="2068"/>
      <c r="C44" s="74">
        <v>2018</v>
      </c>
      <c r="D44" s="40"/>
      <c r="E44" s="39"/>
      <c r="F44" s="8"/>
      <c r="G44" s="38"/>
      <c r="H44" s="38"/>
    </row>
    <row r="45" spans="1:17">
      <c r="A45" s="2654"/>
      <c r="B45" s="2068"/>
      <c r="C45" s="74">
        <v>2019</v>
      </c>
      <c r="D45" s="40"/>
      <c r="E45" s="39"/>
      <c r="F45" s="8"/>
      <c r="G45" s="38"/>
      <c r="H45" s="38"/>
    </row>
    <row r="46" spans="1:17">
      <c r="A46" s="2654"/>
      <c r="B46" s="2068"/>
      <c r="C46" s="74">
        <v>2020</v>
      </c>
      <c r="D46" s="40"/>
      <c r="E46" s="39"/>
      <c r="F46" s="8"/>
      <c r="G46" s="38"/>
      <c r="H46" s="38"/>
    </row>
    <row r="47" spans="1:17" ht="15.75" thickBot="1">
      <c r="A47" s="2070"/>
      <c r="B47" s="2071"/>
      <c r="C47" s="45" t="s">
        <v>13</v>
      </c>
      <c r="D47" s="46">
        <f>SUM(D40:D46)</f>
        <v>17637</v>
      </c>
      <c r="E47" s="76">
        <f>SUM(E40:E46)</f>
        <v>17637</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674"/>
      <c r="B51" s="2026"/>
      <c r="C51" s="74">
        <v>2014</v>
      </c>
      <c r="D51" s="40"/>
      <c r="E51" s="41"/>
      <c r="F51" s="41"/>
      <c r="G51" s="41"/>
      <c r="H51" s="41"/>
      <c r="I51" s="41"/>
      <c r="J51" s="41"/>
      <c r="K51" s="86"/>
    </row>
    <row r="52" spans="1:15">
      <c r="A52" s="2674"/>
      <c r="B52" s="2026"/>
      <c r="C52" s="74">
        <v>2015</v>
      </c>
      <c r="D52" s="40"/>
      <c r="E52" s="41"/>
      <c r="F52" s="41"/>
      <c r="G52" s="41"/>
      <c r="H52" s="41"/>
      <c r="I52" s="41"/>
      <c r="J52" s="41"/>
      <c r="K52" s="86"/>
    </row>
    <row r="53" spans="1:15">
      <c r="A53" s="2674"/>
      <c r="B53" s="2026"/>
      <c r="C53" s="74">
        <v>2016</v>
      </c>
      <c r="D53" s="40"/>
      <c r="E53" s="41"/>
      <c r="F53" s="41"/>
      <c r="G53" s="41"/>
      <c r="H53" s="41"/>
      <c r="I53" s="41"/>
      <c r="J53" s="41"/>
      <c r="K53" s="86"/>
    </row>
    <row r="54" spans="1:15">
      <c r="A54" s="2674"/>
      <c r="B54" s="2026"/>
      <c r="C54" s="74">
        <v>2017</v>
      </c>
      <c r="D54" s="40"/>
      <c r="E54" s="41"/>
      <c r="F54" s="41"/>
      <c r="G54" s="41"/>
      <c r="H54" s="41"/>
      <c r="I54" s="41"/>
      <c r="J54" s="41"/>
      <c r="K54" s="86"/>
    </row>
    <row r="55" spans="1:15">
      <c r="A55" s="2674"/>
      <c r="B55" s="2026"/>
      <c r="C55" s="74">
        <v>2018</v>
      </c>
      <c r="D55" s="40"/>
      <c r="E55" s="41"/>
      <c r="F55" s="41"/>
      <c r="G55" s="41"/>
      <c r="H55" s="41"/>
      <c r="I55" s="41"/>
      <c r="J55" s="41"/>
      <c r="K55" s="86"/>
    </row>
    <row r="56" spans="1:15">
      <c r="A56" s="2674"/>
      <c r="B56" s="2026"/>
      <c r="C56" s="74">
        <v>2019</v>
      </c>
      <c r="D56" s="40"/>
      <c r="E56" s="41"/>
      <c r="F56" s="41"/>
      <c r="G56" s="41"/>
      <c r="H56" s="41"/>
      <c r="I56" s="41"/>
      <c r="J56" s="41"/>
      <c r="K56" s="86"/>
    </row>
    <row r="57" spans="1:15">
      <c r="A57" s="2674"/>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663" t="s">
        <v>265</v>
      </c>
      <c r="B62" s="2039"/>
      <c r="C62" s="99">
        <v>2014</v>
      </c>
      <c r="D62" s="100"/>
      <c r="E62" s="101"/>
      <c r="F62" s="102"/>
      <c r="G62" s="102"/>
      <c r="H62" s="102"/>
      <c r="I62" s="102"/>
      <c r="J62" s="102"/>
      <c r="K62" s="102"/>
      <c r="L62" s="37"/>
      <c r="M62" s="8"/>
      <c r="N62" s="8"/>
      <c r="O62" s="8"/>
    </row>
    <row r="63" spans="1:15">
      <c r="A63" s="2659"/>
      <c r="B63" s="2039"/>
      <c r="C63" s="103">
        <v>2015</v>
      </c>
      <c r="D63" s="104"/>
      <c r="E63" s="105"/>
      <c r="F63" s="41"/>
      <c r="G63" s="41"/>
      <c r="H63" s="41"/>
      <c r="I63" s="41"/>
      <c r="J63" s="41"/>
      <c r="K63" s="41"/>
      <c r="L63" s="86"/>
      <c r="M63" s="8"/>
      <c r="N63" s="8"/>
      <c r="O63" s="8"/>
    </row>
    <row r="64" spans="1:15">
      <c r="A64" s="2659"/>
      <c r="B64" s="2039"/>
      <c r="C64" s="103">
        <v>2016</v>
      </c>
      <c r="D64" s="104">
        <v>44</v>
      </c>
      <c r="E64" s="105">
        <v>44</v>
      </c>
      <c r="F64" s="41"/>
      <c r="G64" s="41"/>
      <c r="H64" s="41"/>
      <c r="I64" s="41"/>
      <c r="J64" s="41"/>
      <c r="K64" s="41"/>
      <c r="L64" s="86"/>
      <c r="M64" s="8"/>
      <c r="N64" s="8"/>
      <c r="O64" s="8"/>
    </row>
    <row r="65" spans="1:20">
      <c r="A65" s="2659"/>
      <c r="B65" s="2039"/>
      <c r="C65" s="103">
        <v>2017</v>
      </c>
      <c r="D65" s="104">
        <v>11</v>
      </c>
      <c r="E65" s="105">
        <v>11</v>
      </c>
      <c r="F65" s="41"/>
      <c r="G65" s="41"/>
      <c r="H65" s="41"/>
      <c r="I65" s="41"/>
      <c r="J65" s="41"/>
      <c r="K65" s="41"/>
      <c r="L65" s="86"/>
      <c r="M65" s="8"/>
      <c r="N65" s="8"/>
      <c r="O65" s="8"/>
    </row>
    <row r="66" spans="1:20">
      <c r="A66" s="2659"/>
      <c r="B66" s="2039"/>
      <c r="C66" s="103">
        <v>2018</v>
      </c>
      <c r="D66" s="104"/>
      <c r="E66" s="105"/>
      <c r="F66" s="41"/>
      <c r="G66" s="41"/>
      <c r="H66" s="41"/>
      <c r="I66" s="41"/>
      <c r="J66" s="41"/>
      <c r="K66" s="41"/>
      <c r="L66" s="86"/>
      <c r="M66" s="8"/>
      <c r="N66" s="8"/>
      <c r="O66" s="8"/>
    </row>
    <row r="67" spans="1:20" ht="17.25" customHeight="1">
      <c r="A67" s="2659"/>
      <c r="B67" s="2039"/>
      <c r="C67" s="103">
        <v>2019</v>
      </c>
      <c r="D67" s="104"/>
      <c r="E67" s="105"/>
      <c r="F67" s="41"/>
      <c r="G67" s="41"/>
      <c r="H67" s="41"/>
      <c r="I67" s="41"/>
      <c r="J67" s="41"/>
      <c r="K67" s="41"/>
      <c r="L67" s="86"/>
      <c r="M67" s="8"/>
      <c r="N67" s="8"/>
      <c r="O67" s="8"/>
    </row>
    <row r="68" spans="1:20" ht="16.5" customHeight="1">
      <c r="A68" s="2659"/>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55</v>
      </c>
      <c r="E69" s="108">
        <f>SUM(E62:E68)</f>
        <v>55</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674" t="s">
        <v>266</v>
      </c>
      <c r="B72" s="2039"/>
      <c r="C72" s="73">
        <v>2014</v>
      </c>
      <c r="D72" s="124"/>
      <c r="E72" s="124"/>
      <c r="F72" s="124"/>
      <c r="G72" s="125">
        <f>SUM(D72:F72)</f>
        <v>0</v>
      </c>
      <c r="H72" s="33"/>
      <c r="I72" s="126"/>
      <c r="J72" s="102"/>
      <c r="K72" s="102"/>
      <c r="L72" s="102"/>
      <c r="M72" s="102"/>
      <c r="N72" s="102"/>
      <c r="O72" s="127"/>
    </row>
    <row r="73" spans="1:20">
      <c r="A73" s="2654"/>
      <c r="B73" s="2039"/>
      <c r="C73" s="74">
        <v>2015</v>
      </c>
      <c r="D73" s="128"/>
      <c r="E73" s="128"/>
      <c r="F73" s="128"/>
      <c r="G73" s="125">
        <f t="shared" ref="G73:G78" si="5">SUM(D73:F73)</f>
        <v>0</v>
      </c>
      <c r="H73" s="40"/>
      <c r="I73" s="40"/>
      <c r="J73" s="41"/>
      <c r="K73" s="41"/>
      <c r="L73" s="41"/>
      <c r="M73" s="41"/>
      <c r="N73" s="41"/>
      <c r="O73" s="86"/>
    </row>
    <row r="74" spans="1:20">
      <c r="A74" s="2654"/>
      <c r="B74" s="2039"/>
      <c r="C74" s="74">
        <v>2016</v>
      </c>
      <c r="D74" s="128">
        <v>2</v>
      </c>
      <c r="E74" s="128"/>
      <c r="F74" s="128"/>
      <c r="G74" s="125">
        <f t="shared" si="5"/>
        <v>2</v>
      </c>
      <c r="H74" s="40">
        <v>2</v>
      </c>
      <c r="I74" s="40"/>
      <c r="J74" s="41"/>
      <c r="K74" s="41"/>
      <c r="L74" s="41"/>
      <c r="M74" s="41"/>
      <c r="N74" s="41"/>
      <c r="O74" s="86"/>
    </row>
    <row r="75" spans="1:20">
      <c r="A75" s="2654"/>
      <c r="B75" s="2039"/>
      <c r="C75" s="74">
        <v>2017</v>
      </c>
      <c r="D75" s="128">
        <v>2</v>
      </c>
      <c r="E75" s="128"/>
      <c r="F75" s="128"/>
      <c r="G75" s="125">
        <f t="shared" si="5"/>
        <v>2</v>
      </c>
      <c r="H75" s="40">
        <v>2</v>
      </c>
      <c r="I75" s="40"/>
      <c r="J75" s="41"/>
      <c r="K75" s="41"/>
      <c r="L75" s="41"/>
      <c r="M75" s="41"/>
      <c r="N75" s="41"/>
      <c r="O75" s="86"/>
    </row>
    <row r="76" spans="1:20">
      <c r="A76" s="2654"/>
      <c r="B76" s="2039"/>
      <c r="C76" s="74">
        <v>2018</v>
      </c>
      <c r="D76" s="128"/>
      <c r="E76" s="128"/>
      <c r="F76" s="128"/>
      <c r="G76" s="125">
        <f t="shared" si="5"/>
        <v>0</v>
      </c>
      <c r="H76" s="40"/>
      <c r="I76" s="40"/>
      <c r="J76" s="41"/>
      <c r="K76" s="41"/>
      <c r="L76" s="41"/>
      <c r="M76" s="41"/>
      <c r="N76" s="41"/>
      <c r="O76" s="86"/>
    </row>
    <row r="77" spans="1:20" ht="15.75" customHeight="1">
      <c r="A77" s="2654"/>
      <c r="B77" s="2039"/>
      <c r="C77" s="74">
        <v>2019</v>
      </c>
      <c r="D77" s="128"/>
      <c r="E77" s="128"/>
      <c r="F77" s="128"/>
      <c r="G77" s="125">
        <f t="shared" si="5"/>
        <v>0</v>
      </c>
      <c r="H77" s="40"/>
      <c r="I77" s="40"/>
      <c r="J77" s="41"/>
      <c r="K77" s="41"/>
      <c r="L77" s="41"/>
      <c r="M77" s="41"/>
      <c r="N77" s="41"/>
      <c r="O77" s="86"/>
    </row>
    <row r="78" spans="1:20" ht="17.25" customHeight="1">
      <c r="A78" s="2654"/>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4</v>
      </c>
      <c r="E79" s="107">
        <f>SUM(E72:E78)</f>
        <v>0</v>
      </c>
      <c r="F79" s="107">
        <f>SUM(F72:F78)</f>
        <v>0</v>
      </c>
      <c r="G79" s="130">
        <f>SUM(G72:G78)</f>
        <v>4</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678" t="s">
        <v>267</v>
      </c>
      <c r="B85" s="2039"/>
      <c r="C85" s="73">
        <v>2014</v>
      </c>
      <c r="D85" s="147"/>
      <c r="E85" s="148"/>
      <c r="F85" s="34"/>
      <c r="G85" s="34"/>
      <c r="H85" s="34"/>
      <c r="I85" s="34"/>
      <c r="J85" s="34"/>
      <c r="K85" s="37"/>
    </row>
    <row r="86" spans="1:16">
      <c r="A86" s="2679"/>
      <c r="B86" s="2039"/>
      <c r="C86" s="74">
        <v>2015</v>
      </c>
      <c r="D86" s="149"/>
      <c r="E86" s="105"/>
      <c r="F86" s="41"/>
      <c r="G86" s="41"/>
      <c r="H86" s="41"/>
      <c r="I86" s="41"/>
      <c r="J86" s="41"/>
      <c r="K86" s="86"/>
    </row>
    <row r="87" spans="1:16">
      <c r="A87" s="2679"/>
      <c r="B87" s="2039"/>
      <c r="C87" s="74">
        <v>2016</v>
      </c>
      <c r="D87" s="149"/>
      <c r="E87" s="105"/>
      <c r="F87" s="41"/>
      <c r="G87" s="41"/>
      <c r="H87" s="41"/>
      <c r="I87" s="41"/>
      <c r="J87" s="41"/>
      <c r="K87" s="86"/>
    </row>
    <row r="88" spans="1:16">
      <c r="A88" s="2679"/>
      <c r="B88" s="2039"/>
      <c r="C88" s="74">
        <v>2017</v>
      </c>
      <c r="D88" s="149"/>
      <c r="E88" s="105"/>
      <c r="F88" s="41"/>
      <c r="G88" s="41"/>
      <c r="H88" s="41"/>
      <c r="I88" s="41"/>
      <c r="J88" s="41"/>
      <c r="K88" s="86"/>
    </row>
    <row r="89" spans="1:16">
      <c r="A89" s="2679"/>
      <c r="B89" s="2039"/>
      <c r="C89" s="74">
        <v>2018</v>
      </c>
      <c r="D89" s="149"/>
      <c r="E89" s="105"/>
      <c r="F89" s="41"/>
      <c r="G89" s="41"/>
      <c r="H89" s="41"/>
      <c r="I89" s="41"/>
      <c r="J89" s="41"/>
      <c r="K89" s="86"/>
    </row>
    <row r="90" spans="1:16">
      <c r="A90" s="2679"/>
      <c r="B90" s="2039"/>
      <c r="C90" s="74">
        <v>2019</v>
      </c>
      <c r="D90" s="149"/>
      <c r="E90" s="105"/>
      <c r="F90" s="41"/>
      <c r="G90" s="41"/>
      <c r="H90" s="41"/>
      <c r="I90" s="41"/>
      <c r="J90" s="41"/>
      <c r="K90" s="86"/>
    </row>
    <row r="91" spans="1:16">
      <c r="A91" s="2679"/>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663"/>
      <c r="B98" s="2039"/>
      <c r="C98" s="99">
        <v>2014</v>
      </c>
      <c r="D98" s="33"/>
      <c r="E98" s="34"/>
      <c r="F98" s="167"/>
      <c r="G98" s="168"/>
      <c r="H98" s="168"/>
      <c r="I98" s="168"/>
      <c r="J98" s="168"/>
      <c r="K98" s="168"/>
      <c r="L98" s="168"/>
      <c r="M98" s="169"/>
      <c r="N98" s="158"/>
      <c r="O98" s="158"/>
      <c r="P98" s="158"/>
    </row>
    <row r="99" spans="1:16" ht="16.5" customHeight="1">
      <c r="A99" s="2659"/>
      <c r="B99" s="2039"/>
      <c r="C99" s="103">
        <v>2015</v>
      </c>
      <c r="D99" s="40"/>
      <c r="E99" s="41"/>
      <c r="F99" s="170"/>
      <c r="G99" s="171"/>
      <c r="H99" s="171"/>
      <c r="I99" s="171"/>
      <c r="J99" s="171"/>
      <c r="K99" s="171"/>
      <c r="L99" s="171"/>
      <c r="M99" s="172"/>
      <c r="N99" s="158"/>
      <c r="O99" s="158"/>
      <c r="P99" s="158"/>
    </row>
    <row r="100" spans="1:16" ht="16.5" customHeight="1">
      <c r="A100" s="2659"/>
      <c r="B100" s="2039"/>
      <c r="C100" s="103">
        <v>2016</v>
      </c>
      <c r="D100" s="40"/>
      <c r="E100" s="41"/>
      <c r="F100" s="170"/>
      <c r="G100" s="171"/>
      <c r="H100" s="171"/>
      <c r="I100" s="171"/>
      <c r="J100" s="171"/>
      <c r="K100" s="171"/>
      <c r="L100" s="171"/>
      <c r="M100" s="172"/>
      <c r="N100" s="158"/>
      <c r="O100" s="158"/>
      <c r="P100" s="158"/>
    </row>
    <row r="101" spans="1:16" ht="16.5" customHeight="1">
      <c r="A101" s="2659"/>
      <c r="B101" s="2039"/>
      <c r="C101" s="103">
        <v>2017</v>
      </c>
      <c r="D101" s="40"/>
      <c r="E101" s="41"/>
      <c r="F101" s="170"/>
      <c r="G101" s="171"/>
      <c r="H101" s="171"/>
      <c r="I101" s="171"/>
      <c r="J101" s="171"/>
      <c r="K101" s="171"/>
      <c r="L101" s="171"/>
      <c r="M101" s="172"/>
      <c r="N101" s="158"/>
      <c r="O101" s="158"/>
      <c r="P101" s="158"/>
    </row>
    <row r="102" spans="1:16" ht="15.75" customHeight="1">
      <c r="A102" s="2659"/>
      <c r="B102" s="2039"/>
      <c r="C102" s="103">
        <v>2018</v>
      </c>
      <c r="D102" s="40"/>
      <c r="E102" s="41"/>
      <c r="F102" s="170"/>
      <c r="G102" s="171"/>
      <c r="H102" s="171"/>
      <c r="I102" s="171"/>
      <c r="J102" s="171"/>
      <c r="K102" s="171"/>
      <c r="L102" s="171"/>
      <c r="M102" s="172"/>
      <c r="N102" s="158"/>
      <c r="O102" s="158"/>
      <c r="P102" s="158"/>
    </row>
    <row r="103" spans="1:16" ht="14.25" customHeight="1">
      <c r="A103" s="2659"/>
      <c r="B103" s="2039"/>
      <c r="C103" s="103">
        <v>2019</v>
      </c>
      <c r="D103" s="40"/>
      <c r="E103" s="41"/>
      <c r="F103" s="170"/>
      <c r="G103" s="171"/>
      <c r="H103" s="171"/>
      <c r="I103" s="171"/>
      <c r="J103" s="171"/>
      <c r="K103" s="171"/>
      <c r="L103" s="171"/>
      <c r="M103" s="172"/>
      <c r="N103" s="158"/>
      <c r="O103" s="158"/>
      <c r="P103" s="158"/>
    </row>
    <row r="104" spans="1:16" ht="14.25" customHeight="1">
      <c r="A104" s="2659"/>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663"/>
      <c r="B109" s="2039"/>
      <c r="C109" s="99">
        <v>2014</v>
      </c>
      <c r="D109" s="34"/>
      <c r="E109" s="167"/>
      <c r="F109" s="168"/>
      <c r="G109" s="168"/>
      <c r="H109" s="168"/>
      <c r="I109" s="168"/>
      <c r="J109" s="168"/>
      <c r="K109" s="168"/>
      <c r="L109" s="169"/>
      <c r="M109" s="178"/>
      <c r="N109" s="178"/>
    </row>
    <row r="110" spans="1:16">
      <c r="A110" s="2659"/>
      <c r="B110" s="2039"/>
      <c r="C110" s="103">
        <v>2015</v>
      </c>
      <c r="D110" s="41"/>
      <c r="E110" s="170"/>
      <c r="F110" s="171"/>
      <c r="G110" s="171"/>
      <c r="H110" s="171"/>
      <c r="I110" s="171"/>
      <c r="J110" s="171"/>
      <c r="K110" s="171"/>
      <c r="L110" s="172"/>
      <c r="M110" s="178"/>
      <c r="N110" s="178"/>
    </row>
    <row r="111" spans="1:16">
      <c r="A111" s="2659"/>
      <c r="B111" s="2039"/>
      <c r="C111" s="103">
        <v>2016</v>
      </c>
      <c r="D111" s="41"/>
      <c r="E111" s="170"/>
      <c r="F111" s="171"/>
      <c r="G111" s="171"/>
      <c r="H111" s="171"/>
      <c r="I111" s="171"/>
      <c r="J111" s="171"/>
      <c r="K111" s="171"/>
      <c r="L111" s="172"/>
      <c r="M111" s="178"/>
      <c r="N111" s="178"/>
    </row>
    <row r="112" spans="1:16">
      <c r="A112" s="2659"/>
      <c r="B112" s="2039"/>
      <c r="C112" s="103">
        <v>2017</v>
      </c>
      <c r="D112" s="41"/>
      <c r="E112" s="170"/>
      <c r="F112" s="171"/>
      <c r="G112" s="171"/>
      <c r="H112" s="171"/>
      <c r="I112" s="171"/>
      <c r="J112" s="171"/>
      <c r="K112" s="171"/>
      <c r="L112" s="172"/>
      <c r="M112" s="178"/>
      <c r="N112" s="178"/>
    </row>
    <row r="113" spans="1:14">
      <c r="A113" s="2659"/>
      <c r="B113" s="2039"/>
      <c r="C113" s="103">
        <v>2018</v>
      </c>
      <c r="D113" s="41"/>
      <c r="E113" s="170"/>
      <c r="F113" s="171"/>
      <c r="G113" s="171"/>
      <c r="H113" s="171"/>
      <c r="I113" s="171"/>
      <c r="J113" s="171"/>
      <c r="K113" s="171"/>
      <c r="L113" s="172"/>
      <c r="M113" s="178"/>
      <c r="N113" s="178"/>
    </row>
    <row r="114" spans="1:14">
      <c r="A114" s="2659"/>
      <c r="B114" s="2039"/>
      <c r="C114" s="103">
        <v>2019</v>
      </c>
      <c r="D114" s="41"/>
      <c r="E114" s="170"/>
      <c r="F114" s="171"/>
      <c r="G114" s="171"/>
      <c r="H114" s="171"/>
      <c r="I114" s="171"/>
      <c r="J114" s="171"/>
      <c r="K114" s="171"/>
      <c r="L114" s="172"/>
      <c r="M114" s="178"/>
      <c r="N114" s="178"/>
    </row>
    <row r="115" spans="1:14">
      <c r="A115" s="2659"/>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663"/>
      <c r="B120" s="2039"/>
      <c r="C120" s="99">
        <v>2014</v>
      </c>
      <c r="D120" s="34"/>
      <c r="E120" s="167"/>
      <c r="F120" s="168"/>
      <c r="G120" s="168"/>
      <c r="H120" s="168"/>
      <c r="I120" s="168"/>
      <c r="J120" s="168"/>
      <c r="K120" s="168"/>
      <c r="L120" s="169"/>
      <c r="M120" s="178"/>
      <c r="N120" s="178"/>
    </row>
    <row r="121" spans="1:14">
      <c r="A121" s="2659"/>
      <c r="B121" s="2039"/>
      <c r="C121" s="103">
        <v>2015</v>
      </c>
      <c r="D121" s="41"/>
      <c r="E121" s="170"/>
      <c r="F121" s="171"/>
      <c r="G121" s="171"/>
      <c r="H121" s="171"/>
      <c r="I121" s="171"/>
      <c r="J121" s="171"/>
      <c r="K121" s="171"/>
      <c r="L121" s="172"/>
      <c r="M121" s="178"/>
      <c r="N121" s="178"/>
    </row>
    <row r="122" spans="1:14">
      <c r="A122" s="2659"/>
      <c r="B122" s="2039"/>
      <c r="C122" s="103">
        <v>2016</v>
      </c>
      <c r="D122" s="41"/>
      <c r="E122" s="170"/>
      <c r="F122" s="171"/>
      <c r="G122" s="171"/>
      <c r="H122" s="171"/>
      <c r="I122" s="171"/>
      <c r="J122" s="171"/>
      <c r="K122" s="171"/>
      <c r="L122" s="172"/>
      <c r="M122" s="178"/>
      <c r="N122" s="178"/>
    </row>
    <row r="123" spans="1:14">
      <c r="A123" s="2659"/>
      <c r="B123" s="2039"/>
      <c r="C123" s="103">
        <v>2017</v>
      </c>
      <c r="D123" s="41"/>
      <c r="E123" s="170"/>
      <c r="F123" s="171"/>
      <c r="G123" s="171"/>
      <c r="H123" s="171"/>
      <c r="I123" s="171"/>
      <c r="J123" s="171"/>
      <c r="K123" s="171"/>
      <c r="L123" s="172"/>
      <c r="M123" s="178"/>
      <c r="N123" s="178"/>
    </row>
    <row r="124" spans="1:14">
      <c r="A124" s="2659"/>
      <c r="B124" s="2039"/>
      <c r="C124" s="103">
        <v>2018</v>
      </c>
      <c r="D124" s="41"/>
      <c r="E124" s="170"/>
      <c r="F124" s="171"/>
      <c r="G124" s="171"/>
      <c r="H124" s="171"/>
      <c r="I124" s="171"/>
      <c r="J124" s="171"/>
      <c r="K124" s="171"/>
      <c r="L124" s="172"/>
      <c r="M124" s="178"/>
      <c r="N124" s="178"/>
    </row>
    <row r="125" spans="1:14">
      <c r="A125" s="2659"/>
      <c r="B125" s="2039"/>
      <c r="C125" s="103">
        <v>2019</v>
      </c>
      <c r="D125" s="41"/>
      <c r="E125" s="170"/>
      <c r="F125" s="171"/>
      <c r="G125" s="171"/>
      <c r="H125" s="171"/>
      <c r="I125" s="171"/>
      <c r="J125" s="171"/>
      <c r="K125" s="171"/>
      <c r="L125" s="172"/>
      <c r="M125" s="178"/>
      <c r="N125" s="178"/>
    </row>
    <row r="126" spans="1:14">
      <c r="A126" s="2659"/>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69" t="s">
        <v>9</v>
      </c>
      <c r="D129" s="182" t="s">
        <v>76</v>
      </c>
      <c r="E129" s="183"/>
      <c r="F129" s="183"/>
      <c r="G129" s="184"/>
      <c r="H129" s="178"/>
      <c r="I129" s="178"/>
      <c r="J129" s="178"/>
      <c r="K129" s="178"/>
      <c r="L129" s="178"/>
      <c r="M129" s="178"/>
      <c r="N129" s="178"/>
    </row>
    <row r="130" spans="1:16" ht="77.25" customHeight="1">
      <c r="A130" s="2044"/>
      <c r="B130" s="2046"/>
      <c r="C130" s="468"/>
      <c r="D130" s="159" t="s">
        <v>77</v>
      </c>
      <c r="E130" s="186" t="s">
        <v>78</v>
      </c>
      <c r="F130" s="160" t="s">
        <v>79</v>
      </c>
      <c r="G130" s="187" t="s">
        <v>13</v>
      </c>
      <c r="H130" s="178"/>
      <c r="I130" s="178"/>
      <c r="J130" s="178"/>
      <c r="K130" s="178"/>
      <c r="L130" s="178"/>
      <c r="M130" s="178"/>
      <c r="N130" s="178"/>
    </row>
    <row r="131" spans="1:16" ht="15" customHeight="1">
      <c r="A131" s="2674"/>
      <c r="B131" s="2068"/>
      <c r="C131" s="99">
        <v>2015</v>
      </c>
      <c r="D131" s="33"/>
      <c r="E131" s="34"/>
      <c r="F131" s="34"/>
      <c r="G131" s="191">
        <f t="shared" ref="G131:G136" si="11">SUM(D131:F131)</f>
        <v>0</v>
      </c>
      <c r="H131" s="178"/>
      <c r="I131" s="178"/>
      <c r="J131" s="178"/>
      <c r="K131" s="178"/>
      <c r="L131" s="178"/>
      <c r="M131" s="178"/>
      <c r="N131" s="178"/>
    </row>
    <row r="132" spans="1:16">
      <c r="A132" s="2654"/>
      <c r="B132" s="2068"/>
      <c r="C132" s="103">
        <v>2016</v>
      </c>
      <c r="D132" s="40"/>
      <c r="E132" s="41"/>
      <c r="F132" s="41"/>
      <c r="G132" s="191">
        <f t="shared" si="11"/>
        <v>0</v>
      </c>
      <c r="H132" s="178"/>
      <c r="I132" s="178"/>
      <c r="J132" s="178"/>
      <c r="K132" s="178"/>
      <c r="L132" s="178"/>
      <c r="M132" s="178"/>
      <c r="N132" s="178"/>
    </row>
    <row r="133" spans="1:16">
      <c r="A133" s="2654"/>
      <c r="B133" s="2068"/>
      <c r="C133" s="103">
        <v>2017</v>
      </c>
      <c r="D133" s="40"/>
      <c r="E133" s="41"/>
      <c r="F133" s="41"/>
      <c r="G133" s="191">
        <f t="shared" si="11"/>
        <v>0</v>
      </c>
      <c r="H133" s="178"/>
      <c r="I133" s="178"/>
      <c r="J133" s="178"/>
      <c r="K133" s="178"/>
      <c r="L133" s="178"/>
      <c r="M133" s="178"/>
      <c r="N133" s="178"/>
    </row>
    <row r="134" spans="1:16">
      <c r="A134" s="2654"/>
      <c r="B134" s="2068"/>
      <c r="C134" s="103">
        <v>2018</v>
      </c>
      <c r="D134" s="40"/>
      <c r="E134" s="41"/>
      <c r="F134" s="41"/>
      <c r="G134" s="191">
        <f t="shared" si="11"/>
        <v>0</v>
      </c>
      <c r="H134" s="178"/>
      <c r="I134" s="178"/>
      <c r="J134" s="178"/>
      <c r="K134" s="178"/>
      <c r="L134" s="178"/>
      <c r="M134" s="178"/>
      <c r="N134" s="178"/>
    </row>
    <row r="135" spans="1:16">
      <c r="A135" s="2654"/>
      <c r="B135" s="2068"/>
      <c r="C135" s="103">
        <v>2019</v>
      </c>
      <c r="D135" s="40"/>
      <c r="E135" s="41"/>
      <c r="F135" s="41"/>
      <c r="G135" s="191">
        <f t="shared" si="11"/>
        <v>0</v>
      </c>
      <c r="H135" s="178"/>
      <c r="I135" s="178"/>
      <c r="J135" s="178"/>
      <c r="K135" s="178"/>
      <c r="L135" s="178"/>
      <c r="M135" s="178"/>
      <c r="N135" s="178"/>
    </row>
    <row r="136" spans="1:16">
      <c r="A136" s="2654"/>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663"/>
      <c r="B144" s="2039"/>
      <c r="C144" s="99">
        <v>2014</v>
      </c>
      <c r="D144" s="33"/>
      <c r="E144" s="33"/>
      <c r="F144" s="34"/>
      <c r="G144" s="168"/>
      <c r="H144" s="168"/>
      <c r="I144" s="210">
        <f>D144+F144+G144+H144</f>
        <v>0</v>
      </c>
      <c r="J144" s="211"/>
      <c r="K144" s="212"/>
      <c r="L144" s="211"/>
      <c r="M144" s="212"/>
      <c r="N144" s="213"/>
      <c r="O144" s="158"/>
      <c r="P144" s="158"/>
    </row>
    <row r="145" spans="1:16" ht="19.5" customHeight="1">
      <c r="A145" s="2659"/>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659"/>
      <c r="B146" s="2039"/>
      <c r="C146" s="103">
        <v>2016</v>
      </c>
      <c r="D146" s="40"/>
      <c r="E146" s="40"/>
      <c r="F146" s="41"/>
      <c r="G146" s="171"/>
      <c r="H146" s="171"/>
      <c r="I146" s="210">
        <f t="shared" si="13"/>
        <v>0</v>
      </c>
      <c r="J146" s="214"/>
      <c r="K146" s="215"/>
      <c r="L146" s="214"/>
      <c r="M146" s="215"/>
      <c r="N146" s="216"/>
      <c r="O146" s="158"/>
      <c r="P146" s="158"/>
    </row>
    <row r="147" spans="1:16" ht="17.25" customHeight="1">
      <c r="A147" s="2659"/>
      <c r="B147" s="2039"/>
      <c r="C147" s="103">
        <v>2017</v>
      </c>
      <c r="D147" s="40"/>
      <c r="E147" s="40"/>
      <c r="F147" s="41"/>
      <c r="G147" s="171"/>
      <c r="H147" s="171"/>
      <c r="I147" s="210">
        <f t="shared" si="13"/>
        <v>0</v>
      </c>
      <c r="J147" s="214"/>
      <c r="K147" s="215"/>
      <c r="L147" s="214"/>
      <c r="M147" s="215"/>
      <c r="N147" s="216"/>
      <c r="O147" s="158"/>
      <c r="P147" s="158"/>
    </row>
    <row r="148" spans="1:16" ht="19.5" customHeight="1">
      <c r="A148" s="2659"/>
      <c r="B148" s="2039"/>
      <c r="C148" s="103">
        <v>2018</v>
      </c>
      <c r="D148" s="40"/>
      <c r="E148" s="40"/>
      <c r="F148" s="41"/>
      <c r="G148" s="171"/>
      <c r="H148" s="171"/>
      <c r="I148" s="210">
        <f t="shared" si="13"/>
        <v>0</v>
      </c>
      <c r="J148" s="214"/>
      <c r="K148" s="215"/>
      <c r="L148" s="214"/>
      <c r="M148" s="215"/>
      <c r="N148" s="216"/>
      <c r="O148" s="158"/>
      <c r="P148" s="158"/>
    </row>
    <row r="149" spans="1:16" ht="19.5" customHeight="1">
      <c r="A149" s="2659"/>
      <c r="B149" s="2039"/>
      <c r="C149" s="103">
        <v>2019</v>
      </c>
      <c r="D149" s="40"/>
      <c r="E149" s="40"/>
      <c r="F149" s="41"/>
      <c r="G149" s="171"/>
      <c r="H149" s="171"/>
      <c r="I149" s="210">
        <f t="shared" si="13"/>
        <v>0</v>
      </c>
      <c r="J149" s="214"/>
      <c r="K149" s="215"/>
      <c r="L149" s="214"/>
      <c r="M149" s="215"/>
      <c r="N149" s="216"/>
      <c r="O149" s="158"/>
      <c r="P149" s="158"/>
    </row>
    <row r="150" spans="1:16" ht="18.75" customHeight="1">
      <c r="A150" s="2659"/>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663"/>
      <c r="B155" s="2039"/>
      <c r="C155" s="230">
        <v>2014</v>
      </c>
      <c r="D155" s="211"/>
      <c r="E155" s="168"/>
      <c r="F155" s="212"/>
      <c r="G155" s="210">
        <f>SUM(D155:F155)</f>
        <v>0</v>
      </c>
      <c r="H155" s="211"/>
      <c r="I155" s="168"/>
      <c r="J155" s="169"/>
      <c r="O155" s="158"/>
      <c r="P155" s="158"/>
    </row>
    <row r="156" spans="1:16" ht="19.5" customHeight="1">
      <c r="A156" s="2659"/>
      <c r="B156" s="2039"/>
      <c r="C156" s="231">
        <v>2015</v>
      </c>
      <c r="D156" s="214"/>
      <c r="E156" s="171"/>
      <c r="F156" s="215"/>
      <c r="G156" s="210">
        <f t="shared" ref="G156:G161" si="15">SUM(D156:F156)</f>
        <v>0</v>
      </c>
      <c r="H156" s="214"/>
      <c r="I156" s="171"/>
      <c r="J156" s="172"/>
      <c r="O156" s="158"/>
      <c r="P156" s="158"/>
    </row>
    <row r="157" spans="1:16" ht="17.25" customHeight="1">
      <c r="A157" s="2659"/>
      <c r="B157" s="2039"/>
      <c r="C157" s="231">
        <v>2016</v>
      </c>
      <c r="D157" s="214"/>
      <c r="E157" s="171"/>
      <c r="F157" s="215"/>
      <c r="G157" s="210">
        <f t="shared" si="15"/>
        <v>0</v>
      </c>
      <c r="H157" s="214"/>
      <c r="I157" s="171"/>
      <c r="J157" s="172"/>
      <c r="O157" s="158"/>
      <c r="P157" s="158"/>
    </row>
    <row r="158" spans="1:16" ht="15" customHeight="1">
      <c r="A158" s="2659"/>
      <c r="B158" s="2039"/>
      <c r="C158" s="231">
        <v>2017</v>
      </c>
      <c r="D158" s="214"/>
      <c r="E158" s="171"/>
      <c r="F158" s="215"/>
      <c r="G158" s="210">
        <f t="shared" si="15"/>
        <v>0</v>
      </c>
      <c r="H158" s="214"/>
      <c r="I158" s="171"/>
      <c r="J158" s="172"/>
      <c r="O158" s="158"/>
      <c r="P158" s="158"/>
    </row>
    <row r="159" spans="1:16" ht="19.5" customHeight="1">
      <c r="A159" s="2659"/>
      <c r="B159" s="2039"/>
      <c r="C159" s="231">
        <v>2018</v>
      </c>
      <c r="D159" s="214"/>
      <c r="E159" s="171"/>
      <c r="F159" s="215"/>
      <c r="G159" s="210">
        <f t="shared" si="15"/>
        <v>0</v>
      </c>
      <c r="H159" s="214"/>
      <c r="I159" s="171"/>
      <c r="J159" s="172"/>
      <c r="O159" s="158"/>
      <c r="P159" s="158"/>
    </row>
    <row r="160" spans="1:16" ht="15" customHeight="1">
      <c r="A160" s="2659"/>
      <c r="B160" s="2039"/>
      <c r="C160" s="231">
        <v>2019</v>
      </c>
      <c r="D160" s="214"/>
      <c r="E160" s="171"/>
      <c r="F160" s="215"/>
      <c r="G160" s="210">
        <f t="shared" si="15"/>
        <v>0</v>
      </c>
      <c r="H160" s="214"/>
      <c r="I160" s="171"/>
      <c r="J160" s="172"/>
      <c r="O160" s="158"/>
      <c r="P160" s="158"/>
    </row>
    <row r="161" spans="1:18" ht="17.25" customHeight="1">
      <c r="A161" s="2659"/>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094"/>
      <c r="B165" s="2024"/>
      <c r="C165" s="248">
        <v>2014</v>
      </c>
      <c r="D165" s="168"/>
      <c r="E165" s="168"/>
      <c r="F165" s="168"/>
      <c r="G165" s="168"/>
      <c r="H165" s="168"/>
      <c r="I165" s="169"/>
      <c r="J165" s="249">
        <f>SUM(D165,F165,H165)</f>
        <v>0</v>
      </c>
      <c r="K165" s="250">
        <f>SUM(E165,G165,I165)</f>
        <v>0</v>
      </c>
      <c r="L165" s="247"/>
    </row>
    <row r="166" spans="1:18">
      <c r="A166" s="2095"/>
      <c r="B166" s="2026"/>
      <c r="C166" s="251">
        <v>2015</v>
      </c>
      <c r="D166" s="252"/>
      <c r="E166" s="252"/>
      <c r="F166" s="252"/>
      <c r="G166" s="252"/>
      <c r="H166" s="252"/>
      <c r="I166" s="253"/>
      <c r="J166" s="254">
        <f t="shared" ref="J166:K171" si="17">SUM(D166,F166,H166)</f>
        <v>0</v>
      </c>
      <c r="K166" s="255">
        <f t="shared" si="17"/>
        <v>0</v>
      </c>
      <c r="L166" s="247"/>
    </row>
    <row r="167" spans="1:18">
      <c r="A167" s="2095"/>
      <c r="B167" s="2026"/>
      <c r="C167" s="251">
        <v>2016</v>
      </c>
      <c r="D167" s="252"/>
      <c r="E167" s="252"/>
      <c r="F167" s="252"/>
      <c r="G167" s="252"/>
      <c r="H167" s="252"/>
      <c r="I167" s="253"/>
      <c r="J167" s="254">
        <f t="shared" si="17"/>
        <v>0</v>
      </c>
      <c r="K167" s="255">
        <f t="shared" si="17"/>
        <v>0</v>
      </c>
    </row>
    <row r="168" spans="1:18">
      <c r="A168" s="2095"/>
      <c r="B168" s="2026"/>
      <c r="C168" s="251">
        <v>2017</v>
      </c>
      <c r="D168" s="252"/>
      <c r="E168" s="158"/>
      <c r="F168" s="252"/>
      <c r="G168" s="252"/>
      <c r="H168" s="252"/>
      <c r="I168" s="253"/>
      <c r="J168" s="254">
        <f t="shared" si="17"/>
        <v>0</v>
      </c>
      <c r="K168" s="255">
        <f t="shared" si="17"/>
        <v>0</v>
      </c>
    </row>
    <row r="169" spans="1:18">
      <c r="A169" s="2095"/>
      <c r="B169" s="2026"/>
      <c r="C169" s="256">
        <v>2018</v>
      </c>
      <c r="D169" s="252"/>
      <c r="E169" s="252"/>
      <c r="F169" s="252"/>
      <c r="G169" s="257"/>
      <c r="H169" s="252"/>
      <c r="I169" s="253"/>
      <c r="J169" s="254">
        <f t="shared" si="17"/>
        <v>0</v>
      </c>
      <c r="K169" s="255">
        <f t="shared" si="17"/>
        <v>0</v>
      </c>
      <c r="L169" s="247"/>
    </row>
    <row r="170" spans="1:18">
      <c r="A170" s="2095"/>
      <c r="B170" s="2026"/>
      <c r="C170" s="251">
        <v>2019</v>
      </c>
      <c r="D170" s="158"/>
      <c r="E170" s="252"/>
      <c r="F170" s="252"/>
      <c r="G170" s="252"/>
      <c r="H170" s="257"/>
      <c r="I170" s="253"/>
      <c r="J170" s="254">
        <f t="shared" si="17"/>
        <v>0</v>
      </c>
      <c r="K170" s="255">
        <f t="shared" si="17"/>
        <v>0</v>
      </c>
      <c r="L170" s="247"/>
    </row>
    <row r="171" spans="1:18">
      <c r="A171" s="2095"/>
      <c r="B171" s="2026"/>
      <c r="C171" s="256">
        <v>2020</v>
      </c>
      <c r="D171" s="252"/>
      <c r="E171" s="252"/>
      <c r="F171" s="252"/>
      <c r="G171" s="252"/>
      <c r="H171" s="252"/>
      <c r="I171" s="253"/>
      <c r="J171" s="254">
        <f t="shared" si="17"/>
        <v>0</v>
      </c>
      <c r="K171" s="255">
        <f t="shared" si="17"/>
        <v>0</v>
      </c>
      <c r="L171" s="247"/>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659" t="s">
        <v>268</v>
      </c>
      <c r="B178" s="2039"/>
      <c r="C178" s="99">
        <v>2014</v>
      </c>
      <c r="D178" s="33"/>
      <c r="E178" s="34"/>
      <c r="F178" s="34"/>
      <c r="G178" s="278">
        <f>SUM(D178:F178)</f>
        <v>0</v>
      </c>
      <c r="H178" s="148"/>
      <c r="I178" s="148"/>
      <c r="J178" s="34"/>
      <c r="K178" s="34"/>
      <c r="L178" s="34"/>
      <c r="M178" s="34"/>
      <c r="N178" s="34"/>
      <c r="O178" s="37"/>
    </row>
    <row r="179" spans="1:15">
      <c r="A179" s="2659"/>
      <c r="B179" s="2039"/>
      <c r="C179" s="103">
        <v>2015</v>
      </c>
      <c r="D179" s="40"/>
      <c r="E179" s="41"/>
      <c r="F179" s="41"/>
      <c r="G179" s="278">
        <f t="shared" ref="G179:G184" si="19">SUM(D179:F179)</f>
        <v>0</v>
      </c>
      <c r="H179" s="279"/>
      <c r="I179" s="105"/>
      <c r="J179" s="41"/>
      <c r="K179" s="41"/>
      <c r="L179" s="41"/>
      <c r="M179" s="41"/>
      <c r="N179" s="41"/>
      <c r="O179" s="86"/>
    </row>
    <row r="180" spans="1:15">
      <c r="A180" s="2659"/>
      <c r="B180" s="2039"/>
      <c r="C180" s="103">
        <v>2016</v>
      </c>
      <c r="D180" s="40"/>
      <c r="E180" s="41"/>
      <c r="F180" s="41"/>
      <c r="G180" s="278">
        <f t="shared" si="19"/>
        <v>0</v>
      </c>
      <c r="H180" s="279"/>
      <c r="I180" s="105"/>
      <c r="J180" s="41"/>
      <c r="K180" s="41"/>
      <c r="L180" s="41"/>
      <c r="M180" s="41"/>
      <c r="N180" s="41"/>
      <c r="O180" s="86"/>
    </row>
    <row r="181" spans="1:15">
      <c r="A181" s="2659"/>
      <c r="B181" s="2039"/>
      <c r="C181" s="103">
        <v>2017</v>
      </c>
      <c r="D181" s="40">
        <v>12</v>
      </c>
      <c r="E181" s="41"/>
      <c r="F181" s="41"/>
      <c r="G181" s="278">
        <f t="shared" si="19"/>
        <v>12</v>
      </c>
      <c r="H181" s="279">
        <v>12</v>
      </c>
      <c r="I181" s="105">
        <v>12</v>
      </c>
      <c r="J181" s="41"/>
      <c r="K181" s="41"/>
      <c r="L181" s="41"/>
      <c r="M181" s="41"/>
      <c r="N181" s="41"/>
      <c r="O181" s="86"/>
    </row>
    <row r="182" spans="1:15">
      <c r="A182" s="2659"/>
      <c r="B182" s="2039"/>
      <c r="C182" s="103">
        <v>2018</v>
      </c>
      <c r="D182" s="40"/>
      <c r="E182" s="41"/>
      <c r="F182" s="41"/>
      <c r="G182" s="278">
        <f t="shared" si="19"/>
        <v>0</v>
      </c>
      <c r="H182" s="279"/>
      <c r="I182" s="105"/>
      <c r="J182" s="41"/>
      <c r="K182" s="41"/>
      <c r="L182" s="41"/>
      <c r="M182" s="41"/>
      <c r="N182" s="41"/>
      <c r="O182" s="86"/>
    </row>
    <row r="183" spans="1:15">
      <c r="A183" s="2659"/>
      <c r="B183" s="2039"/>
      <c r="C183" s="103">
        <v>2019</v>
      </c>
      <c r="D183" s="40"/>
      <c r="E183" s="41"/>
      <c r="F183" s="41"/>
      <c r="G183" s="278">
        <f t="shared" si="19"/>
        <v>0</v>
      </c>
      <c r="H183" s="279"/>
      <c r="I183" s="105"/>
      <c r="J183" s="41"/>
      <c r="K183" s="41"/>
      <c r="L183" s="41"/>
      <c r="M183" s="41"/>
      <c r="N183" s="41"/>
      <c r="O183" s="86"/>
    </row>
    <row r="184" spans="1:15">
      <c r="A184" s="2659"/>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12</v>
      </c>
      <c r="E185" s="109">
        <f>SUM(E178:E184)</f>
        <v>0</v>
      </c>
      <c r="F185" s="109">
        <f>SUM(F178:F184)</f>
        <v>0</v>
      </c>
      <c r="G185" s="217">
        <f t="shared" ref="G185:O185" si="20">SUM(G178:G184)</f>
        <v>12</v>
      </c>
      <c r="H185" s="280">
        <f t="shared" si="20"/>
        <v>12</v>
      </c>
      <c r="I185" s="108">
        <f t="shared" si="20"/>
        <v>12</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t="s">
        <v>269</v>
      </c>
      <c r="B189" s="2127"/>
      <c r="C189" s="285">
        <v>2014</v>
      </c>
      <c r="D189" s="126"/>
      <c r="E189" s="102"/>
      <c r="F189" s="102"/>
      <c r="G189" s="286">
        <f>SUM(D189:F189)</f>
        <v>0</v>
      </c>
      <c r="H189" s="101"/>
      <c r="I189" s="102"/>
      <c r="J189" s="102"/>
      <c r="K189" s="102"/>
      <c r="L189" s="127"/>
    </row>
    <row r="190" spans="1:15">
      <c r="A190" s="2658"/>
      <c r="B190" s="2068"/>
      <c r="C190" s="74">
        <v>2015</v>
      </c>
      <c r="D190" s="40"/>
      <c r="E190" s="41"/>
      <c r="F190" s="41"/>
      <c r="G190" s="286">
        <f>SUM(D190:F190)</f>
        <v>0</v>
      </c>
      <c r="H190" s="105"/>
      <c r="I190" s="41"/>
      <c r="J190" s="41"/>
      <c r="K190" s="41"/>
      <c r="L190" s="86"/>
    </row>
    <row r="191" spans="1:15">
      <c r="A191" s="2658"/>
      <c r="B191" s="2068"/>
      <c r="C191" s="74">
        <v>2016</v>
      </c>
      <c r="D191" s="40"/>
      <c r="E191" s="41"/>
      <c r="F191" s="41"/>
      <c r="G191" s="286">
        <f t="shared" ref="G191:G195" si="21">SUM(D191:F191)</f>
        <v>0</v>
      </c>
      <c r="H191" s="105"/>
      <c r="I191" s="41"/>
      <c r="J191" s="41"/>
      <c r="K191" s="41"/>
      <c r="L191" s="86"/>
    </row>
    <row r="192" spans="1:15">
      <c r="A192" s="2658"/>
      <c r="B192" s="2068"/>
      <c r="C192" s="74">
        <v>2017</v>
      </c>
      <c r="D192" s="40">
        <v>192</v>
      </c>
      <c r="E192" s="41"/>
      <c r="F192" s="41"/>
      <c r="G192" s="286">
        <f t="shared" si="21"/>
        <v>192</v>
      </c>
      <c r="H192" s="105"/>
      <c r="I192" s="41"/>
      <c r="J192" s="41"/>
      <c r="K192" s="41"/>
      <c r="L192" s="86">
        <v>192</v>
      </c>
    </row>
    <row r="193" spans="1:14">
      <c r="A193" s="2658"/>
      <c r="B193" s="2068"/>
      <c r="C193" s="74">
        <v>2018</v>
      </c>
      <c r="D193" s="40"/>
      <c r="E193" s="41"/>
      <c r="F193" s="41"/>
      <c r="G193" s="286">
        <f t="shared" si="21"/>
        <v>0</v>
      </c>
      <c r="H193" s="105"/>
      <c r="I193" s="41"/>
      <c r="J193" s="41"/>
      <c r="K193" s="41"/>
      <c r="L193" s="86"/>
    </row>
    <row r="194" spans="1:14">
      <c r="A194" s="2658"/>
      <c r="B194" s="2068"/>
      <c r="C194" s="74">
        <v>2019</v>
      </c>
      <c r="D194" s="40"/>
      <c r="E194" s="41"/>
      <c r="F194" s="41"/>
      <c r="G194" s="286">
        <f t="shared" si="21"/>
        <v>0</v>
      </c>
      <c r="H194" s="105"/>
      <c r="I194" s="41"/>
      <c r="J194" s="41"/>
      <c r="K194" s="41"/>
      <c r="L194" s="86"/>
    </row>
    <row r="195" spans="1:14">
      <c r="A195" s="2658"/>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192</v>
      </c>
      <c r="E196" s="109">
        <f t="shared" si="22"/>
        <v>0</v>
      </c>
      <c r="F196" s="109">
        <f t="shared" si="22"/>
        <v>0</v>
      </c>
      <c r="G196" s="290">
        <f t="shared" si="22"/>
        <v>192</v>
      </c>
      <c r="H196" s="108">
        <f t="shared" si="22"/>
        <v>0</v>
      </c>
      <c r="I196" s="109">
        <f t="shared" si="22"/>
        <v>0</v>
      </c>
      <c r="J196" s="109"/>
      <c r="K196" s="109">
        <f t="shared" si="22"/>
        <v>0</v>
      </c>
      <c r="L196" s="110">
        <f t="shared" si="22"/>
        <v>192</v>
      </c>
    </row>
    <row r="197" spans="1:14" ht="33" customHeight="1">
      <c r="A197" s="2805" t="s">
        <v>613</v>
      </c>
      <c r="B197" s="2805"/>
      <c r="C197" s="2805"/>
      <c r="D197" s="2805"/>
      <c r="E197" s="2805"/>
      <c r="F197" s="2805"/>
      <c r="G197" s="2805"/>
      <c r="H197" s="2805"/>
      <c r="I197" s="2805"/>
      <c r="J197" s="2805"/>
      <c r="K197" s="2805"/>
      <c r="L197" s="2805"/>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654"/>
      <c r="B202" s="2068"/>
      <c r="C202" s="73">
        <v>2014</v>
      </c>
      <c r="D202" s="33"/>
      <c r="E202" s="34"/>
      <c r="F202" s="34"/>
      <c r="G202" s="32"/>
      <c r="H202" s="303"/>
      <c r="I202" s="304"/>
      <c r="J202" s="305"/>
      <c r="K202" s="34"/>
      <c r="L202" s="37"/>
    </row>
    <row r="203" spans="1:14">
      <c r="A203" s="2654"/>
      <c r="B203" s="2068"/>
      <c r="C203" s="74">
        <v>2015</v>
      </c>
      <c r="D203" s="40"/>
      <c r="E203" s="41"/>
      <c r="F203" s="41"/>
      <c r="G203" s="39"/>
      <c r="H203" s="306"/>
      <c r="I203" s="307"/>
      <c r="J203" s="308"/>
      <c r="K203" s="41"/>
      <c r="L203" s="86"/>
    </row>
    <row r="204" spans="1:14">
      <c r="A204" s="2654"/>
      <c r="B204" s="2068"/>
      <c r="C204" s="74">
        <v>2016</v>
      </c>
      <c r="D204" s="40"/>
      <c r="E204" s="41"/>
      <c r="F204" s="41"/>
      <c r="G204" s="39"/>
      <c r="H204" s="306"/>
      <c r="I204" s="307"/>
      <c r="J204" s="308"/>
      <c r="K204" s="41"/>
      <c r="L204" s="86"/>
    </row>
    <row r="205" spans="1:14">
      <c r="A205" s="2654"/>
      <c r="B205" s="2068"/>
      <c r="C205" s="74">
        <v>2017</v>
      </c>
      <c r="D205" s="40"/>
      <c r="E205" s="41"/>
      <c r="F205" s="41"/>
      <c r="G205" s="39"/>
      <c r="H205" s="306"/>
      <c r="I205" s="307"/>
      <c r="J205" s="308"/>
      <c r="K205" s="41"/>
      <c r="L205" s="86"/>
    </row>
    <row r="206" spans="1:14">
      <c r="A206" s="2654"/>
      <c r="B206" s="2068"/>
      <c r="C206" s="74">
        <v>2018</v>
      </c>
      <c r="D206" s="40"/>
      <c r="E206" s="41"/>
      <c r="F206" s="41"/>
      <c r="G206" s="39"/>
      <c r="H206" s="306"/>
      <c r="I206" s="307"/>
      <c r="J206" s="308"/>
      <c r="K206" s="41"/>
      <c r="L206" s="86"/>
    </row>
    <row r="207" spans="1:14">
      <c r="A207" s="2654"/>
      <c r="B207" s="2068"/>
      <c r="C207" s="74">
        <v>2019</v>
      </c>
      <c r="D207" s="40"/>
      <c r="E207" s="41"/>
      <c r="F207" s="41"/>
      <c r="G207" s="39"/>
      <c r="H207" s="306"/>
      <c r="I207" s="307"/>
      <c r="J207" s="308"/>
      <c r="K207" s="41"/>
      <c r="L207" s="86"/>
    </row>
    <row r="208" spans="1:14">
      <c r="A208" s="2654"/>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478"/>
      <c r="C213" s="73"/>
      <c r="D213" s="128"/>
      <c r="E213" s="326">
        <f>SUM(E214:E217)</f>
        <v>278680.21999999997</v>
      </c>
      <c r="F213" s="128">
        <v>0</v>
      </c>
      <c r="G213" s="128"/>
      <c r="H213" s="128"/>
      <c r="I213" s="327"/>
      <c r="J213" s="325"/>
    </row>
    <row r="214" spans="1:12">
      <c r="A214" t="s">
        <v>153</v>
      </c>
      <c r="B214" s="466"/>
      <c r="C214" s="73"/>
      <c r="D214" s="326"/>
      <c r="E214" s="326">
        <v>278680.21999999997</v>
      </c>
      <c r="F214" s="128">
        <v>0</v>
      </c>
      <c r="G214" s="128"/>
      <c r="H214" s="128"/>
      <c r="I214" s="327"/>
    </row>
    <row r="215" spans="1:12">
      <c r="A215" t="s">
        <v>155</v>
      </c>
      <c r="B215" s="466"/>
      <c r="C215" s="73"/>
      <c r="D215" s="128"/>
      <c r="E215" s="128"/>
      <c r="F215" s="128">
        <v>0</v>
      </c>
      <c r="G215" s="128"/>
      <c r="H215" s="128"/>
      <c r="I215" s="327"/>
      <c r="J215" s="325"/>
    </row>
    <row r="216" spans="1:12">
      <c r="A216" t="s">
        <v>157</v>
      </c>
      <c r="B216" s="466"/>
      <c r="C216" s="73"/>
      <c r="D216" s="128"/>
      <c r="E216" s="128"/>
      <c r="F216" s="128">
        <v>0</v>
      </c>
      <c r="G216" s="128"/>
      <c r="H216" s="128"/>
      <c r="I216" s="327"/>
    </row>
    <row r="217" spans="1:12">
      <c r="A217" t="s">
        <v>158</v>
      </c>
      <c r="B217" s="466"/>
      <c r="C217" s="73"/>
      <c r="D217" s="128"/>
      <c r="E217" s="128"/>
      <c r="F217" s="128">
        <v>0</v>
      </c>
      <c r="G217" s="128"/>
      <c r="H217" s="128"/>
      <c r="I217" s="327"/>
    </row>
    <row r="218" spans="1:12" ht="30">
      <c r="A218" s="31" t="s">
        <v>159</v>
      </c>
      <c r="B218" s="466"/>
      <c r="C218" s="73"/>
      <c r="D218" s="479"/>
      <c r="E218" s="480">
        <v>89706.14</v>
      </c>
      <c r="F218" s="128">
        <v>45420.7</v>
      </c>
      <c r="G218" s="128"/>
      <c r="H218" s="128"/>
      <c r="I218" s="327"/>
    </row>
    <row r="219" spans="1:12" ht="307.5" customHeight="1" thickBot="1">
      <c r="A219" s="2803" t="s">
        <v>270</v>
      </c>
      <c r="B219" s="2804"/>
      <c r="C219" s="45" t="s">
        <v>13</v>
      </c>
      <c r="D219" s="333">
        <f>SUM(D214:D218)</f>
        <v>0</v>
      </c>
      <c r="E219" s="333">
        <f t="shared" ref="E219:I219" si="24">SUM(E214:E218)</f>
        <v>368386.36</v>
      </c>
      <c r="F219" s="333">
        <f t="shared" si="24"/>
        <v>45420.7</v>
      </c>
      <c r="G219" s="333">
        <f t="shared" si="24"/>
        <v>0</v>
      </c>
      <c r="H219" s="333">
        <f t="shared" si="24"/>
        <v>0</v>
      </c>
      <c r="I219" s="333">
        <f t="shared" si="24"/>
        <v>0</v>
      </c>
    </row>
    <row r="227" spans="1:1">
      <c r="A227" s="31"/>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29:A130"/>
    <mergeCell ref="B129:B130"/>
    <mergeCell ref="A131:B137"/>
    <mergeCell ref="A142:A143"/>
    <mergeCell ref="B142:B143"/>
    <mergeCell ref="A178:B185"/>
    <mergeCell ref="J142:N142"/>
    <mergeCell ref="A144:B151"/>
    <mergeCell ref="A153:A154"/>
    <mergeCell ref="B153:B154"/>
    <mergeCell ref="C153:C154"/>
    <mergeCell ref="C142:C143"/>
    <mergeCell ref="A155:B162"/>
    <mergeCell ref="A165:B172"/>
    <mergeCell ref="A176:A177"/>
    <mergeCell ref="B176:B177"/>
    <mergeCell ref="C176:C177"/>
    <mergeCell ref="I176:O176"/>
    <mergeCell ref="A202:B209"/>
    <mergeCell ref="A219:B219"/>
    <mergeCell ref="A187:A188"/>
    <mergeCell ref="B187:B188"/>
    <mergeCell ref="C187:C188"/>
    <mergeCell ref="A197:L197"/>
    <mergeCell ref="D187:G187"/>
    <mergeCell ref="H187:L187"/>
    <mergeCell ref="A189:B19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Y227"/>
  <sheetViews>
    <sheetView topLeftCell="A178" zoomScale="50" zoomScaleNormal="50" workbookViewId="0">
      <selection activeCell="G180" sqref="G180"/>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271</v>
      </c>
      <c r="C1" s="1996"/>
      <c r="D1" s="1996"/>
      <c r="E1" s="1996"/>
      <c r="F1" s="1996"/>
      <c r="G1" s="2846"/>
      <c r="H1" s="2846"/>
      <c r="I1" s="2846"/>
      <c r="J1" s="284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2682" t="s">
        <v>3</v>
      </c>
      <c r="B4" s="2000"/>
      <c r="C4" s="2000"/>
      <c r="D4" s="2000"/>
      <c r="E4" s="2000"/>
      <c r="F4" s="2000"/>
      <c r="G4" s="2000"/>
      <c r="H4" s="2000"/>
      <c r="I4" s="2000"/>
      <c r="J4" s="2000"/>
      <c r="K4" s="2000"/>
      <c r="L4" s="2000"/>
      <c r="M4" s="2000"/>
      <c r="N4" s="2000"/>
      <c r="O4" s="2001"/>
    </row>
    <row r="5" spans="1:25" s="5" customFormat="1" ht="20.100000000000001" customHeight="1">
      <c r="A5" s="2682"/>
      <c r="B5" s="2000"/>
      <c r="C5" s="2000"/>
      <c r="D5" s="2000"/>
      <c r="E5" s="2000"/>
      <c r="F5" s="2000"/>
      <c r="G5" s="2000"/>
      <c r="H5" s="2000"/>
      <c r="I5" s="2000"/>
      <c r="J5" s="2000"/>
      <c r="K5" s="2000"/>
      <c r="L5" s="2000"/>
      <c r="M5" s="2000"/>
      <c r="N5" s="2000"/>
      <c r="O5" s="2001"/>
    </row>
    <row r="6" spans="1:25" s="5" customFormat="1" ht="20.100000000000001" customHeight="1">
      <c r="A6" s="2682"/>
      <c r="B6" s="2000"/>
      <c r="C6" s="2000"/>
      <c r="D6" s="2000"/>
      <c r="E6" s="2000"/>
      <c r="F6" s="2000"/>
      <c r="G6" s="2000"/>
      <c r="H6" s="2000"/>
      <c r="I6" s="2000"/>
      <c r="J6" s="2000"/>
      <c r="K6" s="2000"/>
      <c r="L6" s="2000"/>
      <c r="M6" s="2000"/>
      <c r="N6" s="2000"/>
      <c r="O6" s="2001"/>
    </row>
    <row r="7" spans="1:25" s="5" customFormat="1" ht="20.100000000000001" customHeight="1">
      <c r="A7" s="2682"/>
      <c r="B7" s="2000"/>
      <c r="C7" s="2000"/>
      <c r="D7" s="2000"/>
      <c r="E7" s="2000"/>
      <c r="F7" s="2000"/>
      <c r="G7" s="2000"/>
      <c r="H7" s="2000"/>
      <c r="I7" s="2000"/>
      <c r="J7" s="2000"/>
      <c r="K7" s="2000"/>
      <c r="L7" s="2000"/>
      <c r="M7" s="2000"/>
      <c r="N7" s="2000"/>
      <c r="O7" s="2001"/>
    </row>
    <row r="8" spans="1:25" s="5" customFormat="1" ht="20.100000000000001" customHeight="1">
      <c r="A8" s="2682"/>
      <c r="B8" s="2000"/>
      <c r="C8" s="2000"/>
      <c r="D8" s="2000"/>
      <c r="E8" s="2000"/>
      <c r="F8" s="2000"/>
      <c r="G8" s="2000"/>
      <c r="H8" s="2000"/>
      <c r="I8" s="2000"/>
      <c r="J8" s="2000"/>
      <c r="K8" s="2000"/>
      <c r="L8" s="2000"/>
      <c r="M8" s="2000"/>
      <c r="N8" s="2000"/>
      <c r="O8" s="2001"/>
    </row>
    <row r="9" spans="1:25" s="5" customFormat="1" ht="20.100000000000001" customHeight="1">
      <c r="A9" s="2682"/>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842">
        <v>34</v>
      </c>
      <c r="B17" s="2847"/>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842"/>
      <c r="B18" s="2847"/>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842"/>
      <c r="B19" s="2847"/>
      <c r="C19" s="39">
        <v>2016</v>
      </c>
      <c r="D19" s="40">
        <v>32</v>
      </c>
      <c r="E19" s="41"/>
      <c r="F19" s="41"/>
      <c r="G19" s="35">
        <f t="shared" si="0"/>
        <v>32</v>
      </c>
      <c r="H19" s="42">
        <v>32</v>
      </c>
      <c r="I19" s="41"/>
      <c r="J19" s="41"/>
      <c r="K19" s="41"/>
      <c r="L19" s="41"/>
      <c r="M19" s="41"/>
      <c r="N19" s="41"/>
      <c r="O19" s="43"/>
      <c r="P19" s="38"/>
      <c r="Q19" s="38"/>
      <c r="R19" s="38"/>
      <c r="S19" s="38"/>
      <c r="T19" s="38"/>
      <c r="U19" s="38"/>
      <c r="V19" s="38"/>
      <c r="W19" s="38"/>
      <c r="X19" s="38"/>
      <c r="Y19" s="38"/>
    </row>
    <row r="20" spans="1:25">
      <c r="A20" s="2842"/>
      <c r="B20" s="2847"/>
      <c r="C20" s="39">
        <v>2017</v>
      </c>
      <c r="D20" s="40">
        <v>2</v>
      </c>
      <c r="E20" s="41"/>
      <c r="F20" s="41"/>
      <c r="G20" s="35">
        <f t="shared" si="0"/>
        <v>2</v>
      </c>
      <c r="H20" s="42">
        <v>2</v>
      </c>
      <c r="I20" s="41"/>
      <c r="J20" s="41"/>
      <c r="K20" s="41"/>
      <c r="L20" s="41"/>
      <c r="M20" s="41"/>
      <c r="N20" s="41"/>
      <c r="O20" s="43"/>
      <c r="P20" s="38"/>
      <c r="Q20" s="38"/>
      <c r="R20" s="38"/>
      <c r="S20" s="38"/>
      <c r="T20" s="38"/>
      <c r="U20" s="38"/>
      <c r="V20" s="38"/>
      <c r="W20" s="38"/>
      <c r="X20" s="38"/>
      <c r="Y20" s="38"/>
    </row>
    <row r="21" spans="1:25">
      <c r="A21" s="2842"/>
      <c r="B21" s="2847"/>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842"/>
      <c r="B22" s="2847"/>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842"/>
      <c r="B23" s="2847"/>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848"/>
      <c r="B24" s="2849"/>
      <c r="C24" s="45" t="s">
        <v>13</v>
      </c>
      <c r="D24" s="46">
        <f>SUM(D17:D23)</f>
        <v>34</v>
      </c>
      <c r="E24" s="47">
        <f>SUM(E17:E23)</f>
        <v>0</v>
      </c>
      <c r="F24" s="47">
        <f>SUM(F17:F23)</f>
        <v>0</v>
      </c>
      <c r="G24" s="48">
        <f>SUM(D24:F24)</f>
        <v>34</v>
      </c>
      <c r="H24" s="49">
        <f>SUM(H17:H23)</f>
        <v>34</v>
      </c>
      <c r="I24" s="50">
        <f>SUM(I17:I23)</f>
        <v>0</v>
      </c>
      <c r="J24" s="50">
        <f t="shared" ref="J24:N24" si="1">SUM(J17:J23)</f>
        <v>0</v>
      </c>
      <c r="K24" s="50">
        <f t="shared" si="1"/>
        <v>0</v>
      </c>
      <c r="L24" s="50">
        <f t="shared" si="1"/>
        <v>0</v>
      </c>
      <c r="M24" s="50">
        <f t="shared" si="1"/>
        <v>0</v>
      </c>
      <c r="N24" s="50">
        <f t="shared" si="1"/>
        <v>0</v>
      </c>
      <c r="O24" s="51">
        <f>SUM(O17:O23)</f>
        <v>0</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54"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842">
        <v>1280</v>
      </c>
      <c r="B28" s="2026" t="s">
        <v>272</v>
      </c>
      <c r="C28" s="58">
        <v>2014</v>
      </c>
      <c r="D28" s="36"/>
      <c r="E28" s="34"/>
      <c r="F28" s="34"/>
      <c r="G28" s="59">
        <f>SUM(D28:F28)</f>
        <v>0</v>
      </c>
      <c r="H28" s="38"/>
      <c r="I28" s="38"/>
      <c r="J28" s="38"/>
      <c r="K28" s="38"/>
      <c r="L28" s="38"/>
      <c r="M28" s="38"/>
      <c r="N28" s="38"/>
      <c r="O28" s="38"/>
      <c r="P28" s="38"/>
      <c r="Q28" s="8"/>
    </row>
    <row r="29" spans="1:25">
      <c r="A29" s="2843"/>
      <c r="B29" s="2026"/>
      <c r="C29" s="60">
        <v>2015</v>
      </c>
      <c r="D29" s="42"/>
      <c r="E29" s="41"/>
      <c r="F29" s="41"/>
      <c r="G29" s="59">
        <f t="shared" ref="G29:G35" si="2">SUM(D29:F29)</f>
        <v>0</v>
      </c>
      <c r="H29" s="38"/>
      <c r="I29" s="38"/>
      <c r="J29" s="38"/>
      <c r="K29" s="38"/>
      <c r="L29" s="38"/>
      <c r="M29" s="38"/>
      <c r="N29" s="38"/>
      <c r="O29" s="38"/>
      <c r="P29" s="38"/>
      <c r="Q29" s="8"/>
    </row>
    <row r="30" spans="1:25">
      <c r="A30" s="2843"/>
      <c r="B30" s="2026"/>
      <c r="C30" s="60">
        <v>2016</v>
      </c>
      <c r="D30" s="42">
        <v>1080</v>
      </c>
      <c r="E30" s="41"/>
      <c r="F30" s="41"/>
      <c r="G30" s="59">
        <f t="shared" si="2"/>
        <v>1080</v>
      </c>
      <c r="H30" s="38"/>
      <c r="I30" s="38"/>
      <c r="J30" s="38"/>
      <c r="K30" s="38"/>
      <c r="L30" s="38"/>
      <c r="M30" s="38"/>
      <c r="N30" s="38"/>
      <c r="O30" s="38"/>
      <c r="P30" s="38"/>
      <c r="Q30" s="8"/>
    </row>
    <row r="31" spans="1:25">
      <c r="A31" s="2843"/>
      <c r="B31" s="2026"/>
      <c r="C31" s="60">
        <v>2017</v>
      </c>
      <c r="D31" s="42">
        <v>200</v>
      </c>
      <c r="E31" s="41"/>
      <c r="F31" s="41"/>
      <c r="G31" s="59">
        <f t="shared" si="2"/>
        <v>200</v>
      </c>
      <c r="H31" s="38"/>
      <c r="I31" s="38"/>
      <c r="J31" s="38"/>
      <c r="K31" s="38"/>
      <c r="L31" s="38"/>
      <c r="M31" s="38"/>
      <c r="N31" s="38"/>
      <c r="O31" s="38"/>
      <c r="P31" s="38"/>
      <c r="Q31" s="8"/>
    </row>
    <row r="32" spans="1:25">
      <c r="A32" s="2843"/>
      <c r="B32" s="2026"/>
      <c r="C32" s="60">
        <v>2018</v>
      </c>
      <c r="D32" s="42"/>
      <c r="E32" s="41"/>
      <c r="F32" s="41"/>
      <c r="G32" s="59">
        <f>SUM(D32:F32)</f>
        <v>0</v>
      </c>
      <c r="H32" s="38"/>
      <c r="I32" s="38"/>
      <c r="J32" s="38"/>
      <c r="K32" s="38"/>
      <c r="L32" s="38"/>
      <c r="M32" s="38"/>
      <c r="N32" s="38"/>
      <c r="O32" s="38"/>
      <c r="P32" s="38"/>
      <c r="Q32" s="8"/>
    </row>
    <row r="33" spans="1:17">
      <c r="A33" s="2843"/>
      <c r="B33" s="2026"/>
      <c r="C33" s="61">
        <v>2019</v>
      </c>
      <c r="D33" s="42"/>
      <c r="E33" s="41"/>
      <c r="F33" s="41"/>
      <c r="G33" s="59">
        <f t="shared" si="2"/>
        <v>0</v>
      </c>
      <c r="H33" s="38"/>
      <c r="I33" s="38"/>
      <c r="J33" s="38"/>
      <c r="K33" s="38"/>
      <c r="L33" s="38"/>
      <c r="M33" s="38"/>
      <c r="N33" s="38"/>
      <c r="O33" s="38"/>
      <c r="P33" s="38"/>
      <c r="Q33" s="8"/>
    </row>
    <row r="34" spans="1:17">
      <c r="A34" s="2843"/>
      <c r="B34" s="2026"/>
      <c r="C34" s="60">
        <v>2020</v>
      </c>
      <c r="D34" s="42"/>
      <c r="E34" s="41"/>
      <c r="F34" s="41"/>
      <c r="G34" s="59">
        <f t="shared" si="2"/>
        <v>0</v>
      </c>
      <c r="H34" s="38"/>
      <c r="I34" s="38"/>
      <c r="J34" s="38"/>
      <c r="K34" s="38"/>
      <c r="L34" s="38"/>
      <c r="M34" s="38"/>
      <c r="N34" s="38"/>
      <c r="O34" s="38"/>
      <c r="P34" s="38"/>
      <c r="Q34" s="8"/>
    </row>
    <row r="35" spans="1:17" ht="108.75" customHeight="1" thickBot="1">
      <c r="A35" s="2122"/>
      <c r="B35" s="2028"/>
      <c r="C35" s="62" t="s">
        <v>13</v>
      </c>
      <c r="D35" s="49">
        <f>SUM(D28:D34)</f>
        <v>1280</v>
      </c>
      <c r="E35" s="47">
        <f>SUM(E28:E34)</f>
        <v>0</v>
      </c>
      <c r="F35" s="47">
        <f>SUM(F28:F34)</f>
        <v>0</v>
      </c>
      <c r="G35" s="51">
        <f t="shared" si="2"/>
        <v>1280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674"/>
      <c r="B40" s="2068" t="s">
        <v>273</v>
      </c>
      <c r="C40" s="73">
        <v>2014</v>
      </c>
      <c r="D40" s="33"/>
      <c r="E40" s="32"/>
      <c r="F40" s="8"/>
      <c r="G40" s="38"/>
      <c r="H40" s="38"/>
    </row>
    <row r="41" spans="1:17">
      <c r="A41" s="2844"/>
      <c r="B41" s="2068"/>
      <c r="C41" s="74">
        <v>2015</v>
      </c>
      <c r="D41" s="40"/>
      <c r="E41" s="39"/>
      <c r="F41" s="8"/>
      <c r="G41" s="38"/>
      <c r="H41" s="38"/>
    </row>
    <row r="42" spans="1:17">
      <c r="A42" s="2844"/>
      <c r="B42" s="2068"/>
      <c r="C42" s="74">
        <v>2016</v>
      </c>
      <c r="D42" s="40"/>
      <c r="E42" s="39"/>
      <c r="F42" s="8"/>
      <c r="G42" s="38"/>
      <c r="H42" s="38"/>
    </row>
    <row r="43" spans="1:17">
      <c r="A43" s="2844"/>
      <c r="B43" s="2068"/>
      <c r="C43" s="74">
        <v>2017</v>
      </c>
      <c r="D43" s="40"/>
      <c r="E43" s="39"/>
      <c r="F43" s="8"/>
      <c r="G43" s="38"/>
      <c r="H43" s="38"/>
    </row>
    <row r="44" spans="1:17">
      <c r="A44" s="2844"/>
      <c r="B44" s="2068"/>
      <c r="C44" s="74">
        <v>2018</v>
      </c>
      <c r="D44" s="40"/>
      <c r="E44" s="39"/>
      <c r="F44" s="8"/>
      <c r="G44" s="38"/>
      <c r="H44" s="38"/>
    </row>
    <row r="45" spans="1:17">
      <c r="A45" s="2844"/>
      <c r="B45" s="2068"/>
      <c r="C45" s="74">
        <v>2019</v>
      </c>
      <c r="D45" s="40"/>
      <c r="E45" s="39"/>
      <c r="F45" s="8"/>
      <c r="G45" s="38"/>
      <c r="H45" s="38"/>
    </row>
    <row r="46" spans="1:17">
      <c r="A46" s="2844"/>
      <c r="B46" s="2068"/>
      <c r="C46" s="74">
        <v>2020</v>
      </c>
      <c r="D46" s="40"/>
      <c r="E46" s="39"/>
      <c r="F46" s="8"/>
      <c r="G46" s="38"/>
      <c r="H46" s="38"/>
    </row>
    <row r="47" spans="1:17" ht="15.75" thickBot="1">
      <c r="A47" s="2845"/>
      <c r="B47" s="2071"/>
      <c r="C47" s="45" t="s">
        <v>13</v>
      </c>
      <c r="D47" s="46">
        <f>SUM(D40:D46)</f>
        <v>0</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t="s">
        <v>274</v>
      </c>
      <c r="C50" s="85" t="s">
        <v>40</v>
      </c>
      <c r="D50" s="33"/>
      <c r="E50" s="34"/>
      <c r="F50" s="34"/>
      <c r="G50" s="34"/>
      <c r="H50" s="34"/>
      <c r="I50" s="34"/>
      <c r="J50" s="34"/>
      <c r="K50" s="37"/>
    </row>
    <row r="51" spans="1:15" ht="15" customHeight="1">
      <c r="A51" s="2844"/>
      <c r="B51" s="2026"/>
      <c r="C51" s="74">
        <v>2014</v>
      </c>
      <c r="D51" s="40"/>
      <c r="E51" s="41"/>
      <c r="F51" s="41"/>
      <c r="G51" s="41"/>
      <c r="H51" s="41"/>
      <c r="I51" s="41"/>
      <c r="J51" s="41"/>
      <c r="K51" s="86"/>
    </row>
    <row r="52" spans="1:15">
      <c r="A52" s="2844"/>
      <c r="B52" s="2026"/>
      <c r="C52" s="74">
        <v>2015</v>
      </c>
      <c r="D52" s="40"/>
      <c r="E52" s="41"/>
      <c r="F52" s="41"/>
      <c r="G52" s="41"/>
      <c r="H52" s="41"/>
      <c r="I52" s="41"/>
      <c r="J52" s="41"/>
      <c r="K52" s="86"/>
    </row>
    <row r="53" spans="1:15">
      <c r="A53" s="2844"/>
      <c r="B53" s="2026"/>
      <c r="C53" s="74">
        <v>2016</v>
      </c>
      <c r="D53" s="40"/>
      <c r="E53" s="41"/>
      <c r="F53" s="41"/>
      <c r="G53" s="41"/>
      <c r="H53" s="41"/>
      <c r="I53" s="41"/>
      <c r="J53" s="41"/>
      <c r="K53" s="86"/>
    </row>
    <row r="54" spans="1:15">
      <c r="A54" s="2844"/>
      <c r="B54" s="2026"/>
      <c r="C54" s="74">
        <v>2017</v>
      </c>
      <c r="D54" s="40"/>
      <c r="E54" s="41"/>
      <c r="F54" s="41"/>
      <c r="G54" s="41"/>
      <c r="H54" s="41"/>
      <c r="I54" s="41"/>
      <c r="J54" s="41"/>
      <c r="K54" s="86"/>
    </row>
    <row r="55" spans="1:15">
      <c r="A55" s="2844"/>
      <c r="B55" s="2026"/>
      <c r="C55" s="74">
        <v>2018</v>
      </c>
      <c r="D55" s="40"/>
      <c r="E55" s="41"/>
      <c r="F55" s="41"/>
      <c r="G55" s="41"/>
      <c r="H55" s="41"/>
      <c r="I55" s="41"/>
      <c r="J55" s="41"/>
      <c r="K55" s="86"/>
    </row>
    <row r="56" spans="1:15">
      <c r="A56" s="2844"/>
      <c r="B56" s="2026"/>
      <c r="C56" s="74">
        <v>2019</v>
      </c>
      <c r="D56" s="40"/>
      <c r="E56" s="41"/>
      <c r="F56" s="41"/>
      <c r="G56" s="41"/>
      <c r="H56" s="41"/>
      <c r="I56" s="41"/>
      <c r="J56" s="41"/>
      <c r="K56" s="86"/>
    </row>
    <row r="57" spans="1:15">
      <c r="A57" s="2844"/>
      <c r="B57" s="2026"/>
      <c r="C57" s="74">
        <v>2020</v>
      </c>
      <c r="D57" s="40"/>
      <c r="E57" s="41"/>
      <c r="F57" s="41"/>
      <c r="G57" s="41"/>
      <c r="H57" s="41"/>
      <c r="I57" s="41"/>
      <c r="J57" s="41"/>
      <c r="K57" s="87"/>
    </row>
    <row r="58" spans="1:15" ht="20.25" customHeight="1" thickBot="1">
      <c r="A58" s="2845"/>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818">
        <v>7</v>
      </c>
      <c r="B62" s="2026" t="s">
        <v>275</v>
      </c>
      <c r="C62" s="99">
        <v>2014</v>
      </c>
      <c r="D62" s="100"/>
      <c r="E62" s="101"/>
      <c r="F62" s="102"/>
      <c r="G62" s="102"/>
      <c r="H62" s="102"/>
      <c r="I62" s="102"/>
      <c r="J62" s="102"/>
      <c r="K62" s="102"/>
      <c r="L62" s="37"/>
      <c r="M62" s="8"/>
      <c r="N62" s="8"/>
      <c r="O62" s="8"/>
    </row>
    <row r="63" spans="1:15">
      <c r="A63" s="2836"/>
      <c r="B63" s="2026"/>
      <c r="C63" s="103">
        <v>2015</v>
      </c>
      <c r="D63" s="104"/>
      <c r="E63" s="105"/>
      <c r="F63" s="41"/>
      <c r="G63" s="41"/>
      <c r="H63" s="41"/>
      <c r="I63" s="41"/>
      <c r="J63" s="41"/>
      <c r="K63" s="41"/>
      <c r="L63" s="86"/>
      <c r="M63" s="8"/>
      <c r="N63" s="8"/>
      <c r="O63" s="8"/>
    </row>
    <row r="64" spans="1:15">
      <c r="A64" s="2836"/>
      <c r="B64" s="2026"/>
      <c r="C64" s="103">
        <v>2016</v>
      </c>
      <c r="D64" s="104">
        <v>4</v>
      </c>
      <c r="E64" s="105">
        <v>4</v>
      </c>
      <c r="F64" s="41"/>
      <c r="G64" s="41"/>
      <c r="H64" s="41"/>
      <c r="I64" s="41"/>
      <c r="J64" s="41"/>
      <c r="K64" s="41"/>
      <c r="L64" s="86"/>
      <c r="M64" s="8"/>
      <c r="N64" s="8"/>
      <c r="O64" s="8"/>
    </row>
    <row r="65" spans="1:20">
      <c r="A65" s="2836"/>
      <c r="B65" s="2026"/>
      <c r="C65" s="103">
        <v>2017</v>
      </c>
      <c r="D65" s="104">
        <v>3</v>
      </c>
      <c r="E65" s="105">
        <v>3</v>
      </c>
      <c r="F65" s="41"/>
      <c r="G65" s="41"/>
      <c r="H65" s="41"/>
      <c r="I65" s="41"/>
      <c r="J65" s="41"/>
      <c r="K65" s="41"/>
      <c r="L65" s="86"/>
      <c r="M65" s="8"/>
      <c r="N65" s="8"/>
      <c r="O65" s="8"/>
    </row>
    <row r="66" spans="1:20">
      <c r="A66" s="2836"/>
      <c r="B66" s="2026"/>
      <c r="C66" s="103">
        <v>2018</v>
      </c>
      <c r="D66" s="104"/>
      <c r="E66" s="105"/>
      <c r="F66" s="41"/>
      <c r="G66" s="41"/>
      <c r="H66" s="41"/>
      <c r="I66" s="41"/>
      <c r="J66" s="41"/>
      <c r="K66" s="41"/>
      <c r="L66" s="86"/>
      <c r="M66" s="8"/>
      <c r="N66" s="8"/>
      <c r="O66" s="8"/>
    </row>
    <row r="67" spans="1:20" ht="17.25" customHeight="1">
      <c r="A67" s="2836"/>
      <c r="B67" s="2026"/>
      <c r="C67" s="103">
        <v>2019</v>
      </c>
      <c r="D67" s="104"/>
      <c r="E67" s="105"/>
      <c r="F67" s="41"/>
      <c r="G67" s="41"/>
      <c r="H67" s="41"/>
      <c r="I67" s="41"/>
      <c r="J67" s="41"/>
      <c r="K67" s="41"/>
      <c r="L67" s="86"/>
      <c r="M67" s="8"/>
      <c r="N67" s="8"/>
      <c r="O67" s="8"/>
    </row>
    <row r="68" spans="1:20" ht="16.5" customHeight="1">
      <c r="A68" s="2836"/>
      <c r="B68" s="2026"/>
      <c r="C68" s="103">
        <v>2020</v>
      </c>
      <c r="D68" s="104"/>
      <c r="E68" s="105"/>
      <c r="F68" s="41"/>
      <c r="G68" s="41"/>
      <c r="H68" s="41"/>
      <c r="I68" s="41"/>
      <c r="J68" s="41"/>
      <c r="K68" s="41"/>
      <c r="L68" s="86"/>
      <c r="M68" s="77"/>
      <c r="N68" s="77"/>
      <c r="O68" s="77"/>
    </row>
    <row r="69" spans="1:20" ht="18" customHeight="1" thickBot="1">
      <c r="A69" s="2820"/>
      <c r="B69" s="2028"/>
      <c r="C69" s="106" t="s">
        <v>13</v>
      </c>
      <c r="D69" s="107">
        <f>SUM(D62:D68)</f>
        <v>7</v>
      </c>
      <c r="E69" s="108">
        <f>SUM(E62:E68)</f>
        <v>7</v>
      </c>
      <c r="F69" s="109">
        <f t="shared" ref="F69:I69" si="4">SUM(F62:F68)</f>
        <v>0</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828">
        <v>0</v>
      </c>
      <c r="B72" s="2819"/>
      <c r="C72" s="73">
        <v>2014</v>
      </c>
      <c r="D72" s="124"/>
      <c r="E72" s="124"/>
      <c r="F72" s="124"/>
      <c r="G72" s="125">
        <f>SUM(D72:F72)</f>
        <v>0</v>
      </c>
      <c r="H72" s="33"/>
      <c r="I72" s="126"/>
      <c r="J72" s="102"/>
      <c r="K72" s="102"/>
      <c r="L72" s="102"/>
      <c r="M72" s="102"/>
      <c r="N72" s="102"/>
      <c r="O72" s="127"/>
    </row>
    <row r="73" spans="1:20">
      <c r="A73" s="2828"/>
      <c r="B73" s="2819"/>
      <c r="C73" s="74">
        <v>2015</v>
      </c>
      <c r="D73" s="128"/>
      <c r="E73" s="128"/>
      <c r="F73" s="128"/>
      <c r="G73" s="125">
        <f t="shared" ref="G73:G78" si="5">SUM(D73:F73)</f>
        <v>0</v>
      </c>
      <c r="H73" s="40"/>
      <c r="I73" s="40"/>
      <c r="J73" s="41"/>
      <c r="K73" s="41"/>
      <c r="L73" s="41"/>
      <c r="M73" s="41"/>
      <c r="N73" s="41"/>
      <c r="O73" s="86"/>
    </row>
    <row r="74" spans="1:20">
      <c r="A74" s="2828"/>
      <c r="B74" s="2819"/>
      <c r="C74" s="74">
        <v>2016</v>
      </c>
      <c r="D74" s="128"/>
      <c r="E74" s="128"/>
      <c r="F74" s="128"/>
      <c r="G74" s="125">
        <f t="shared" si="5"/>
        <v>0</v>
      </c>
      <c r="H74" s="40"/>
      <c r="I74" s="40"/>
      <c r="J74" s="41"/>
      <c r="K74" s="41"/>
      <c r="L74" s="41"/>
      <c r="M74" s="41"/>
      <c r="N74" s="41"/>
      <c r="O74" s="86"/>
    </row>
    <row r="75" spans="1:20">
      <c r="A75" s="2828"/>
      <c r="B75" s="2819"/>
      <c r="C75" s="74">
        <v>2017</v>
      </c>
      <c r="D75" s="128"/>
      <c r="E75" s="128"/>
      <c r="F75" s="128"/>
      <c r="G75" s="125">
        <f t="shared" si="5"/>
        <v>0</v>
      </c>
      <c r="H75" s="40"/>
      <c r="I75" s="40"/>
      <c r="J75" s="41"/>
      <c r="K75" s="41"/>
      <c r="L75" s="41"/>
      <c r="M75" s="41"/>
      <c r="N75" s="41"/>
      <c r="O75" s="86"/>
    </row>
    <row r="76" spans="1:20">
      <c r="A76" s="2828"/>
      <c r="B76" s="2819"/>
      <c r="C76" s="74">
        <v>2018</v>
      </c>
      <c r="D76" s="128"/>
      <c r="E76" s="128"/>
      <c r="F76" s="128"/>
      <c r="G76" s="125">
        <f t="shared" si="5"/>
        <v>0</v>
      </c>
      <c r="H76" s="40"/>
      <c r="I76" s="40"/>
      <c r="J76" s="41"/>
      <c r="K76" s="41"/>
      <c r="L76" s="41"/>
      <c r="M76" s="41"/>
      <c r="N76" s="41"/>
      <c r="O76" s="86"/>
    </row>
    <row r="77" spans="1:20" ht="15.75" customHeight="1">
      <c r="A77" s="2828"/>
      <c r="B77" s="2819"/>
      <c r="C77" s="74">
        <v>2019</v>
      </c>
      <c r="D77" s="128"/>
      <c r="E77" s="128"/>
      <c r="F77" s="128"/>
      <c r="G77" s="125">
        <f t="shared" si="5"/>
        <v>0</v>
      </c>
      <c r="H77" s="40"/>
      <c r="I77" s="40"/>
      <c r="J77" s="41"/>
      <c r="K77" s="41"/>
      <c r="L77" s="41"/>
      <c r="M77" s="41"/>
      <c r="N77" s="41"/>
      <c r="O77" s="86"/>
    </row>
    <row r="78" spans="1:20" ht="17.25" customHeight="1">
      <c r="A78" s="2828"/>
      <c r="B78" s="2819"/>
      <c r="C78" s="74">
        <v>2020</v>
      </c>
      <c r="D78" s="128"/>
      <c r="E78" s="128"/>
      <c r="F78" s="128"/>
      <c r="G78" s="125">
        <f t="shared" si="5"/>
        <v>0</v>
      </c>
      <c r="H78" s="40"/>
      <c r="I78" s="40"/>
      <c r="J78" s="41"/>
      <c r="K78" s="41"/>
      <c r="L78" s="41"/>
      <c r="M78" s="41"/>
      <c r="N78" s="41"/>
      <c r="O78" s="86"/>
    </row>
    <row r="79" spans="1:20" ht="20.25" customHeight="1" thickBot="1">
      <c r="A79" s="2820"/>
      <c r="B79" s="2821"/>
      <c r="C79" s="129" t="s">
        <v>13</v>
      </c>
      <c r="D79" s="107">
        <f>SUM(D72:D78)</f>
        <v>0</v>
      </c>
      <c r="E79" s="107">
        <f>SUM(E72:E78)</f>
        <v>0</v>
      </c>
      <c r="F79" s="107">
        <f>SUM(F72:F78)</f>
        <v>0</v>
      </c>
      <c r="G79" s="130">
        <f>SUM(G72:G78)</f>
        <v>0</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837">
        <v>7</v>
      </c>
      <c r="B85" s="2039"/>
      <c r="C85" s="73">
        <v>2014</v>
      </c>
      <c r="D85" s="147"/>
      <c r="E85" s="148"/>
      <c r="F85" s="34"/>
      <c r="G85" s="34"/>
      <c r="H85" s="34"/>
      <c r="I85" s="34"/>
      <c r="J85" s="34"/>
      <c r="K85" s="37"/>
    </row>
    <row r="86" spans="1:16">
      <c r="A86" s="2836"/>
      <c r="B86" s="2039"/>
      <c r="C86" s="74">
        <v>2015</v>
      </c>
      <c r="D86" s="149"/>
      <c r="E86" s="105"/>
      <c r="F86" s="41"/>
      <c r="G86" s="41"/>
      <c r="H86" s="41"/>
      <c r="I86" s="41"/>
      <c r="J86" s="41"/>
      <c r="K86" s="86"/>
    </row>
    <row r="87" spans="1:16">
      <c r="A87" s="2836"/>
      <c r="B87" s="2039"/>
      <c r="C87" s="74">
        <v>2016</v>
      </c>
      <c r="D87" s="149">
        <v>7</v>
      </c>
      <c r="E87" s="105">
        <v>7</v>
      </c>
      <c r="F87" s="41"/>
      <c r="G87" s="41"/>
      <c r="H87" s="41"/>
      <c r="I87" s="41"/>
      <c r="J87" s="41"/>
      <c r="K87" s="86"/>
    </row>
    <row r="88" spans="1:16">
      <c r="A88" s="2836"/>
      <c r="B88" s="2039"/>
      <c r="C88" s="74">
        <v>2017</v>
      </c>
      <c r="D88" s="149"/>
      <c r="E88" s="105"/>
      <c r="F88" s="41"/>
      <c r="G88" s="41"/>
      <c r="H88" s="41"/>
      <c r="I88" s="41"/>
      <c r="J88" s="41"/>
      <c r="K88" s="86"/>
    </row>
    <row r="89" spans="1:16">
      <c r="A89" s="2836"/>
      <c r="B89" s="2039"/>
      <c r="C89" s="74">
        <v>2018</v>
      </c>
      <c r="D89" s="149"/>
      <c r="E89" s="105"/>
      <c r="F89" s="41"/>
      <c r="G89" s="41"/>
      <c r="H89" s="41"/>
      <c r="I89" s="41"/>
      <c r="J89" s="41"/>
      <c r="K89" s="86"/>
    </row>
    <row r="90" spans="1:16">
      <c r="A90" s="2836"/>
      <c r="B90" s="2039"/>
      <c r="C90" s="74">
        <v>2019</v>
      </c>
      <c r="D90" s="149"/>
      <c r="E90" s="105"/>
      <c r="F90" s="41"/>
      <c r="G90" s="41"/>
      <c r="H90" s="41"/>
      <c r="I90" s="41"/>
      <c r="J90" s="41"/>
      <c r="K90" s="86"/>
    </row>
    <row r="91" spans="1:16">
      <c r="A91" s="2836"/>
      <c r="B91" s="2039"/>
      <c r="C91" s="74">
        <v>2020</v>
      </c>
      <c r="D91" s="149"/>
      <c r="E91" s="105"/>
      <c r="F91" s="41"/>
      <c r="G91" s="41"/>
      <c r="H91" s="41"/>
      <c r="I91" s="41"/>
      <c r="J91" s="41"/>
      <c r="K91" s="86"/>
    </row>
    <row r="92" spans="1:16" ht="18" customHeight="1" thickBot="1">
      <c r="A92" s="2820"/>
      <c r="B92" s="2042"/>
      <c r="C92" s="129" t="s">
        <v>13</v>
      </c>
      <c r="D92" s="150">
        <f t="shared" ref="D92:I92" si="7">SUM(D85:D91)</f>
        <v>7</v>
      </c>
      <c r="E92" s="108">
        <f t="shared" si="7"/>
        <v>7</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818" t="s">
        <v>276</v>
      </c>
      <c r="B98" s="2840" t="s">
        <v>277</v>
      </c>
      <c r="C98" s="99">
        <v>2014</v>
      </c>
      <c r="D98" s="33"/>
      <c r="E98" s="34"/>
      <c r="F98" s="167"/>
      <c r="G98" s="168"/>
      <c r="H98" s="168"/>
      <c r="I98" s="168"/>
      <c r="J98" s="168"/>
      <c r="K98" s="168"/>
      <c r="L98" s="168"/>
      <c r="M98" s="169"/>
      <c r="N98" s="158"/>
      <c r="O98" s="158"/>
      <c r="P98" s="158"/>
    </row>
    <row r="99" spans="1:16" ht="16.5" customHeight="1">
      <c r="A99" s="2838"/>
      <c r="B99" s="2840"/>
      <c r="C99" s="103">
        <v>2015</v>
      </c>
      <c r="D99" s="40"/>
      <c r="E99" s="41"/>
      <c r="F99" s="170"/>
      <c r="G99" s="171"/>
      <c r="H99" s="171"/>
      <c r="I99" s="171"/>
      <c r="J99" s="171"/>
      <c r="K99" s="171"/>
      <c r="L99" s="171"/>
      <c r="M99" s="172"/>
      <c r="N99" s="158"/>
      <c r="O99" s="158"/>
      <c r="P99" s="158"/>
    </row>
    <row r="100" spans="1:16" ht="16.5" customHeight="1">
      <c r="A100" s="2838"/>
      <c r="B100" s="2840"/>
      <c r="C100" s="103">
        <v>2016</v>
      </c>
      <c r="D100" s="40"/>
      <c r="E100" s="41"/>
      <c r="F100" s="170"/>
      <c r="G100" s="171"/>
      <c r="H100" s="171"/>
      <c r="I100" s="171"/>
      <c r="J100" s="171"/>
      <c r="K100" s="171"/>
      <c r="L100" s="171"/>
      <c r="M100" s="172"/>
      <c r="N100" s="158"/>
      <c r="O100" s="158"/>
      <c r="P100" s="158"/>
    </row>
    <row r="101" spans="1:16" ht="16.5" customHeight="1">
      <c r="A101" s="2838"/>
      <c r="B101" s="2840"/>
      <c r="C101" s="103">
        <v>2017</v>
      </c>
      <c r="D101" s="40">
        <v>1</v>
      </c>
      <c r="E101" s="41">
        <v>5</v>
      </c>
      <c r="F101" s="170">
        <v>1</v>
      </c>
      <c r="G101" s="171"/>
      <c r="H101" s="171"/>
      <c r="I101" s="171"/>
      <c r="J101" s="171"/>
      <c r="K101" s="171"/>
      <c r="L101" s="171"/>
      <c r="M101" s="172"/>
      <c r="N101" s="158"/>
      <c r="O101" s="158"/>
      <c r="P101" s="158"/>
    </row>
    <row r="102" spans="1:16" ht="15.75" customHeight="1">
      <c r="A102" s="2838"/>
      <c r="B102" s="2840"/>
      <c r="C102" s="103">
        <v>2018</v>
      </c>
      <c r="D102" s="40"/>
      <c r="E102" s="41"/>
      <c r="F102" s="170"/>
      <c r="G102" s="171"/>
      <c r="H102" s="171"/>
      <c r="I102" s="171"/>
      <c r="J102" s="171"/>
      <c r="K102" s="171"/>
      <c r="L102" s="171"/>
      <c r="M102" s="172"/>
      <c r="N102" s="158"/>
      <c r="O102" s="158"/>
      <c r="P102" s="158"/>
    </row>
    <row r="103" spans="1:16" ht="14.25" customHeight="1">
      <c r="A103" s="2838"/>
      <c r="B103" s="2840"/>
      <c r="C103" s="103">
        <v>2019</v>
      </c>
      <c r="D103" s="40"/>
      <c r="E103" s="41"/>
      <c r="F103" s="170"/>
      <c r="G103" s="171"/>
      <c r="H103" s="171"/>
      <c r="I103" s="171"/>
      <c r="J103" s="171"/>
      <c r="K103" s="171"/>
      <c r="L103" s="171"/>
      <c r="M103" s="172"/>
      <c r="N103" s="158"/>
      <c r="O103" s="158"/>
      <c r="P103" s="158"/>
    </row>
    <row r="104" spans="1:16" ht="14.25" customHeight="1">
      <c r="A104" s="2838"/>
      <c r="B104" s="2840"/>
      <c r="C104" s="103">
        <v>2020</v>
      </c>
      <c r="D104" s="40"/>
      <c r="E104" s="41"/>
      <c r="F104" s="170"/>
      <c r="G104" s="171"/>
      <c r="H104" s="171"/>
      <c r="I104" s="171"/>
      <c r="J104" s="171"/>
      <c r="K104" s="171"/>
      <c r="L104" s="171"/>
      <c r="M104" s="172"/>
      <c r="N104" s="158"/>
      <c r="O104" s="158"/>
      <c r="P104" s="158"/>
    </row>
    <row r="105" spans="1:16" ht="19.5" customHeight="1" thickBot="1">
      <c r="A105" s="2839"/>
      <c r="B105" s="2841"/>
      <c r="C105" s="106" t="s">
        <v>13</v>
      </c>
      <c r="D105" s="132">
        <f>SUM(D98:D104)</f>
        <v>1</v>
      </c>
      <c r="E105" s="109">
        <f t="shared" ref="E105:K105" si="8">SUM(E98:E104)</f>
        <v>5</v>
      </c>
      <c r="F105" s="173">
        <f t="shared" si="8"/>
        <v>1</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832">
        <v>0</v>
      </c>
      <c r="B109" s="2833"/>
      <c r="C109" s="99">
        <v>2014</v>
      </c>
      <c r="D109" s="34"/>
      <c r="E109" s="167"/>
      <c r="F109" s="168"/>
      <c r="G109" s="168"/>
      <c r="H109" s="168"/>
      <c r="I109" s="168"/>
      <c r="J109" s="168"/>
      <c r="K109" s="168"/>
      <c r="L109" s="169"/>
      <c r="M109" s="178"/>
      <c r="N109" s="178"/>
    </row>
    <row r="110" spans="1:16">
      <c r="A110" s="2832"/>
      <c r="B110" s="2833"/>
      <c r="C110" s="103">
        <v>2015</v>
      </c>
      <c r="D110" s="41"/>
      <c r="E110" s="170"/>
      <c r="F110" s="171"/>
      <c r="G110" s="171"/>
      <c r="H110" s="171"/>
      <c r="I110" s="171"/>
      <c r="J110" s="171"/>
      <c r="K110" s="171"/>
      <c r="L110" s="172"/>
      <c r="M110" s="178"/>
      <c r="N110" s="178"/>
    </row>
    <row r="111" spans="1:16">
      <c r="A111" s="2832"/>
      <c r="B111" s="2833"/>
      <c r="C111" s="103">
        <v>2016</v>
      </c>
      <c r="D111" s="41"/>
      <c r="E111" s="170"/>
      <c r="F111" s="171"/>
      <c r="G111" s="171"/>
      <c r="H111" s="171"/>
      <c r="I111" s="171"/>
      <c r="J111" s="171"/>
      <c r="K111" s="171"/>
      <c r="L111" s="172"/>
      <c r="M111" s="178"/>
      <c r="N111" s="178"/>
    </row>
    <row r="112" spans="1:16">
      <c r="A112" s="2832"/>
      <c r="B112" s="2833"/>
      <c r="C112" s="103">
        <v>2017</v>
      </c>
      <c r="D112" s="41"/>
      <c r="E112" s="170"/>
      <c r="F112" s="171"/>
      <c r="G112" s="171"/>
      <c r="H112" s="171"/>
      <c r="I112" s="171"/>
      <c r="J112" s="171"/>
      <c r="K112" s="171"/>
      <c r="L112" s="172"/>
      <c r="M112" s="178"/>
      <c r="N112" s="178"/>
    </row>
    <row r="113" spans="1:14">
      <c r="A113" s="2832"/>
      <c r="B113" s="2833"/>
      <c r="C113" s="103">
        <v>2018</v>
      </c>
      <c r="D113" s="41"/>
      <c r="E113" s="170"/>
      <c r="F113" s="171"/>
      <c r="G113" s="171"/>
      <c r="H113" s="171"/>
      <c r="I113" s="171"/>
      <c r="J113" s="171"/>
      <c r="K113" s="171"/>
      <c r="L113" s="172"/>
      <c r="M113" s="178"/>
      <c r="N113" s="178"/>
    </row>
    <row r="114" spans="1:14">
      <c r="A114" s="2832"/>
      <c r="B114" s="2833"/>
      <c r="C114" s="103">
        <v>2019</v>
      </c>
      <c r="D114" s="41"/>
      <c r="E114" s="170"/>
      <c r="F114" s="171"/>
      <c r="G114" s="171"/>
      <c r="H114" s="171"/>
      <c r="I114" s="171"/>
      <c r="J114" s="171"/>
      <c r="K114" s="171"/>
      <c r="L114" s="172"/>
      <c r="M114" s="178"/>
      <c r="N114" s="178"/>
    </row>
    <row r="115" spans="1:14">
      <c r="A115" s="2832"/>
      <c r="B115" s="2833"/>
      <c r="C115" s="103">
        <v>2020</v>
      </c>
      <c r="D115" s="41"/>
      <c r="E115" s="170"/>
      <c r="F115" s="171"/>
      <c r="G115" s="171"/>
      <c r="H115" s="171"/>
      <c r="I115" s="171"/>
      <c r="J115" s="171"/>
      <c r="K115" s="171"/>
      <c r="L115" s="172"/>
      <c r="M115" s="178"/>
      <c r="N115" s="178"/>
    </row>
    <row r="116" spans="1:14" ht="25.5" customHeight="1" thickBot="1">
      <c r="A116" s="2834"/>
      <c r="B116" s="2835"/>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818">
        <v>0</v>
      </c>
      <c r="B120" s="2819"/>
      <c r="C120" s="99">
        <v>2014</v>
      </c>
      <c r="D120" s="34"/>
      <c r="E120" s="167"/>
      <c r="F120" s="168"/>
      <c r="G120" s="168"/>
      <c r="H120" s="168"/>
      <c r="I120" s="168"/>
      <c r="J120" s="168"/>
      <c r="K120" s="168"/>
      <c r="L120" s="169"/>
      <c r="M120" s="178"/>
      <c r="N120" s="178"/>
    </row>
    <row r="121" spans="1:14">
      <c r="A121" s="2818"/>
      <c r="B121" s="2819"/>
      <c r="C121" s="103">
        <v>2015</v>
      </c>
      <c r="D121" s="41"/>
      <c r="E121" s="170"/>
      <c r="F121" s="171"/>
      <c r="G121" s="171"/>
      <c r="H121" s="171"/>
      <c r="I121" s="171"/>
      <c r="J121" s="171"/>
      <c r="K121" s="171"/>
      <c r="L121" s="172"/>
      <c r="M121" s="178"/>
      <c r="N121" s="178"/>
    </row>
    <row r="122" spans="1:14">
      <c r="A122" s="2818"/>
      <c r="B122" s="2819"/>
      <c r="C122" s="103">
        <v>2016</v>
      </c>
      <c r="D122" s="41"/>
      <c r="E122" s="170"/>
      <c r="F122" s="171"/>
      <c r="G122" s="171"/>
      <c r="H122" s="171"/>
      <c r="I122" s="171"/>
      <c r="J122" s="171"/>
      <c r="K122" s="171"/>
      <c r="L122" s="172"/>
      <c r="M122" s="178"/>
      <c r="N122" s="178"/>
    </row>
    <row r="123" spans="1:14">
      <c r="A123" s="2818"/>
      <c r="B123" s="2819"/>
      <c r="C123" s="103">
        <v>2017</v>
      </c>
      <c r="D123" s="41"/>
      <c r="E123" s="170"/>
      <c r="F123" s="171"/>
      <c r="G123" s="171"/>
      <c r="H123" s="171"/>
      <c r="I123" s="171"/>
      <c r="J123" s="171"/>
      <c r="K123" s="171"/>
      <c r="L123" s="172"/>
      <c r="M123" s="178"/>
      <c r="N123" s="178"/>
    </row>
    <row r="124" spans="1:14">
      <c r="A124" s="2818"/>
      <c r="B124" s="2819"/>
      <c r="C124" s="103">
        <v>2018</v>
      </c>
      <c r="D124" s="41"/>
      <c r="E124" s="170"/>
      <c r="F124" s="171"/>
      <c r="G124" s="171"/>
      <c r="H124" s="171"/>
      <c r="I124" s="171"/>
      <c r="J124" s="171"/>
      <c r="K124" s="171"/>
      <c r="L124" s="172"/>
      <c r="M124" s="178"/>
      <c r="N124" s="178"/>
    </row>
    <row r="125" spans="1:14">
      <c r="A125" s="2818"/>
      <c r="B125" s="2819"/>
      <c r="C125" s="103">
        <v>2019</v>
      </c>
      <c r="D125" s="41"/>
      <c r="E125" s="170"/>
      <c r="F125" s="171"/>
      <c r="G125" s="171"/>
      <c r="H125" s="171"/>
      <c r="I125" s="171"/>
      <c r="J125" s="171"/>
      <c r="K125" s="171"/>
      <c r="L125" s="172"/>
      <c r="M125" s="178"/>
      <c r="N125" s="178"/>
    </row>
    <row r="126" spans="1:14">
      <c r="A126" s="2818"/>
      <c r="B126" s="2819"/>
      <c r="C126" s="103">
        <v>2020</v>
      </c>
      <c r="D126" s="41"/>
      <c r="E126" s="170"/>
      <c r="F126" s="171"/>
      <c r="G126" s="171"/>
      <c r="H126" s="171"/>
      <c r="I126" s="171"/>
      <c r="J126" s="171"/>
      <c r="K126" s="171"/>
      <c r="L126" s="172"/>
      <c r="M126" s="178"/>
      <c r="N126" s="178"/>
    </row>
    <row r="127" spans="1:14" ht="15.75" thickBot="1">
      <c r="A127" s="2820"/>
      <c r="B127" s="2821"/>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69" t="s">
        <v>9</v>
      </c>
      <c r="D129" s="182" t="s">
        <v>76</v>
      </c>
      <c r="E129" s="183"/>
      <c r="F129" s="183"/>
      <c r="G129" s="184"/>
      <c r="H129" s="178"/>
      <c r="I129" s="178"/>
      <c r="J129" s="178"/>
      <c r="K129" s="178"/>
      <c r="L129" s="178"/>
      <c r="M129" s="178"/>
      <c r="N129" s="178"/>
    </row>
    <row r="130" spans="1:16" ht="77.25" customHeight="1">
      <c r="A130" s="2044"/>
      <c r="B130" s="2046"/>
      <c r="C130" s="468"/>
      <c r="D130" s="159" t="s">
        <v>77</v>
      </c>
      <c r="E130" s="186" t="s">
        <v>78</v>
      </c>
      <c r="F130" s="160" t="s">
        <v>79</v>
      </c>
      <c r="G130" s="187" t="s">
        <v>13</v>
      </c>
      <c r="H130" s="178"/>
      <c r="I130" s="178"/>
      <c r="J130" s="178"/>
      <c r="K130" s="178"/>
      <c r="L130" s="178"/>
      <c r="M130" s="178"/>
      <c r="N130" s="178"/>
    </row>
    <row r="131" spans="1:16" ht="15" customHeight="1">
      <c r="A131" s="2828">
        <v>3</v>
      </c>
      <c r="B131" s="2831" t="s">
        <v>278</v>
      </c>
      <c r="C131" s="99">
        <v>2015</v>
      </c>
      <c r="D131" s="33"/>
      <c r="E131" s="34"/>
      <c r="F131" s="34"/>
      <c r="G131" s="191">
        <f t="shared" ref="G131:G136" si="11">SUM(D131:F131)</f>
        <v>0</v>
      </c>
      <c r="H131" s="178"/>
      <c r="I131" s="178"/>
      <c r="J131" s="178"/>
      <c r="K131" s="178"/>
      <c r="L131" s="178"/>
      <c r="M131" s="178"/>
      <c r="N131" s="178"/>
    </row>
    <row r="132" spans="1:16">
      <c r="A132" s="2829"/>
      <c r="B132" s="2187"/>
      <c r="C132" s="103">
        <v>2016</v>
      </c>
      <c r="D132" s="40"/>
      <c r="E132" s="41"/>
      <c r="F132" s="41"/>
      <c r="G132" s="191">
        <f t="shared" si="11"/>
        <v>0</v>
      </c>
      <c r="H132" s="178"/>
      <c r="I132" s="178"/>
      <c r="J132" s="178"/>
      <c r="K132" s="178"/>
      <c r="L132" s="178"/>
      <c r="M132" s="178"/>
      <c r="N132" s="178"/>
    </row>
    <row r="133" spans="1:16">
      <c r="A133" s="2829"/>
      <c r="B133" s="2187"/>
      <c r="C133" s="103">
        <v>2017</v>
      </c>
      <c r="D133" s="40"/>
      <c r="E133" s="41">
        <v>3</v>
      </c>
      <c r="F133" s="41"/>
      <c r="G133" s="191">
        <f t="shared" si="11"/>
        <v>3</v>
      </c>
      <c r="H133" s="178"/>
      <c r="I133" s="178"/>
      <c r="J133" s="178"/>
      <c r="K133" s="178"/>
      <c r="L133" s="178"/>
      <c r="M133" s="178"/>
      <c r="N133" s="178"/>
    </row>
    <row r="134" spans="1:16">
      <c r="A134" s="2829"/>
      <c r="B134" s="2187"/>
      <c r="C134" s="103">
        <v>2018</v>
      </c>
      <c r="D134" s="40"/>
      <c r="E134" s="41"/>
      <c r="F134" s="41"/>
      <c r="G134" s="191">
        <f t="shared" si="11"/>
        <v>0</v>
      </c>
      <c r="H134" s="178"/>
      <c r="I134" s="178"/>
      <c r="J134" s="178"/>
      <c r="K134" s="178"/>
      <c r="L134" s="178"/>
      <c r="M134" s="178"/>
      <c r="N134" s="178"/>
    </row>
    <row r="135" spans="1:16">
      <c r="A135" s="2829"/>
      <c r="B135" s="2187"/>
      <c r="C135" s="103">
        <v>2019</v>
      </c>
      <c r="D135" s="40"/>
      <c r="E135" s="41"/>
      <c r="F135" s="41"/>
      <c r="G135" s="191">
        <f t="shared" si="11"/>
        <v>0</v>
      </c>
      <c r="H135" s="178"/>
      <c r="I135" s="178"/>
      <c r="J135" s="178"/>
      <c r="K135" s="178"/>
      <c r="L135" s="178"/>
      <c r="M135" s="178"/>
      <c r="N135" s="178"/>
    </row>
    <row r="136" spans="1:16">
      <c r="A136" s="2829"/>
      <c r="B136" s="2187"/>
      <c r="C136" s="103">
        <v>2020</v>
      </c>
      <c r="D136" s="40"/>
      <c r="E136" s="41"/>
      <c r="F136" s="41"/>
      <c r="G136" s="191">
        <f t="shared" si="11"/>
        <v>0</v>
      </c>
      <c r="H136" s="178"/>
      <c r="I136" s="178"/>
      <c r="J136" s="178"/>
      <c r="K136" s="178"/>
      <c r="L136" s="178"/>
      <c r="M136" s="178"/>
      <c r="N136" s="178"/>
    </row>
    <row r="137" spans="1:16" ht="17.25" customHeight="1" thickBot="1">
      <c r="A137" s="2830"/>
      <c r="B137" s="2188"/>
      <c r="C137" s="106" t="s">
        <v>13</v>
      </c>
      <c r="D137" s="132">
        <f>SUM(D131:D136)</f>
        <v>0</v>
      </c>
      <c r="E137" s="132">
        <f t="shared" ref="E137:F137" si="12">SUM(E131:E136)</f>
        <v>3</v>
      </c>
      <c r="F137" s="132">
        <f t="shared" si="12"/>
        <v>0</v>
      </c>
      <c r="G137" s="192">
        <f>SUM(G131:G136)</f>
        <v>3</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818">
        <v>0</v>
      </c>
      <c r="B144" s="2819"/>
      <c r="C144" s="99">
        <v>2014</v>
      </c>
      <c r="D144" s="33"/>
      <c r="E144" s="33"/>
      <c r="F144" s="34"/>
      <c r="G144" s="168"/>
      <c r="H144" s="168"/>
      <c r="I144" s="210">
        <f>D144+F144+G144+H144</f>
        <v>0</v>
      </c>
      <c r="J144" s="211"/>
      <c r="K144" s="212"/>
      <c r="L144" s="211"/>
      <c r="M144" s="212"/>
      <c r="N144" s="213"/>
      <c r="O144" s="158"/>
      <c r="P144" s="158"/>
    </row>
    <row r="145" spans="1:16" ht="19.5" customHeight="1">
      <c r="A145" s="2818"/>
      <c r="B145" s="281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818"/>
      <c r="B146" s="2819"/>
      <c r="C146" s="103">
        <v>2016</v>
      </c>
      <c r="D146" s="40"/>
      <c r="E146" s="40"/>
      <c r="F146" s="41"/>
      <c r="G146" s="171"/>
      <c r="H146" s="171"/>
      <c r="I146" s="210">
        <f t="shared" si="13"/>
        <v>0</v>
      </c>
      <c r="J146" s="214"/>
      <c r="K146" s="215"/>
      <c r="L146" s="214"/>
      <c r="M146" s="215"/>
      <c r="N146" s="216"/>
      <c r="O146" s="158"/>
      <c r="P146" s="158"/>
    </row>
    <row r="147" spans="1:16" ht="17.25" customHeight="1">
      <c r="A147" s="2818"/>
      <c r="B147" s="2819"/>
      <c r="C147" s="103">
        <v>2017</v>
      </c>
      <c r="D147" s="40"/>
      <c r="E147" s="40"/>
      <c r="F147" s="41"/>
      <c r="G147" s="171"/>
      <c r="H147" s="171"/>
      <c r="I147" s="210">
        <f t="shared" si="13"/>
        <v>0</v>
      </c>
      <c r="J147" s="214"/>
      <c r="K147" s="215"/>
      <c r="L147" s="214"/>
      <c r="M147" s="215"/>
      <c r="N147" s="216"/>
      <c r="O147" s="158"/>
      <c r="P147" s="158"/>
    </row>
    <row r="148" spans="1:16" ht="19.5" customHeight="1">
      <c r="A148" s="2818"/>
      <c r="B148" s="2819"/>
      <c r="C148" s="103">
        <v>2018</v>
      </c>
      <c r="D148" s="40"/>
      <c r="E148" s="40"/>
      <c r="F148" s="41"/>
      <c r="G148" s="171"/>
      <c r="H148" s="171"/>
      <c r="I148" s="210">
        <f t="shared" si="13"/>
        <v>0</v>
      </c>
      <c r="J148" s="214"/>
      <c r="K148" s="215"/>
      <c r="L148" s="214"/>
      <c r="M148" s="215"/>
      <c r="N148" s="216"/>
      <c r="O148" s="158"/>
      <c r="P148" s="158"/>
    </row>
    <row r="149" spans="1:16" ht="19.5" customHeight="1">
      <c r="A149" s="2818"/>
      <c r="B149" s="2819"/>
      <c r="C149" s="103">
        <v>2019</v>
      </c>
      <c r="D149" s="40"/>
      <c r="E149" s="40"/>
      <c r="F149" s="41"/>
      <c r="G149" s="171"/>
      <c r="H149" s="171"/>
      <c r="I149" s="210">
        <f t="shared" si="13"/>
        <v>0</v>
      </c>
      <c r="J149" s="214"/>
      <c r="K149" s="215"/>
      <c r="L149" s="214"/>
      <c r="M149" s="215"/>
      <c r="N149" s="216"/>
      <c r="O149" s="158"/>
      <c r="P149" s="158"/>
    </row>
    <row r="150" spans="1:16" ht="18.75" customHeight="1">
      <c r="A150" s="2818"/>
      <c r="B150" s="2819"/>
      <c r="C150" s="103">
        <v>2020</v>
      </c>
      <c r="D150" s="40"/>
      <c r="E150" s="40"/>
      <c r="F150" s="41"/>
      <c r="G150" s="171"/>
      <c r="H150" s="171"/>
      <c r="I150" s="210">
        <f t="shared" si="13"/>
        <v>0</v>
      </c>
      <c r="J150" s="214"/>
      <c r="K150" s="215"/>
      <c r="L150" s="214"/>
      <c r="M150" s="215"/>
      <c r="N150" s="216"/>
      <c r="O150" s="158"/>
      <c r="P150" s="158"/>
    </row>
    <row r="151" spans="1:16" ht="18" customHeight="1" thickBot="1">
      <c r="A151" s="2820"/>
      <c r="B151" s="2821"/>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664"/>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818">
        <v>0</v>
      </c>
      <c r="B155" s="2819"/>
      <c r="C155" s="230">
        <v>2014</v>
      </c>
      <c r="D155" s="211"/>
      <c r="E155" s="168"/>
      <c r="F155" s="212"/>
      <c r="G155" s="210">
        <f>SUM(D155:F155)</f>
        <v>0</v>
      </c>
      <c r="H155" s="211"/>
      <c r="I155" s="168"/>
      <c r="J155" s="169"/>
      <c r="O155" s="158"/>
      <c r="P155" s="158"/>
    </row>
    <row r="156" spans="1:16" ht="19.5" customHeight="1">
      <c r="A156" s="2818"/>
      <c r="B156" s="2819"/>
      <c r="C156" s="231">
        <v>2015</v>
      </c>
      <c r="D156" s="214"/>
      <c r="E156" s="171"/>
      <c r="F156" s="215"/>
      <c r="G156" s="210">
        <f t="shared" ref="G156:G161" si="15">SUM(D156:F156)</f>
        <v>0</v>
      </c>
      <c r="H156" s="214"/>
      <c r="I156" s="171"/>
      <c r="J156" s="172"/>
      <c r="O156" s="158"/>
      <c r="P156" s="158"/>
    </row>
    <row r="157" spans="1:16" ht="17.25" customHeight="1">
      <c r="A157" s="2818"/>
      <c r="B157" s="2819"/>
      <c r="C157" s="231">
        <v>2016</v>
      </c>
      <c r="D157" s="214"/>
      <c r="E157" s="171"/>
      <c r="F157" s="215"/>
      <c r="G157" s="210">
        <f t="shared" si="15"/>
        <v>0</v>
      </c>
      <c r="H157" s="214"/>
      <c r="I157" s="171"/>
      <c r="J157" s="172"/>
      <c r="O157" s="158"/>
      <c r="P157" s="158"/>
    </row>
    <row r="158" spans="1:16" ht="15" customHeight="1">
      <c r="A158" s="2818"/>
      <c r="B158" s="2819"/>
      <c r="C158" s="231">
        <v>2017</v>
      </c>
      <c r="D158" s="214"/>
      <c r="E158" s="171"/>
      <c r="F158" s="215"/>
      <c r="G158" s="210">
        <f t="shared" si="15"/>
        <v>0</v>
      </c>
      <c r="H158" s="214"/>
      <c r="I158" s="171"/>
      <c r="J158" s="172"/>
      <c r="O158" s="158"/>
      <c r="P158" s="158"/>
    </row>
    <row r="159" spans="1:16" ht="19.5" customHeight="1">
      <c r="A159" s="2818"/>
      <c r="B159" s="2819"/>
      <c r="C159" s="231">
        <v>2018</v>
      </c>
      <c r="D159" s="214"/>
      <c r="E159" s="171"/>
      <c r="F159" s="215"/>
      <c r="G159" s="210">
        <f t="shared" si="15"/>
        <v>0</v>
      </c>
      <c r="H159" s="214"/>
      <c r="I159" s="171"/>
      <c r="J159" s="172"/>
      <c r="O159" s="158"/>
      <c r="P159" s="158"/>
    </row>
    <row r="160" spans="1:16" ht="15" customHeight="1">
      <c r="A160" s="2818"/>
      <c r="B160" s="2819"/>
      <c r="C160" s="231">
        <v>2019</v>
      </c>
      <c r="D160" s="214"/>
      <c r="E160" s="171"/>
      <c r="F160" s="215"/>
      <c r="G160" s="210">
        <f t="shared" si="15"/>
        <v>0</v>
      </c>
      <c r="H160" s="214"/>
      <c r="I160" s="171"/>
      <c r="J160" s="172"/>
      <c r="O160" s="158"/>
      <c r="P160" s="158"/>
    </row>
    <row r="161" spans="1:18" ht="17.25" customHeight="1">
      <c r="A161" s="2818"/>
      <c r="B161" s="2819"/>
      <c r="C161" s="231">
        <v>2020</v>
      </c>
      <c r="D161" s="214"/>
      <c r="E161" s="171"/>
      <c r="F161" s="215"/>
      <c r="G161" s="210">
        <f t="shared" si="15"/>
        <v>0</v>
      </c>
      <c r="H161" s="214"/>
      <c r="I161" s="171"/>
      <c r="J161" s="172"/>
      <c r="O161" s="158"/>
      <c r="P161" s="158"/>
    </row>
    <row r="162" spans="1:18" ht="15.75" thickBot="1">
      <c r="A162" s="2820"/>
      <c r="B162" s="2821"/>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247"/>
    </row>
    <row r="165" spans="1:18" ht="15.75" customHeight="1">
      <c r="A165" s="2822">
        <v>0</v>
      </c>
      <c r="B165" s="2823"/>
      <c r="C165" s="248">
        <v>2014</v>
      </c>
      <c r="D165" s="168"/>
      <c r="E165" s="168"/>
      <c r="F165" s="168"/>
      <c r="G165" s="168"/>
      <c r="H165" s="168"/>
      <c r="I165" s="169"/>
      <c r="J165" s="249">
        <f>SUM(D165,F165,H165)</f>
        <v>0</v>
      </c>
      <c r="K165" s="250">
        <f>SUM(E165,G165,I165)</f>
        <v>0</v>
      </c>
      <c r="L165" s="247"/>
    </row>
    <row r="166" spans="1:18">
      <c r="A166" s="2824"/>
      <c r="B166" s="2825"/>
      <c r="C166" s="251">
        <v>2015</v>
      </c>
      <c r="D166" s="252"/>
      <c r="E166" s="252"/>
      <c r="F166" s="252"/>
      <c r="G166" s="252"/>
      <c r="H166" s="252"/>
      <c r="I166" s="253"/>
      <c r="J166" s="254">
        <f t="shared" ref="J166:K171" si="17">SUM(D166,F166,H166)</f>
        <v>0</v>
      </c>
      <c r="K166" s="255">
        <f t="shared" si="17"/>
        <v>0</v>
      </c>
      <c r="L166" s="247"/>
    </row>
    <row r="167" spans="1:18">
      <c r="A167" s="2824"/>
      <c r="B167" s="2825"/>
      <c r="C167" s="251">
        <v>2016</v>
      </c>
      <c r="D167" s="252"/>
      <c r="E167" s="252"/>
      <c r="F167" s="252"/>
      <c r="G167" s="252"/>
      <c r="H167" s="252"/>
      <c r="I167" s="253"/>
      <c r="J167" s="254">
        <f t="shared" si="17"/>
        <v>0</v>
      </c>
      <c r="K167" s="255">
        <f t="shared" si="17"/>
        <v>0</v>
      </c>
    </row>
    <row r="168" spans="1:18">
      <c r="A168" s="2824"/>
      <c r="B168" s="2825"/>
      <c r="C168" s="251">
        <v>2017</v>
      </c>
      <c r="D168" s="252"/>
      <c r="E168" s="158"/>
      <c r="F168" s="252"/>
      <c r="G168" s="252"/>
      <c r="H168" s="252"/>
      <c r="I168" s="253"/>
      <c r="J168" s="254">
        <f t="shared" si="17"/>
        <v>0</v>
      </c>
      <c r="K168" s="255">
        <f t="shared" si="17"/>
        <v>0</v>
      </c>
    </row>
    <row r="169" spans="1:18">
      <c r="A169" s="2824"/>
      <c r="B169" s="2825"/>
      <c r="C169" s="256">
        <v>2018</v>
      </c>
      <c r="D169" s="252"/>
      <c r="E169" s="252"/>
      <c r="F169" s="252"/>
      <c r="G169" s="257"/>
      <c r="H169" s="252"/>
      <c r="I169" s="253"/>
      <c r="J169" s="254">
        <f t="shared" si="17"/>
        <v>0</v>
      </c>
      <c r="K169" s="255">
        <f t="shared" si="17"/>
        <v>0</v>
      </c>
      <c r="L169" s="247"/>
    </row>
    <row r="170" spans="1:18">
      <c r="A170" s="2824"/>
      <c r="B170" s="2825"/>
      <c r="C170" s="251">
        <v>2019</v>
      </c>
      <c r="D170" s="158"/>
      <c r="E170" s="252"/>
      <c r="F170" s="252"/>
      <c r="G170" s="252"/>
      <c r="H170" s="257"/>
      <c r="I170" s="253"/>
      <c r="J170" s="254">
        <f t="shared" si="17"/>
        <v>0</v>
      </c>
      <c r="K170" s="255">
        <f t="shared" si="17"/>
        <v>0</v>
      </c>
      <c r="L170" s="247"/>
    </row>
    <row r="171" spans="1:18">
      <c r="A171" s="2824"/>
      <c r="B171" s="2825"/>
      <c r="C171" s="256">
        <v>2020</v>
      </c>
      <c r="D171" s="252"/>
      <c r="E171" s="252"/>
      <c r="F171" s="252"/>
      <c r="G171" s="252"/>
      <c r="H171" s="252"/>
      <c r="I171" s="253"/>
      <c r="J171" s="254">
        <f t="shared" si="17"/>
        <v>0</v>
      </c>
      <c r="K171" s="255">
        <f t="shared" si="17"/>
        <v>0</v>
      </c>
      <c r="L171" s="247"/>
    </row>
    <row r="172" spans="1:18" ht="41.25" customHeight="1" thickBot="1">
      <c r="A172" s="2826"/>
      <c r="B172" s="2827"/>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247"/>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807">
        <v>17</v>
      </c>
      <c r="B178" s="2815" t="s">
        <v>279</v>
      </c>
      <c r="C178" s="99">
        <v>2014</v>
      </c>
      <c r="D178" s="33"/>
      <c r="E178" s="34"/>
      <c r="F178" s="34"/>
      <c r="G178" s="278">
        <f>SUM(D178:F178)</f>
        <v>0</v>
      </c>
      <c r="H178" s="148"/>
      <c r="I178" s="148"/>
      <c r="J178" s="34"/>
      <c r="K178" s="34"/>
      <c r="L178" s="34"/>
      <c r="M178" s="34"/>
      <c r="N178" s="34"/>
      <c r="O178" s="37"/>
    </row>
    <row r="179" spans="1:15">
      <c r="A179" s="2813"/>
      <c r="B179" s="2816"/>
      <c r="C179" s="103">
        <v>2015</v>
      </c>
      <c r="D179" s="40"/>
      <c r="E179" s="41"/>
      <c r="F179" s="41"/>
      <c r="G179" s="278">
        <f t="shared" ref="G179:G184" si="19">SUM(D179:F179)</f>
        <v>0</v>
      </c>
      <c r="H179" s="279"/>
      <c r="I179" s="105"/>
      <c r="J179" s="41"/>
      <c r="K179" s="41"/>
      <c r="L179" s="41"/>
      <c r="M179" s="41"/>
      <c r="N179" s="41"/>
      <c r="O179" s="86"/>
    </row>
    <row r="180" spans="1:15">
      <c r="A180" s="2813"/>
      <c r="B180" s="2816"/>
      <c r="C180" s="103">
        <v>2016</v>
      </c>
      <c r="D180" s="40">
        <v>12</v>
      </c>
      <c r="E180" s="41">
        <v>2</v>
      </c>
      <c r="F180" s="41">
        <v>2</v>
      </c>
      <c r="G180" s="278">
        <f t="shared" si="19"/>
        <v>16</v>
      </c>
      <c r="H180" s="279">
        <v>7</v>
      </c>
      <c r="I180" s="105">
        <v>16</v>
      </c>
      <c r="J180" s="41"/>
      <c r="K180" s="41"/>
      <c r="L180" s="41"/>
      <c r="M180" s="41"/>
      <c r="N180" s="41"/>
      <c r="O180" s="86"/>
    </row>
    <row r="181" spans="1:15">
      <c r="A181" s="2813"/>
      <c r="B181" s="2816"/>
      <c r="C181" s="103">
        <v>2017</v>
      </c>
      <c r="D181" s="40"/>
      <c r="E181" s="41">
        <v>1</v>
      </c>
      <c r="F181" s="41"/>
      <c r="G181" s="278">
        <f t="shared" si="19"/>
        <v>1</v>
      </c>
      <c r="H181" s="279">
        <v>2</v>
      </c>
      <c r="I181" s="105">
        <v>1</v>
      </c>
      <c r="J181" s="41"/>
      <c r="K181" s="41"/>
      <c r="L181" s="41"/>
      <c r="M181" s="41"/>
      <c r="N181" s="41"/>
      <c r="O181" s="86"/>
    </row>
    <row r="182" spans="1:15">
      <c r="A182" s="2813"/>
      <c r="B182" s="2816"/>
      <c r="C182" s="103">
        <v>2018</v>
      </c>
      <c r="D182" s="40"/>
      <c r="E182" s="41"/>
      <c r="F182" s="41"/>
      <c r="G182" s="278">
        <f t="shared" si="19"/>
        <v>0</v>
      </c>
      <c r="H182" s="279"/>
      <c r="I182" s="105"/>
      <c r="J182" s="41"/>
      <c r="K182" s="41"/>
      <c r="L182" s="41"/>
      <c r="M182" s="41"/>
      <c r="N182" s="41"/>
      <c r="O182" s="86"/>
    </row>
    <row r="183" spans="1:15">
      <c r="A183" s="2813"/>
      <c r="B183" s="2816"/>
      <c r="C183" s="103">
        <v>2019</v>
      </c>
      <c r="D183" s="40"/>
      <c r="E183" s="41"/>
      <c r="F183" s="41"/>
      <c r="G183" s="278">
        <f t="shared" si="19"/>
        <v>0</v>
      </c>
      <c r="H183" s="279"/>
      <c r="I183" s="105"/>
      <c r="J183" s="41"/>
      <c r="K183" s="41"/>
      <c r="L183" s="41"/>
      <c r="M183" s="41"/>
      <c r="N183" s="41"/>
      <c r="O183" s="86"/>
    </row>
    <row r="184" spans="1:15">
      <c r="A184" s="2813"/>
      <c r="B184" s="2816"/>
      <c r="C184" s="103">
        <v>2020</v>
      </c>
      <c r="D184" s="40"/>
      <c r="E184" s="41"/>
      <c r="F184" s="41"/>
      <c r="G184" s="278">
        <f t="shared" si="19"/>
        <v>0</v>
      </c>
      <c r="H184" s="279"/>
      <c r="I184" s="105"/>
      <c r="J184" s="41"/>
      <c r="K184" s="41"/>
      <c r="L184" s="41"/>
      <c r="M184" s="41"/>
      <c r="N184" s="41"/>
      <c r="O184" s="86"/>
    </row>
    <row r="185" spans="1:15" ht="45" customHeight="1" thickBot="1">
      <c r="A185" s="2814"/>
      <c r="B185" s="2817"/>
      <c r="C185" s="106" t="s">
        <v>13</v>
      </c>
      <c r="D185" s="132">
        <f>SUM(D178:D184)</f>
        <v>12</v>
      </c>
      <c r="E185" s="109">
        <f>SUM(E178:E184)</f>
        <v>3</v>
      </c>
      <c r="F185" s="109">
        <f>SUM(F178:F184)</f>
        <v>2</v>
      </c>
      <c r="G185" s="217">
        <f t="shared" ref="G185:O185" si="20">SUM(G178:G184)</f>
        <v>17</v>
      </c>
      <c r="H185" s="280">
        <f t="shared" si="20"/>
        <v>9</v>
      </c>
      <c r="I185" s="108">
        <f t="shared" si="20"/>
        <v>17</v>
      </c>
      <c r="J185" s="109">
        <f t="shared" si="20"/>
        <v>0</v>
      </c>
      <c r="K185" s="109">
        <f t="shared" si="20"/>
        <v>0</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806">
        <v>205</v>
      </c>
      <c r="B189" s="2127" t="s">
        <v>280</v>
      </c>
      <c r="C189" s="285">
        <v>2014</v>
      </c>
      <c r="D189" s="126"/>
      <c r="E189" s="102"/>
      <c r="F189" s="102"/>
      <c r="G189" s="286">
        <f>SUM(D189:F189)</f>
        <v>0</v>
      </c>
      <c r="H189" s="101"/>
      <c r="I189" s="102"/>
      <c r="J189" s="102"/>
      <c r="K189" s="102"/>
      <c r="L189" s="127"/>
    </row>
    <row r="190" spans="1:15">
      <c r="A190" s="2807"/>
      <c r="B190" s="2068"/>
      <c r="C190" s="74">
        <v>2015</v>
      </c>
      <c r="D190" s="40"/>
      <c r="E190" s="41"/>
      <c r="F190" s="41"/>
      <c r="G190" s="286">
        <f t="shared" ref="G190:G195" si="21">SUM(D190:F190)</f>
        <v>0</v>
      </c>
      <c r="H190" s="105"/>
      <c r="I190" s="41"/>
      <c r="J190" s="41"/>
      <c r="K190" s="41"/>
      <c r="L190" s="86"/>
    </row>
    <row r="191" spans="1:15">
      <c r="A191" s="2807"/>
      <c r="B191" s="2068"/>
      <c r="C191" s="74">
        <v>2016</v>
      </c>
      <c r="D191" s="40">
        <v>140</v>
      </c>
      <c r="E191" s="41">
        <v>40</v>
      </c>
      <c r="F191" s="41"/>
      <c r="G191" s="286">
        <f t="shared" si="21"/>
        <v>180</v>
      </c>
      <c r="H191" s="105"/>
      <c r="I191" s="41"/>
      <c r="J191" s="41">
        <v>55</v>
      </c>
      <c r="K191" s="41">
        <v>5</v>
      </c>
      <c r="L191" s="86">
        <v>120</v>
      </c>
    </row>
    <row r="192" spans="1:15">
      <c r="A192" s="2807"/>
      <c r="B192" s="2068"/>
      <c r="C192" s="74">
        <v>2017</v>
      </c>
      <c r="D192" s="40">
        <v>25</v>
      </c>
      <c r="E192" s="41"/>
      <c r="F192" s="41"/>
      <c r="G192" s="286">
        <f t="shared" si="21"/>
        <v>25</v>
      </c>
      <c r="H192" s="105"/>
      <c r="I192" s="41"/>
      <c r="J192" s="41">
        <v>5</v>
      </c>
      <c r="K192" s="41"/>
      <c r="L192" s="86">
        <v>20</v>
      </c>
    </row>
    <row r="193" spans="1:14">
      <c r="A193" s="2807"/>
      <c r="B193" s="2068"/>
      <c r="C193" s="74">
        <v>2018</v>
      </c>
      <c r="D193" s="40"/>
      <c r="E193" s="41"/>
      <c r="F193" s="41"/>
      <c r="G193" s="286">
        <f t="shared" si="21"/>
        <v>0</v>
      </c>
      <c r="H193" s="105"/>
      <c r="I193" s="41"/>
      <c r="J193" s="41"/>
      <c r="K193" s="41"/>
      <c r="L193" s="86"/>
    </row>
    <row r="194" spans="1:14">
      <c r="A194" s="2807"/>
      <c r="B194" s="2068"/>
      <c r="C194" s="74">
        <v>2019</v>
      </c>
      <c r="D194" s="40"/>
      <c r="E194" s="41"/>
      <c r="F194" s="41"/>
      <c r="G194" s="286">
        <f t="shared" si="21"/>
        <v>0</v>
      </c>
      <c r="H194" s="105"/>
      <c r="I194" s="41"/>
      <c r="J194" s="41"/>
      <c r="K194" s="41"/>
      <c r="L194" s="86"/>
    </row>
    <row r="195" spans="1:14">
      <c r="A195" s="2807"/>
      <c r="B195" s="2068"/>
      <c r="C195" s="74">
        <v>2020</v>
      </c>
      <c r="D195" s="40"/>
      <c r="E195" s="41"/>
      <c r="F195" s="41"/>
      <c r="G195" s="286">
        <f t="shared" si="21"/>
        <v>0</v>
      </c>
      <c r="H195" s="105"/>
      <c r="I195" s="41"/>
      <c r="J195" s="41"/>
      <c r="K195" s="41"/>
      <c r="L195" s="86"/>
    </row>
    <row r="196" spans="1:14" ht="15.75" thickBot="1">
      <c r="A196" s="2808"/>
      <c r="B196" s="2071"/>
      <c r="C196" s="129" t="s">
        <v>13</v>
      </c>
      <c r="D196" s="132">
        <f t="shared" ref="D196:L196" si="22">SUM(D189:D195)</f>
        <v>165</v>
      </c>
      <c r="E196" s="109">
        <f t="shared" si="22"/>
        <v>40</v>
      </c>
      <c r="F196" s="109">
        <f t="shared" si="22"/>
        <v>0</v>
      </c>
      <c r="G196" s="290">
        <f t="shared" si="22"/>
        <v>205</v>
      </c>
      <c r="H196" s="108">
        <f t="shared" si="22"/>
        <v>0</v>
      </c>
      <c r="I196" s="109">
        <f t="shared" si="22"/>
        <v>0</v>
      </c>
      <c r="J196" s="109">
        <f t="shared" si="22"/>
        <v>60</v>
      </c>
      <c r="K196" s="109">
        <f t="shared" si="22"/>
        <v>5</v>
      </c>
      <c r="L196" s="110">
        <f t="shared" si="22"/>
        <v>140</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809">
        <v>0</v>
      </c>
      <c r="B202" s="2810"/>
      <c r="C202" s="73">
        <v>2014</v>
      </c>
      <c r="D202" s="33"/>
      <c r="E202" s="34"/>
      <c r="F202" s="34"/>
      <c r="G202" s="32"/>
      <c r="H202" s="303"/>
      <c r="I202" s="304"/>
      <c r="J202" s="305"/>
      <c r="K202" s="34"/>
      <c r="L202" s="37"/>
    </row>
    <row r="203" spans="1:14">
      <c r="A203" s="2809"/>
      <c r="B203" s="2810"/>
      <c r="C203" s="74">
        <v>2015</v>
      </c>
      <c r="D203" s="40"/>
      <c r="E203" s="41"/>
      <c r="F203" s="41"/>
      <c r="G203" s="39"/>
      <c r="H203" s="306"/>
      <c r="I203" s="307"/>
      <c r="J203" s="308"/>
      <c r="K203" s="41"/>
      <c r="L203" s="86"/>
    </row>
    <row r="204" spans="1:14">
      <c r="A204" s="2809"/>
      <c r="B204" s="2810"/>
      <c r="C204" s="74">
        <v>2016</v>
      </c>
      <c r="D204" s="40"/>
      <c r="E204" s="41"/>
      <c r="F204" s="41"/>
      <c r="G204" s="39"/>
      <c r="H204" s="306"/>
      <c r="I204" s="307"/>
      <c r="J204" s="308"/>
      <c r="K204" s="41"/>
      <c r="L204" s="86"/>
    </row>
    <row r="205" spans="1:14">
      <c r="A205" s="2809"/>
      <c r="B205" s="2810"/>
      <c r="C205" s="74">
        <v>2017</v>
      </c>
      <c r="D205" s="40"/>
      <c r="E205" s="41"/>
      <c r="F205" s="41"/>
      <c r="G205" s="39"/>
      <c r="H205" s="306"/>
      <c r="I205" s="307"/>
      <c r="J205" s="308"/>
      <c r="K205" s="41"/>
      <c r="L205" s="86"/>
    </row>
    <row r="206" spans="1:14">
      <c r="A206" s="2809"/>
      <c r="B206" s="2810"/>
      <c r="C206" s="74">
        <v>2018</v>
      </c>
      <c r="D206" s="40"/>
      <c r="E206" s="41"/>
      <c r="F206" s="41"/>
      <c r="G206" s="39"/>
      <c r="H206" s="306"/>
      <c r="I206" s="307"/>
      <c r="J206" s="308"/>
      <c r="K206" s="41"/>
      <c r="L206" s="86"/>
    </row>
    <row r="207" spans="1:14">
      <c r="A207" s="2809"/>
      <c r="B207" s="2810"/>
      <c r="C207" s="74">
        <v>2019</v>
      </c>
      <c r="D207" s="40"/>
      <c r="E207" s="41"/>
      <c r="F207" s="41"/>
      <c r="G207" s="39"/>
      <c r="H207" s="306"/>
      <c r="I207" s="307"/>
      <c r="J207" s="308"/>
      <c r="K207" s="41"/>
      <c r="L207" s="86"/>
    </row>
    <row r="208" spans="1:14">
      <c r="A208" s="2809"/>
      <c r="B208" s="2810"/>
      <c r="C208" s="74">
        <v>2020</v>
      </c>
      <c r="D208" s="309"/>
      <c r="E208" s="310"/>
      <c r="F208" s="310"/>
      <c r="G208" s="311"/>
      <c r="H208" s="312"/>
      <c r="I208" s="313"/>
      <c r="J208" s="314"/>
      <c r="K208" s="310"/>
      <c r="L208" s="315"/>
    </row>
    <row r="209" spans="1:12" ht="20.25" customHeight="1" thickBot="1">
      <c r="A209" s="2811"/>
      <c r="B209" s="2812"/>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281</v>
      </c>
      <c r="C213" s="73"/>
      <c r="D213" s="128"/>
      <c r="E213" s="128">
        <v>267516.40999999997</v>
      </c>
      <c r="F213" s="128">
        <v>6843.81</v>
      </c>
      <c r="G213" s="128"/>
      <c r="H213" s="128"/>
      <c r="I213" s="327"/>
    </row>
    <row r="214" spans="1:12">
      <c r="A214" t="s">
        <v>153</v>
      </c>
      <c r="B214" s="2171"/>
      <c r="C214" s="73"/>
      <c r="D214" s="128"/>
      <c r="E214" s="128">
        <v>182485.99</v>
      </c>
      <c r="F214" s="128">
        <v>761.9</v>
      </c>
      <c r="G214" s="128"/>
      <c r="H214" s="128"/>
      <c r="I214" s="327"/>
    </row>
    <row r="215" spans="1:12">
      <c r="A215" t="s">
        <v>155</v>
      </c>
      <c r="B215" s="2171"/>
      <c r="C215" s="73"/>
      <c r="D215" s="128"/>
      <c r="E215" s="128">
        <v>0</v>
      </c>
      <c r="F215" s="128"/>
      <c r="G215" s="128"/>
      <c r="H215" s="128"/>
      <c r="I215" s="327"/>
    </row>
    <row r="216" spans="1:12">
      <c r="A216" t="s">
        <v>157</v>
      </c>
      <c r="B216" s="2171"/>
      <c r="C216" s="73"/>
      <c r="D216" s="128"/>
      <c r="E216" s="128">
        <v>0</v>
      </c>
      <c r="F216" s="128"/>
      <c r="G216" s="128"/>
      <c r="H216" s="128"/>
      <c r="I216" s="327"/>
    </row>
    <row r="217" spans="1:12">
      <c r="A217" t="s">
        <v>158</v>
      </c>
      <c r="B217" s="2171"/>
      <c r="C217" s="73"/>
      <c r="D217" s="128"/>
      <c r="E217" s="128">
        <v>85030.42</v>
      </c>
      <c r="F217" s="128">
        <v>6081.91</v>
      </c>
      <c r="G217" s="128"/>
      <c r="H217" s="128"/>
      <c r="I217" s="327"/>
    </row>
    <row r="218" spans="1:12" ht="30">
      <c r="A218" s="31" t="s">
        <v>159</v>
      </c>
      <c r="B218" s="2171"/>
      <c r="C218" s="73"/>
      <c r="D218" s="128"/>
      <c r="E218" s="128">
        <v>106741.33</v>
      </c>
      <c r="F218" s="128">
        <v>42623.57</v>
      </c>
      <c r="G218" s="128"/>
      <c r="H218" s="128"/>
      <c r="I218" s="327"/>
    </row>
    <row r="219" spans="1:12" ht="80.25" customHeight="1" thickBot="1">
      <c r="A219" s="349"/>
      <c r="B219" s="2172"/>
      <c r="C219" s="45" t="s">
        <v>13</v>
      </c>
      <c r="D219" s="333">
        <f>SUM(D214:D218)</f>
        <v>0</v>
      </c>
      <c r="E219" s="333">
        <f t="shared" ref="E219:I219" si="24">SUM(E214:E218)</f>
        <v>374257.74</v>
      </c>
      <c r="F219" s="333">
        <f t="shared" si="24"/>
        <v>49467.38</v>
      </c>
      <c r="G219" s="333">
        <f t="shared" si="24"/>
        <v>0</v>
      </c>
      <c r="H219" s="333">
        <f t="shared" si="24"/>
        <v>0</v>
      </c>
      <c r="I219" s="333">
        <f t="shared" si="24"/>
        <v>0</v>
      </c>
    </row>
    <row r="227" spans="1:1">
      <c r="A227" s="31"/>
    </row>
  </sheetData>
  <mergeCells count="65">
    <mergeCell ref="D26:G26"/>
    <mergeCell ref="B1:J1"/>
    <mergeCell ref="F3:O3"/>
    <mergeCell ref="A4:O10"/>
    <mergeCell ref="D15:G15"/>
    <mergeCell ref="A17:B24"/>
    <mergeCell ref="A28:A35"/>
    <mergeCell ref="B28:B35"/>
    <mergeCell ref="A40:A47"/>
    <mergeCell ref="B40:B47"/>
    <mergeCell ref="A50:A58"/>
    <mergeCell ref="B50:B58"/>
    <mergeCell ref="C60:C61"/>
    <mergeCell ref="D60:D61"/>
    <mergeCell ref="A62:A69"/>
    <mergeCell ref="B62:B69"/>
    <mergeCell ref="C107:C108"/>
    <mergeCell ref="D107:D108"/>
    <mergeCell ref="A85:A92"/>
    <mergeCell ref="B85:B92"/>
    <mergeCell ref="A96:A97"/>
    <mergeCell ref="B96:B97"/>
    <mergeCell ref="C96:C97"/>
    <mergeCell ref="D96:E96"/>
    <mergeCell ref="A72:B79"/>
    <mergeCell ref="A60:A61"/>
    <mergeCell ref="A98:A105"/>
    <mergeCell ref="B98:B105"/>
    <mergeCell ref="A107:A108"/>
    <mergeCell ref="B107:B108"/>
    <mergeCell ref="A109:B116"/>
    <mergeCell ref="C118:C119"/>
    <mergeCell ref="D118:D119"/>
    <mergeCell ref="A118:A119"/>
    <mergeCell ref="B118:B119"/>
    <mergeCell ref="A129:A130"/>
    <mergeCell ref="B129:B130"/>
    <mergeCell ref="A131:A137"/>
    <mergeCell ref="B131:B137"/>
    <mergeCell ref="A120:B127"/>
    <mergeCell ref="A142:A143"/>
    <mergeCell ref="B142:B143"/>
    <mergeCell ref="I176:O176"/>
    <mergeCell ref="C142:C143"/>
    <mergeCell ref="J142:N142"/>
    <mergeCell ref="A144:B151"/>
    <mergeCell ref="A153:A154"/>
    <mergeCell ref="B153:B154"/>
    <mergeCell ref="C153:C154"/>
    <mergeCell ref="A155:B162"/>
    <mergeCell ref="A165:B172"/>
    <mergeCell ref="A176:A177"/>
    <mergeCell ref="B176:B177"/>
    <mergeCell ref="C176:C177"/>
    <mergeCell ref="A178:A185"/>
    <mergeCell ref="B178:B185"/>
    <mergeCell ref="A187:A188"/>
    <mergeCell ref="B187:B188"/>
    <mergeCell ref="C187:C188"/>
    <mergeCell ref="H187:L187"/>
    <mergeCell ref="A189:A196"/>
    <mergeCell ref="B189:B196"/>
    <mergeCell ref="A202:B209"/>
    <mergeCell ref="B213:B219"/>
    <mergeCell ref="D187:G18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Y240"/>
  <sheetViews>
    <sheetView topLeftCell="A187" zoomScale="50" zoomScaleNormal="50" workbookViewId="0">
      <selection activeCell="O180" sqref="O180"/>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16" width="17.42578125" customWidth="1"/>
    <col min="17" max="17" width="16.7109375" customWidth="1"/>
    <col min="18" max="25" width="13.7109375" customWidth="1"/>
  </cols>
  <sheetData>
    <row r="1" spans="1:25" s="2" customFormat="1" ht="31.5">
      <c r="A1" s="1" t="s">
        <v>0</v>
      </c>
      <c r="B1" s="2863" t="s">
        <v>282</v>
      </c>
      <c r="C1" s="2864"/>
      <c r="D1" s="2864"/>
      <c r="E1" s="2864"/>
      <c r="F1" s="2864"/>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1"/>
      <c r="P15" s="485"/>
      <c r="Q15" s="486"/>
      <c r="R15" s="487"/>
      <c r="S15" s="487"/>
      <c r="T15" s="487"/>
      <c r="U15" s="487"/>
      <c r="V15" s="487"/>
      <c r="W15" s="488"/>
      <c r="X15" s="488"/>
      <c r="Y15" s="17"/>
    </row>
    <row r="16" spans="1:25" s="31"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2" t="s">
        <v>21</v>
      </c>
      <c r="P16" s="2858"/>
      <c r="Q16" s="2859"/>
      <c r="R16" s="2859"/>
      <c r="S16" s="2859"/>
      <c r="T16" s="2859"/>
      <c r="U16" s="2859"/>
      <c r="V16" s="2859"/>
      <c r="W16" s="2859"/>
      <c r="X16" s="2859"/>
      <c r="Y16" s="30"/>
    </row>
    <row r="17" spans="1:25" ht="15" customHeight="1">
      <c r="A17" s="2025"/>
      <c r="B17" s="2068"/>
      <c r="C17" s="32">
        <v>2014</v>
      </c>
      <c r="D17" s="33"/>
      <c r="E17" s="34"/>
      <c r="F17" s="34"/>
      <c r="G17" s="35">
        <f t="shared" ref="G17:G23" si="0">SUM(D17:F17)</f>
        <v>0</v>
      </c>
      <c r="H17" s="36"/>
      <c r="I17" s="34"/>
      <c r="J17" s="34"/>
      <c r="K17" s="34"/>
      <c r="L17" s="34"/>
      <c r="M17" s="34"/>
      <c r="N17" s="34"/>
      <c r="O17" s="32"/>
      <c r="P17" s="489"/>
      <c r="Q17" s="490"/>
      <c r="R17" s="490"/>
      <c r="S17" s="490"/>
      <c r="T17" s="490"/>
      <c r="U17" s="491"/>
      <c r="V17" s="492"/>
      <c r="W17" s="492"/>
      <c r="X17" s="492"/>
      <c r="Y17" s="38"/>
    </row>
    <row r="18" spans="1:25">
      <c r="A18" s="2069"/>
      <c r="B18" s="2068"/>
      <c r="C18" s="39">
        <v>2015</v>
      </c>
      <c r="D18" s="40"/>
      <c r="E18" s="41"/>
      <c r="F18" s="41"/>
      <c r="G18" s="35"/>
      <c r="H18" s="42"/>
      <c r="I18" s="41"/>
      <c r="J18" s="41"/>
      <c r="K18" s="41"/>
      <c r="L18" s="41"/>
      <c r="M18" s="41"/>
      <c r="N18" s="41"/>
      <c r="O18" s="493"/>
      <c r="P18" s="489"/>
      <c r="Q18" s="490"/>
      <c r="R18" s="490"/>
      <c r="S18" s="490"/>
      <c r="T18" s="490"/>
      <c r="U18" s="494"/>
      <c r="V18" s="494"/>
      <c r="W18" s="494"/>
      <c r="X18" s="494"/>
      <c r="Y18" s="38"/>
    </row>
    <row r="19" spans="1:25">
      <c r="A19" s="2069"/>
      <c r="B19" s="2068"/>
      <c r="C19" s="39">
        <v>2016</v>
      </c>
      <c r="D19" s="40">
        <v>5</v>
      </c>
      <c r="E19" s="41"/>
      <c r="F19" s="41"/>
      <c r="G19" s="35">
        <f t="shared" si="0"/>
        <v>5</v>
      </c>
      <c r="H19" s="42">
        <v>5</v>
      </c>
      <c r="I19" s="41"/>
      <c r="J19" s="41"/>
      <c r="K19" s="41"/>
      <c r="L19" s="41"/>
      <c r="M19" s="41"/>
      <c r="N19" s="41"/>
      <c r="O19" s="493"/>
      <c r="P19" s="489"/>
      <c r="Q19" s="490"/>
      <c r="R19" s="490"/>
      <c r="S19" s="490"/>
      <c r="T19" s="490"/>
      <c r="U19" s="494"/>
      <c r="V19" s="494"/>
      <c r="W19" s="494"/>
      <c r="X19" s="494"/>
      <c r="Y19" s="38"/>
    </row>
    <row r="20" spans="1:25">
      <c r="A20" s="2069"/>
      <c r="B20" s="2068"/>
      <c r="C20" s="39">
        <v>2017</v>
      </c>
      <c r="D20" s="40">
        <v>3</v>
      </c>
      <c r="E20" s="41"/>
      <c r="F20" s="41"/>
      <c r="G20" s="35">
        <f t="shared" si="0"/>
        <v>3</v>
      </c>
      <c r="H20" s="42">
        <v>3</v>
      </c>
      <c r="I20" s="41"/>
      <c r="J20" s="41"/>
      <c r="K20" s="41"/>
      <c r="L20" s="41"/>
      <c r="M20" s="41"/>
      <c r="N20" s="41"/>
      <c r="O20" s="493"/>
      <c r="P20" s="489"/>
      <c r="Q20" s="490"/>
      <c r="R20" s="490"/>
      <c r="S20" s="490"/>
      <c r="T20" s="490"/>
      <c r="U20" s="494"/>
      <c r="V20" s="494"/>
      <c r="W20" s="494"/>
      <c r="X20" s="494"/>
      <c r="Y20" s="38"/>
    </row>
    <row r="21" spans="1:25">
      <c r="A21" s="2069"/>
      <c r="B21" s="2068"/>
      <c r="C21" s="39">
        <v>2018</v>
      </c>
      <c r="D21" s="40"/>
      <c r="E21" s="41"/>
      <c r="F21" s="41"/>
      <c r="G21" s="35">
        <f t="shared" si="0"/>
        <v>0</v>
      </c>
      <c r="H21" s="42"/>
      <c r="I21" s="41"/>
      <c r="J21" s="41"/>
      <c r="K21" s="41"/>
      <c r="L21" s="41"/>
      <c r="M21" s="41"/>
      <c r="N21" s="41"/>
      <c r="O21" s="493"/>
      <c r="P21" s="489"/>
      <c r="Q21" s="490"/>
      <c r="R21" s="490"/>
      <c r="S21" s="490"/>
      <c r="T21" s="490"/>
      <c r="U21" s="494"/>
      <c r="V21" s="494"/>
      <c r="W21" s="494"/>
      <c r="X21" s="494"/>
      <c r="Y21" s="38"/>
    </row>
    <row r="22" spans="1:25">
      <c r="A22" s="2069"/>
      <c r="B22" s="2068"/>
      <c r="C22" s="44">
        <v>2019</v>
      </c>
      <c r="D22" s="40"/>
      <c r="E22" s="41"/>
      <c r="F22" s="41"/>
      <c r="G22" s="35">
        <f>SUM(D22:F22)</f>
        <v>0</v>
      </c>
      <c r="H22" s="42"/>
      <c r="I22" s="41"/>
      <c r="J22" s="41"/>
      <c r="K22" s="41"/>
      <c r="L22" s="41"/>
      <c r="M22" s="41"/>
      <c r="N22" s="41"/>
      <c r="O22" s="493"/>
      <c r="P22" s="489"/>
      <c r="Q22" s="490"/>
      <c r="R22" s="490"/>
      <c r="S22" s="490"/>
      <c r="T22" s="490"/>
      <c r="U22" s="494"/>
      <c r="V22" s="494"/>
      <c r="W22" s="494"/>
      <c r="X22" s="494"/>
      <c r="Y22" s="38"/>
    </row>
    <row r="23" spans="1:25">
      <c r="A23" s="2069"/>
      <c r="B23" s="2068"/>
      <c r="C23" s="39">
        <v>2020</v>
      </c>
      <c r="D23" s="40"/>
      <c r="E23" s="41"/>
      <c r="F23" s="41"/>
      <c r="G23" s="35">
        <f t="shared" si="0"/>
        <v>0</v>
      </c>
      <c r="H23" s="42"/>
      <c r="I23" s="41"/>
      <c r="J23" s="41"/>
      <c r="K23" s="41"/>
      <c r="L23" s="41"/>
      <c r="M23" s="41"/>
      <c r="N23" s="41"/>
      <c r="O23" s="493"/>
      <c r="P23" s="489"/>
      <c r="Q23" s="490"/>
      <c r="R23" s="490"/>
      <c r="S23" s="490"/>
      <c r="T23" s="490"/>
      <c r="U23" s="495"/>
      <c r="V23" s="495"/>
      <c r="W23" s="495"/>
      <c r="X23" s="495"/>
      <c r="Y23" s="38"/>
    </row>
    <row r="24" spans="1:25" ht="19.5" customHeight="1" thickBot="1">
      <c r="A24" s="2070"/>
      <c r="B24" s="2071"/>
      <c r="C24" s="45" t="s">
        <v>13</v>
      </c>
      <c r="D24" s="46">
        <f>SUM(D17:D23)</f>
        <v>8</v>
      </c>
      <c r="E24" s="47">
        <f>SUM(E17:E23)</f>
        <v>0</v>
      </c>
      <c r="F24" s="47">
        <f>SUM(F17:F23)</f>
        <v>0</v>
      </c>
      <c r="G24" s="48">
        <f>SUM(D24:F24)</f>
        <v>8</v>
      </c>
      <c r="H24" s="49">
        <f>SUM(H17:H23)</f>
        <v>8</v>
      </c>
      <c r="I24" s="50">
        <f>SUM(I17:I23)</f>
        <v>0</v>
      </c>
      <c r="J24" s="50">
        <f t="shared" ref="J24:N24" si="1">SUM(J17:J23)</f>
        <v>0</v>
      </c>
      <c r="K24" s="50">
        <f t="shared" si="1"/>
        <v>0</v>
      </c>
      <c r="L24" s="50">
        <f t="shared" si="1"/>
        <v>0</v>
      </c>
      <c r="M24" s="50">
        <f t="shared" si="1"/>
        <v>0</v>
      </c>
      <c r="N24" s="50">
        <f t="shared" si="1"/>
        <v>0</v>
      </c>
      <c r="O24" s="76">
        <f>SUM(O17:O23)</f>
        <v>0</v>
      </c>
      <c r="P24" s="489"/>
      <c r="Q24" s="490"/>
      <c r="R24" s="490"/>
      <c r="S24" s="490"/>
      <c r="T24" s="490"/>
      <c r="U24" s="495"/>
      <c r="V24" s="495"/>
      <c r="W24" s="495"/>
      <c r="X24" s="495"/>
      <c r="Y24" s="38"/>
    </row>
    <row r="25" spans="1:25" ht="15.75" thickBot="1">
      <c r="C25" s="52"/>
      <c r="H25" s="8"/>
      <c r="I25" s="8"/>
      <c r="J25" s="8"/>
      <c r="K25" s="8"/>
      <c r="L25" s="8"/>
      <c r="M25" s="8"/>
      <c r="N25" s="8"/>
      <c r="O25" s="8"/>
      <c r="P25" s="492"/>
      <c r="Q25" s="492"/>
      <c r="R25" s="2860"/>
      <c r="S25" s="2860"/>
      <c r="T25" s="2860"/>
      <c r="U25" s="2860"/>
      <c r="V25" s="2860"/>
      <c r="W25" s="2860"/>
      <c r="X25" s="2860"/>
    </row>
    <row r="26" spans="1:25" s="19" customFormat="1" ht="30.75" customHeight="1">
      <c r="A26" s="356"/>
      <c r="B26" s="357"/>
      <c r="C26" s="53"/>
      <c r="D26" s="2011" t="s">
        <v>5</v>
      </c>
      <c r="E26" s="2012"/>
      <c r="F26" s="2012"/>
      <c r="G26" s="2861"/>
      <c r="H26" s="16"/>
      <c r="I26" s="17"/>
      <c r="J26" s="18"/>
      <c r="K26" s="18"/>
      <c r="L26" s="18"/>
      <c r="M26" s="18"/>
      <c r="N26" s="18"/>
      <c r="O26" s="16"/>
      <c r="P26" s="496"/>
      <c r="Q26" s="497"/>
      <c r="R26" s="2862"/>
      <c r="S26" s="2862"/>
      <c r="T26" s="2862"/>
      <c r="U26" s="2862"/>
      <c r="V26" s="2862"/>
      <c r="W26" s="2862"/>
      <c r="X26" s="2862"/>
    </row>
    <row r="27" spans="1:25" s="31" customFormat="1" ht="93" customHeight="1">
      <c r="A27" s="498" t="s">
        <v>23</v>
      </c>
      <c r="B27" s="21" t="s">
        <v>8</v>
      </c>
      <c r="C27" s="55" t="s">
        <v>9</v>
      </c>
      <c r="D27" s="56" t="s">
        <v>10</v>
      </c>
      <c r="E27" s="24" t="s">
        <v>11</v>
      </c>
      <c r="F27" s="24" t="s">
        <v>12</v>
      </c>
      <c r="G27" s="499" t="s">
        <v>13</v>
      </c>
      <c r="H27" s="500"/>
      <c r="I27" s="501"/>
      <c r="J27" s="501"/>
      <c r="K27" s="501"/>
      <c r="L27" s="501"/>
      <c r="M27" s="501"/>
      <c r="N27" s="501"/>
      <c r="O27" s="502"/>
      <c r="P27" s="503"/>
      <c r="Q27" s="504"/>
      <c r="R27" s="504"/>
      <c r="S27" s="504"/>
      <c r="T27" s="504"/>
      <c r="U27" s="504"/>
      <c r="V27" s="504"/>
      <c r="W27" s="504"/>
      <c r="X27" s="504"/>
    </row>
    <row r="28" spans="1:25" ht="15" customHeight="1">
      <c r="A28" s="2025" t="s">
        <v>283</v>
      </c>
      <c r="B28" s="2068"/>
      <c r="C28" s="58">
        <v>2014</v>
      </c>
      <c r="D28" s="36"/>
      <c r="E28" s="34"/>
      <c r="F28" s="34"/>
      <c r="G28" s="505">
        <f>SUM(D28:F28)</f>
        <v>0</v>
      </c>
      <c r="H28" s="506"/>
      <c r="I28" s="507"/>
      <c r="J28" s="507"/>
      <c r="K28" s="507"/>
      <c r="L28" s="507"/>
      <c r="M28" s="507"/>
      <c r="N28" s="507"/>
      <c r="O28" s="508"/>
      <c r="P28" s="38"/>
      <c r="Q28" s="8"/>
    </row>
    <row r="29" spans="1:25">
      <c r="A29" s="2069"/>
      <c r="B29" s="2068"/>
      <c r="C29" s="60">
        <v>2015</v>
      </c>
      <c r="D29" s="42"/>
      <c r="E29" s="41"/>
      <c r="F29" s="41"/>
      <c r="G29" s="505"/>
      <c r="H29" s="506"/>
      <c r="I29" s="507"/>
      <c r="J29" s="507"/>
      <c r="K29" s="507"/>
      <c r="L29" s="507"/>
      <c r="M29" s="507"/>
      <c r="N29" s="507"/>
      <c r="O29" s="508"/>
      <c r="P29" s="38"/>
      <c r="Q29" s="8"/>
    </row>
    <row r="30" spans="1:25">
      <c r="A30" s="2069"/>
      <c r="B30" s="2068"/>
      <c r="C30" s="60">
        <v>2016</v>
      </c>
      <c r="D30" s="42">
        <v>257</v>
      </c>
      <c r="E30" s="41"/>
      <c r="F30" s="41"/>
      <c r="G30" s="505">
        <v>257</v>
      </c>
      <c r="H30" s="506"/>
      <c r="I30" s="507"/>
      <c r="J30" s="507"/>
      <c r="K30" s="507"/>
      <c r="L30" s="507"/>
      <c r="M30" s="507"/>
      <c r="N30" s="507"/>
      <c r="O30" s="508"/>
      <c r="P30" s="38"/>
      <c r="Q30" s="8"/>
    </row>
    <row r="31" spans="1:25">
      <c r="A31" s="2069"/>
      <c r="B31" s="2068"/>
      <c r="C31" s="60">
        <v>2017</v>
      </c>
      <c r="D31" s="42">
        <v>173</v>
      </c>
      <c r="E31" s="41"/>
      <c r="F31" s="41"/>
      <c r="G31" s="505">
        <f t="shared" ref="G31:G34" si="2">SUM(D31:F31)</f>
        <v>173</v>
      </c>
      <c r="H31" s="506"/>
      <c r="I31" s="507"/>
      <c r="J31" s="507"/>
      <c r="K31" s="507"/>
      <c r="L31" s="507"/>
      <c r="M31" s="507"/>
      <c r="N31" s="507"/>
      <c r="O31" s="508"/>
      <c r="P31" s="38"/>
      <c r="Q31" s="8"/>
    </row>
    <row r="32" spans="1:25">
      <c r="A32" s="2069"/>
      <c r="B32" s="2068"/>
      <c r="C32" s="60">
        <v>2018</v>
      </c>
      <c r="D32" s="42"/>
      <c r="E32" s="41"/>
      <c r="F32" s="41"/>
      <c r="G32" s="505">
        <f>SUM(D32:F32)</f>
        <v>0</v>
      </c>
      <c r="H32" s="506"/>
      <c r="I32" s="507"/>
      <c r="J32" s="507"/>
      <c r="K32" s="507"/>
      <c r="L32" s="507"/>
      <c r="M32" s="507"/>
      <c r="N32" s="507"/>
      <c r="O32" s="508"/>
      <c r="P32" s="38"/>
      <c r="Q32" s="8"/>
    </row>
    <row r="33" spans="1:21">
      <c r="A33" s="2069"/>
      <c r="B33" s="2068"/>
      <c r="C33" s="61">
        <v>2019</v>
      </c>
      <c r="D33" s="42"/>
      <c r="E33" s="41"/>
      <c r="F33" s="41"/>
      <c r="G33" s="505">
        <f t="shared" si="2"/>
        <v>0</v>
      </c>
      <c r="H33" s="506"/>
      <c r="I33" s="507"/>
      <c r="J33" s="507"/>
      <c r="K33" s="507"/>
      <c r="L33" s="507"/>
      <c r="M33" s="507"/>
      <c r="N33" s="507"/>
      <c r="O33" s="508"/>
      <c r="P33" s="38"/>
    </row>
    <row r="34" spans="1:21">
      <c r="A34" s="2069"/>
      <c r="B34" s="2068"/>
      <c r="C34" s="60">
        <v>2020</v>
      </c>
      <c r="D34" s="42"/>
      <c r="E34" s="41"/>
      <c r="F34" s="41"/>
      <c r="G34" s="505">
        <f t="shared" si="2"/>
        <v>0</v>
      </c>
      <c r="H34" s="506"/>
      <c r="I34" s="507"/>
      <c r="J34" s="507"/>
      <c r="K34" s="507"/>
      <c r="L34" s="507"/>
      <c r="M34" s="507"/>
      <c r="N34" s="507"/>
      <c r="O34" s="508"/>
      <c r="P34" s="38"/>
      <c r="Q34" s="8"/>
    </row>
    <row r="35" spans="1:21" ht="20.25" customHeight="1" thickBot="1">
      <c r="A35" s="2070"/>
      <c r="B35" s="2071"/>
      <c r="C35" s="62" t="s">
        <v>13</v>
      </c>
      <c r="D35" s="49">
        <f>SUM(D28:D34)</f>
        <v>430</v>
      </c>
      <c r="E35" s="47">
        <f>SUM(E28:E34)</f>
        <v>0</v>
      </c>
      <c r="F35" s="47">
        <f>SUM(F28:F34)</f>
        <v>0</v>
      </c>
      <c r="G35" s="76">
        <f>SUM(G30:G34)</f>
        <v>430</v>
      </c>
      <c r="H35" s="506"/>
      <c r="I35" s="507"/>
      <c r="J35" s="507"/>
      <c r="K35" s="507"/>
      <c r="L35" s="507"/>
      <c r="M35" s="507"/>
      <c r="N35" s="507"/>
      <c r="O35" s="508"/>
      <c r="P35" s="38"/>
      <c r="Q35" s="8"/>
      <c r="U35" s="8"/>
    </row>
    <row r="36" spans="1:21">
      <c r="A36" s="63"/>
      <c r="B36" s="63"/>
      <c r="C36" s="52"/>
      <c r="H36" s="509"/>
      <c r="I36" s="510"/>
      <c r="J36" s="510"/>
      <c r="K36" s="510"/>
      <c r="L36" s="510"/>
      <c r="M36" s="510"/>
      <c r="N36" s="510"/>
      <c r="O36" s="511"/>
      <c r="P36" s="8"/>
      <c r="Q36" s="8"/>
    </row>
    <row r="37" spans="1:21" ht="21" customHeight="1">
      <c r="A37" s="64" t="s">
        <v>25</v>
      </c>
      <c r="B37" s="64"/>
      <c r="C37" s="65"/>
      <c r="D37" s="65"/>
      <c r="E37" s="65"/>
      <c r="F37" s="38"/>
      <c r="G37" s="38"/>
      <c r="H37" s="38"/>
      <c r="I37" s="66"/>
      <c r="J37" s="66"/>
      <c r="K37" s="66"/>
    </row>
    <row r="38" spans="1:21" ht="12.75" customHeight="1" thickBot="1">
      <c r="G38" s="38"/>
      <c r="H38" s="38"/>
    </row>
    <row r="39" spans="1:21" ht="88.5" customHeight="1">
      <c r="A39" s="358" t="s">
        <v>26</v>
      </c>
      <c r="B39" s="359" t="s">
        <v>8</v>
      </c>
      <c r="C39" s="69" t="s">
        <v>9</v>
      </c>
      <c r="D39" s="70" t="s">
        <v>27</v>
      </c>
      <c r="E39" s="71" t="s">
        <v>28</v>
      </c>
      <c r="F39" s="72"/>
      <c r="G39" s="30"/>
      <c r="H39" s="30"/>
    </row>
    <row r="40" spans="1:21">
      <c r="A40" s="2025" t="s">
        <v>284</v>
      </c>
      <c r="B40" s="2068"/>
      <c r="C40" s="73">
        <v>2014</v>
      </c>
      <c r="D40" s="33"/>
      <c r="E40" s="32"/>
      <c r="F40" s="8"/>
      <c r="G40" s="38"/>
      <c r="H40" s="38"/>
    </row>
    <row r="41" spans="1:21">
      <c r="A41" s="2069"/>
      <c r="B41" s="2068"/>
      <c r="C41" s="74">
        <v>2015</v>
      </c>
      <c r="D41" s="40"/>
      <c r="E41" s="39"/>
      <c r="F41" s="8"/>
      <c r="G41" s="38"/>
      <c r="H41" s="38"/>
    </row>
    <row r="42" spans="1:21">
      <c r="A42" s="2069"/>
      <c r="B42" s="2068"/>
      <c r="C42" s="74">
        <v>2016</v>
      </c>
      <c r="D42" s="40"/>
      <c r="E42" s="39"/>
      <c r="F42" s="8"/>
      <c r="G42" s="38"/>
      <c r="H42" s="38"/>
    </row>
    <row r="43" spans="1:21">
      <c r="A43" s="2069"/>
      <c r="B43" s="2068"/>
      <c r="C43" s="74">
        <v>2017</v>
      </c>
      <c r="D43" s="40">
        <v>1420</v>
      </c>
      <c r="E43" s="39">
        <v>1167</v>
      </c>
      <c r="F43" s="8"/>
      <c r="G43" s="38"/>
      <c r="H43" s="38"/>
    </row>
    <row r="44" spans="1:21">
      <c r="A44" s="2069"/>
      <c r="B44" s="2068"/>
      <c r="C44" s="74">
        <v>2018</v>
      </c>
      <c r="D44" s="40"/>
      <c r="E44" s="39"/>
      <c r="F44" s="8"/>
      <c r="G44" s="38"/>
      <c r="H44" s="38"/>
    </row>
    <row r="45" spans="1:21">
      <c r="A45" s="2069"/>
      <c r="B45" s="2068"/>
      <c r="C45" s="74">
        <v>2019</v>
      </c>
      <c r="D45" s="40"/>
      <c r="E45" s="39"/>
      <c r="F45" s="8"/>
      <c r="G45" s="38"/>
      <c r="H45" s="38"/>
    </row>
    <row r="46" spans="1:21">
      <c r="A46" s="2069"/>
      <c r="B46" s="2068"/>
      <c r="C46" s="74">
        <v>2020</v>
      </c>
      <c r="D46" s="40"/>
      <c r="E46" s="39"/>
      <c r="F46" s="8"/>
      <c r="G46" s="38"/>
      <c r="H46" s="38"/>
    </row>
    <row r="47" spans="1:21" ht="15.75" thickBot="1">
      <c r="A47" s="2070"/>
      <c r="B47" s="2071"/>
      <c r="C47" s="45" t="s">
        <v>13</v>
      </c>
      <c r="D47" s="46">
        <f>SUM(D40:D46)</f>
        <v>1420</v>
      </c>
      <c r="E47" s="76">
        <f>SUM(E40:E46)</f>
        <v>1167</v>
      </c>
      <c r="F47" s="77"/>
      <c r="G47" s="38"/>
      <c r="H47" s="38"/>
    </row>
    <row r="48" spans="1:21" s="38" customFormat="1" ht="15.75" thickBot="1">
      <c r="A48" s="78"/>
      <c r="B48" s="79"/>
      <c r="C48" s="80"/>
    </row>
    <row r="49" spans="1:25" ht="83.25" customHeight="1">
      <c r="A49" s="81" t="s">
        <v>30</v>
      </c>
      <c r="B49" s="359" t="s">
        <v>8</v>
      </c>
      <c r="C49" s="82" t="s">
        <v>9</v>
      </c>
      <c r="D49" s="70" t="s">
        <v>31</v>
      </c>
      <c r="E49" s="83" t="s">
        <v>32</v>
      </c>
      <c r="F49" s="83" t="s">
        <v>33</v>
      </c>
      <c r="G49" s="83" t="s">
        <v>34</v>
      </c>
      <c r="H49" s="83" t="s">
        <v>35</v>
      </c>
      <c r="I49" s="83" t="s">
        <v>36</v>
      </c>
      <c r="J49" s="83" t="s">
        <v>37</v>
      </c>
      <c r="K49" s="84" t="s">
        <v>38</v>
      </c>
    </row>
    <row r="50" spans="1:25" ht="17.25" customHeight="1">
      <c r="A50" s="2023"/>
      <c r="B50" s="2024"/>
      <c r="C50" s="85" t="s">
        <v>40</v>
      </c>
      <c r="D50" s="33"/>
      <c r="E50" s="34"/>
      <c r="F50" s="34"/>
      <c r="G50" s="34"/>
      <c r="H50" s="34"/>
      <c r="I50" s="34"/>
      <c r="J50" s="34"/>
      <c r="K50" s="37"/>
    </row>
    <row r="51" spans="1:25" ht="15" customHeight="1">
      <c r="A51" s="2025"/>
      <c r="B51" s="2026"/>
      <c r="C51" s="74">
        <v>2014</v>
      </c>
      <c r="D51" s="40"/>
      <c r="E51" s="41"/>
      <c r="F51" s="41"/>
      <c r="G51" s="41"/>
      <c r="H51" s="41"/>
      <c r="I51" s="41"/>
      <c r="J51" s="41"/>
      <c r="K51" s="86"/>
    </row>
    <row r="52" spans="1:25">
      <c r="A52" s="2025"/>
      <c r="B52" s="2026"/>
      <c r="C52" s="74">
        <v>2015</v>
      </c>
      <c r="D52" s="40"/>
      <c r="E52" s="41"/>
      <c r="F52" s="41"/>
      <c r="G52" s="41"/>
      <c r="H52" s="41"/>
      <c r="I52" s="41"/>
      <c r="J52" s="41"/>
      <c r="K52" s="86"/>
    </row>
    <row r="53" spans="1:25">
      <c r="A53" s="2025"/>
      <c r="B53" s="2026"/>
      <c r="C53" s="74">
        <v>2016</v>
      </c>
      <c r="D53" s="40"/>
      <c r="E53" s="41"/>
      <c r="F53" s="41"/>
      <c r="G53" s="41"/>
      <c r="H53" s="41"/>
      <c r="I53" s="41"/>
      <c r="J53" s="41"/>
      <c r="K53" s="86"/>
    </row>
    <row r="54" spans="1:25">
      <c r="A54" s="2025"/>
      <c r="B54" s="2026"/>
      <c r="C54" s="74">
        <v>2017</v>
      </c>
      <c r="D54" s="40"/>
      <c r="E54" s="41"/>
      <c r="F54" s="41"/>
      <c r="G54" s="41"/>
      <c r="H54" s="41"/>
      <c r="I54" s="41"/>
      <c r="J54" s="41"/>
      <c r="K54" s="86"/>
    </row>
    <row r="55" spans="1:25">
      <c r="A55" s="2025"/>
      <c r="B55" s="2026"/>
      <c r="C55" s="74">
        <v>2018</v>
      </c>
      <c r="D55" s="40"/>
      <c r="E55" s="41"/>
      <c r="F55" s="41"/>
      <c r="G55" s="41"/>
      <c r="H55" s="41"/>
      <c r="I55" s="41"/>
      <c r="J55" s="41"/>
      <c r="K55" s="86"/>
    </row>
    <row r="56" spans="1:25">
      <c r="A56" s="2025"/>
      <c r="B56" s="2026"/>
      <c r="C56" s="74">
        <v>2019</v>
      </c>
      <c r="D56" s="40"/>
      <c r="E56" s="41"/>
      <c r="F56" s="41"/>
      <c r="G56" s="41"/>
      <c r="H56" s="41"/>
      <c r="I56" s="41"/>
      <c r="J56" s="41"/>
      <c r="K56" s="86"/>
    </row>
    <row r="57" spans="1:25">
      <c r="A57" s="2025"/>
      <c r="B57" s="2026"/>
      <c r="C57" s="74">
        <v>2020</v>
      </c>
      <c r="D57" s="40"/>
      <c r="E57" s="41"/>
      <c r="F57" s="41"/>
      <c r="G57" s="41"/>
      <c r="H57" s="41"/>
      <c r="I57" s="41"/>
      <c r="J57" s="41"/>
      <c r="K57" s="87"/>
    </row>
    <row r="58" spans="1:2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25" ht="15.75" thickBot="1"/>
    <row r="60" spans="1:25" ht="21" customHeight="1">
      <c r="A60" s="2029" t="s">
        <v>41</v>
      </c>
      <c r="B60" s="360"/>
      <c r="C60" s="2031" t="s">
        <v>9</v>
      </c>
      <c r="D60" s="1993" t="s">
        <v>42</v>
      </c>
      <c r="E60" s="89" t="s">
        <v>6</v>
      </c>
      <c r="F60" s="90"/>
      <c r="G60" s="90"/>
      <c r="H60" s="90"/>
      <c r="I60" s="90"/>
      <c r="J60" s="90"/>
      <c r="K60" s="90"/>
      <c r="L60" s="91"/>
      <c r="M60" s="512"/>
      <c r="N60" s="513"/>
      <c r="O60" s="513"/>
      <c r="P60" s="513"/>
      <c r="Q60" s="513"/>
      <c r="R60" s="513"/>
      <c r="S60" s="513"/>
      <c r="T60" s="513"/>
      <c r="U60" s="513"/>
      <c r="V60" s="513"/>
      <c r="W60" s="513"/>
      <c r="X60" s="513"/>
      <c r="Y60" s="514"/>
    </row>
    <row r="61" spans="1:25" ht="115.5" customHeight="1">
      <c r="A61" s="2030"/>
      <c r="B61" s="92" t="s">
        <v>8</v>
      </c>
      <c r="C61" s="2032"/>
      <c r="D61" s="1994"/>
      <c r="E61" s="93" t="s">
        <v>14</v>
      </c>
      <c r="F61" s="94" t="s">
        <v>15</v>
      </c>
      <c r="G61" s="94" t="s">
        <v>16</v>
      </c>
      <c r="H61" s="95" t="s">
        <v>17</v>
      </c>
      <c r="I61" s="95" t="s">
        <v>18</v>
      </c>
      <c r="J61" s="96" t="s">
        <v>19</v>
      </c>
      <c r="K61" s="94" t="s">
        <v>20</v>
      </c>
      <c r="L61" s="515" t="s">
        <v>21</v>
      </c>
      <c r="M61" s="2856"/>
      <c r="N61" s="2857"/>
      <c r="O61" s="2857"/>
      <c r="P61" s="2857"/>
      <c r="Q61" s="2857"/>
      <c r="R61" s="2857"/>
      <c r="S61" s="2857"/>
      <c r="T61" s="2857"/>
      <c r="U61" s="492"/>
      <c r="V61" s="492"/>
      <c r="W61" s="492"/>
      <c r="X61" s="492"/>
      <c r="Y61" s="516"/>
    </row>
    <row r="62" spans="1:25">
      <c r="A62" s="2047"/>
      <c r="B62" s="2039"/>
      <c r="C62" s="99">
        <v>2014</v>
      </c>
      <c r="D62" s="100"/>
      <c r="E62" s="101"/>
      <c r="F62" s="102"/>
      <c r="G62" s="102"/>
      <c r="H62" s="102"/>
      <c r="I62" s="102"/>
      <c r="J62" s="102"/>
      <c r="K62" s="102"/>
      <c r="L62" s="58"/>
      <c r="M62" s="2854"/>
      <c r="N62" s="2855"/>
      <c r="O62" s="2855"/>
      <c r="P62" s="2855"/>
      <c r="Q62" s="2855"/>
      <c r="R62" s="2855"/>
      <c r="S62" s="2855"/>
      <c r="T62" s="2855"/>
      <c r="U62" s="2855"/>
      <c r="V62" s="2855"/>
      <c r="W62" s="2855"/>
      <c r="X62" s="2855"/>
      <c r="Y62" s="516"/>
    </row>
    <row r="63" spans="1:25">
      <c r="A63" s="2048"/>
      <c r="B63" s="2039"/>
      <c r="C63" s="103">
        <v>2015</v>
      </c>
      <c r="D63" s="104"/>
      <c r="E63" s="105"/>
      <c r="F63" s="41"/>
      <c r="G63" s="41"/>
      <c r="H63" s="41"/>
      <c r="I63" s="41"/>
      <c r="J63" s="41"/>
      <c r="K63" s="41"/>
      <c r="L63" s="60"/>
      <c r="M63" s="2854"/>
      <c r="N63" s="2855"/>
      <c r="O63" s="2855"/>
      <c r="P63" s="2855"/>
      <c r="Q63" s="2855"/>
      <c r="R63" s="2855"/>
      <c r="S63" s="2855"/>
      <c r="T63" s="2855"/>
      <c r="U63" s="2855"/>
      <c r="V63" s="2855"/>
      <c r="W63" s="2855"/>
      <c r="X63" s="2855"/>
      <c r="Y63" s="516"/>
    </row>
    <row r="64" spans="1:25">
      <c r="A64" s="2048"/>
      <c r="B64" s="2039"/>
      <c r="C64" s="103">
        <v>2016</v>
      </c>
      <c r="D64" s="104">
        <v>6</v>
      </c>
      <c r="E64" s="105">
        <v>6</v>
      </c>
      <c r="F64" s="41"/>
      <c r="G64" s="41"/>
      <c r="H64" s="41"/>
      <c r="I64" s="41"/>
      <c r="J64" s="41"/>
      <c r="K64" s="41"/>
      <c r="L64" s="60"/>
      <c r="M64" s="2854"/>
      <c r="N64" s="2855"/>
      <c r="O64" s="2855"/>
      <c r="P64" s="2855"/>
      <c r="Q64" s="2855"/>
      <c r="R64" s="2855"/>
      <c r="S64" s="2855"/>
      <c r="T64" s="2855"/>
      <c r="U64" s="2855"/>
      <c r="V64" s="2855"/>
      <c r="W64" s="2855"/>
      <c r="X64" s="2855"/>
      <c r="Y64" s="516"/>
    </row>
    <row r="65" spans="1:25">
      <c r="A65" s="2048"/>
      <c r="B65" s="2039"/>
      <c r="C65" s="103">
        <v>2017</v>
      </c>
      <c r="D65" s="104">
        <v>1</v>
      </c>
      <c r="E65" s="105">
        <v>1</v>
      </c>
      <c r="F65" s="41"/>
      <c r="G65" s="41"/>
      <c r="H65" s="41"/>
      <c r="I65" s="41"/>
      <c r="J65" s="41"/>
      <c r="K65" s="41"/>
      <c r="L65" s="60"/>
      <c r="M65" s="2854"/>
      <c r="N65" s="2855"/>
      <c r="O65" s="2855"/>
      <c r="P65" s="2855"/>
      <c r="Q65" s="2855"/>
      <c r="R65" s="2855"/>
      <c r="S65" s="2855"/>
      <c r="T65" s="2855"/>
      <c r="U65" s="2855"/>
      <c r="V65" s="2855"/>
      <c r="W65" s="2855"/>
      <c r="X65" s="492"/>
      <c r="Y65" s="516"/>
    </row>
    <row r="66" spans="1:25">
      <c r="A66" s="2048"/>
      <c r="B66" s="2039"/>
      <c r="C66" s="103">
        <v>2018</v>
      </c>
      <c r="D66" s="104"/>
      <c r="E66" s="105"/>
      <c r="F66" s="41"/>
      <c r="G66" s="41"/>
      <c r="H66" s="41"/>
      <c r="I66" s="41"/>
      <c r="J66" s="41"/>
      <c r="K66" s="41"/>
      <c r="L66" s="60"/>
      <c r="M66" s="2854"/>
      <c r="N66" s="2855"/>
      <c r="O66" s="2855"/>
      <c r="P66" s="2855"/>
      <c r="Q66" s="2855"/>
      <c r="R66" s="2855"/>
      <c r="S66" s="2855"/>
      <c r="T66" s="2855"/>
      <c r="U66" s="2855"/>
      <c r="V66" s="492"/>
      <c r="W66" s="492"/>
      <c r="X66" s="492"/>
      <c r="Y66" s="516"/>
    </row>
    <row r="67" spans="1:25" ht="17.25" customHeight="1">
      <c r="A67" s="2048"/>
      <c r="B67" s="2039"/>
      <c r="C67" s="103">
        <v>2019</v>
      </c>
      <c r="D67" s="104"/>
      <c r="E67" s="105"/>
      <c r="F67" s="41"/>
      <c r="G67" s="41"/>
      <c r="H67" s="41"/>
      <c r="I67" s="41"/>
      <c r="J67" s="41"/>
      <c r="K67" s="41"/>
      <c r="L67" s="60"/>
      <c r="M67" s="2854"/>
      <c r="N67" s="2855"/>
      <c r="O67" s="2855"/>
      <c r="P67" s="2855"/>
      <c r="Q67" s="2855"/>
      <c r="R67" s="2855"/>
      <c r="S67" s="2855"/>
      <c r="T67" s="2855"/>
      <c r="U67" s="2855"/>
      <c r="V67" s="492"/>
      <c r="W67" s="492"/>
      <c r="X67" s="492"/>
      <c r="Y67" s="516"/>
    </row>
    <row r="68" spans="1:25" ht="16.5" customHeight="1">
      <c r="A68" s="2048"/>
      <c r="B68" s="2039"/>
      <c r="C68" s="103">
        <v>2020</v>
      </c>
      <c r="D68" s="104"/>
      <c r="E68" s="105"/>
      <c r="F68" s="41"/>
      <c r="G68" s="41"/>
      <c r="H68" s="41"/>
      <c r="I68" s="41"/>
      <c r="J68" s="41"/>
      <c r="K68" s="41"/>
      <c r="L68" s="60"/>
      <c r="M68" s="517"/>
      <c r="N68" s="492"/>
      <c r="O68" s="492"/>
      <c r="P68" s="492"/>
      <c r="Q68" s="492"/>
      <c r="R68" s="492"/>
      <c r="S68" s="492"/>
      <c r="T68" s="492"/>
      <c r="U68" s="492"/>
      <c r="V68" s="492"/>
      <c r="W68" s="492"/>
      <c r="X68" s="492"/>
      <c r="Y68" s="516"/>
    </row>
    <row r="69" spans="1:25" ht="18" customHeight="1" thickBot="1">
      <c r="A69" s="2122"/>
      <c r="B69" s="2042"/>
      <c r="C69" s="106" t="s">
        <v>13</v>
      </c>
      <c r="D69" s="107">
        <f>SUM(D62:D68)</f>
        <v>7</v>
      </c>
      <c r="E69" s="108">
        <f>SUM(E62:E68)</f>
        <v>7</v>
      </c>
      <c r="F69" s="109">
        <f t="shared" ref="F69:I69" si="4">SUM(F62:F68)</f>
        <v>0</v>
      </c>
      <c r="G69" s="109">
        <f t="shared" si="4"/>
        <v>0</v>
      </c>
      <c r="H69" s="109">
        <f t="shared" si="4"/>
        <v>0</v>
      </c>
      <c r="I69" s="109">
        <f t="shared" si="4"/>
        <v>0</v>
      </c>
      <c r="J69" s="109"/>
      <c r="K69" s="109">
        <f>SUM(K62:K68)</f>
        <v>0</v>
      </c>
      <c r="L69" s="518">
        <f>SUM(L62:L68)</f>
        <v>0</v>
      </c>
      <c r="M69" s="517"/>
      <c r="N69" s="492"/>
      <c r="O69" s="492"/>
      <c r="P69" s="492"/>
      <c r="Q69" s="492"/>
      <c r="R69" s="492"/>
      <c r="S69" s="492"/>
      <c r="T69" s="492"/>
      <c r="U69" s="492"/>
      <c r="V69" s="492"/>
      <c r="W69" s="492"/>
      <c r="X69" s="492"/>
      <c r="Y69" s="516"/>
    </row>
    <row r="70" spans="1:25" ht="20.25" customHeight="1" thickBot="1">
      <c r="A70" s="111"/>
      <c r="B70" s="112"/>
      <c r="C70" s="113"/>
      <c r="D70" s="114"/>
      <c r="E70" s="114"/>
      <c r="F70" s="114"/>
      <c r="G70" s="114"/>
      <c r="H70" s="113"/>
      <c r="I70" s="115"/>
      <c r="J70" s="115"/>
      <c r="K70" s="115"/>
      <c r="L70" s="115"/>
      <c r="M70" s="519"/>
      <c r="N70" s="520"/>
      <c r="O70" s="520"/>
      <c r="P70" s="521"/>
      <c r="Q70" s="521"/>
      <c r="R70" s="521"/>
      <c r="S70" s="521"/>
      <c r="T70" s="521"/>
      <c r="U70" s="510"/>
      <c r="V70" s="510"/>
      <c r="W70" s="510"/>
      <c r="X70" s="510"/>
      <c r="Y70" s="511"/>
    </row>
    <row r="71" spans="1:25"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5" ht="15" customHeight="1">
      <c r="A72" s="2025"/>
      <c r="B72" s="2039"/>
      <c r="C72" s="73">
        <v>2014</v>
      </c>
      <c r="D72" s="124"/>
      <c r="E72" s="124"/>
      <c r="F72" s="124"/>
      <c r="G72" s="125">
        <f>SUM(D72:F72)</f>
        <v>0</v>
      </c>
      <c r="H72" s="33"/>
      <c r="I72" s="126"/>
      <c r="J72" s="102"/>
      <c r="K72" s="102"/>
      <c r="L72" s="102"/>
      <c r="M72" s="102"/>
      <c r="N72" s="102"/>
      <c r="O72" s="127"/>
    </row>
    <row r="73" spans="1:25">
      <c r="A73" s="2069"/>
      <c r="B73" s="2039"/>
      <c r="C73" s="74">
        <v>2015</v>
      </c>
      <c r="D73" s="128"/>
      <c r="E73" s="128"/>
      <c r="F73" s="128"/>
      <c r="G73" s="125">
        <f t="shared" ref="G73:G78" si="5">SUM(D73:F73)</f>
        <v>0</v>
      </c>
      <c r="H73" s="40"/>
      <c r="I73" s="40"/>
      <c r="J73" s="41"/>
      <c r="K73" s="41"/>
      <c r="L73" s="41"/>
      <c r="M73" s="41"/>
      <c r="N73" s="41"/>
      <c r="O73" s="86"/>
    </row>
    <row r="74" spans="1:25">
      <c r="A74" s="2069"/>
      <c r="B74" s="2039"/>
      <c r="C74" s="74">
        <v>2016</v>
      </c>
      <c r="D74" s="128"/>
      <c r="E74" s="128">
        <v>2</v>
      </c>
      <c r="F74" s="128"/>
      <c r="G74" s="125">
        <f t="shared" si="5"/>
        <v>2</v>
      </c>
      <c r="H74" s="40">
        <v>2</v>
      </c>
      <c r="I74" s="40"/>
      <c r="J74" s="41"/>
      <c r="K74" s="41"/>
      <c r="L74" s="41"/>
      <c r="M74" s="41"/>
      <c r="N74" s="41"/>
      <c r="O74" s="86"/>
      <c r="P74" s="66"/>
      <c r="Q74" s="66"/>
      <c r="R74" s="66"/>
      <c r="S74" s="66"/>
      <c r="T74" s="66"/>
    </row>
    <row r="75" spans="1:25">
      <c r="A75" s="2069"/>
      <c r="B75" s="2039"/>
      <c r="C75" s="74">
        <v>2017</v>
      </c>
      <c r="D75" s="128"/>
      <c r="E75" s="128">
        <v>2</v>
      </c>
      <c r="F75" s="128"/>
      <c r="G75" s="125">
        <f t="shared" si="5"/>
        <v>2</v>
      </c>
      <c r="H75" s="40">
        <v>2</v>
      </c>
      <c r="I75" s="40"/>
      <c r="J75" s="41"/>
      <c r="K75" s="41"/>
      <c r="L75" s="41"/>
      <c r="M75" s="41"/>
      <c r="N75" s="41"/>
      <c r="O75" s="86"/>
      <c r="P75" s="66"/>
      <c r="Q75" s="66"/>
      <c r="R75" s="66"/>
      <c r="S75" s="66"/>
      <c r="T75" s="66"/>
    </row>
    <row r="76" spans="1:25">
      <c r="A76" s="2069"/>
      <c r="B76" s="2039"/>
      <c r="C76" s="74">
        <v>2018</v>
      </c>
      <c r="D76" s="128"/>
      <c r="E76" s="128"/>
      <c r="F76" s="128"/>
      <c r="G76" s="125">
        <f t="shared" si="5"/>
        <v>0</v>
      </c>
      <c r="H76" s="40"/>
      <c r="I76" s="40"/>
      <c r="J76" s="41"/>
      <c r="K76" s="41"/>
      <c r="L76" s="41"/>
      <c r="M76" s="41"/>
      <c r="N76" s="41"/>
      <c r="O76" s="86"/>
    </row>
    <row r="77" spans="1:25" ht="15.75" customHeight="1">
      <c r="A77" s="2069"/>
      <c r="B77" s="2039"/>
      <c r="C77" s="74">
        <v>2019</v>
      </c>
      <c r="D77" s="128"/>
      <c r="E77" s="128"/>
      <c r="F77" s="128"/>
      <c r="G77" s="125">
        <f t="shared" si="5"/>
        <v>0</v>
      </c>
      <c r="H77" s="40"/>
      <c r="I77" s="40"/>
      <c r="J77" s="41"/>
      <c r="K77" s="41"/>
      <c r="L77" s="41"/>
      <c r="M77" s="41"/>
      <c r="N77" s="41"/>
      <c r="O77" s="86"/>
    </row>
    <row r="78" spans="1:25" ht="17.25" customHeight="1">
      <c r="A78" s="2069"/>
      <c r="B78" s="2039"/>
      <c r="C78" s="74">
        <v>2020</v>
      </c>
      <c r="D78" s="128"/>
      <c r="E78" s="128"/>
      <c r="F78" s="128"/>
      <c r="G78" s="125">
        <f t="shared" si="5"/>
        <v>0</v>
      </c>
      <c r="H78" s="40"/>
      <c r="I78" s="40"/>
      <c r="J78" s="41"/>
      <c r="K78" s="41"/>
      <c r="L78" s="41"/>
      <c r="M78" s="41"/>
      <c r="N78" s="41"/>
      <c r="O78" s="86"/>
    </row>
    <row r="79" spans="1:25" ht="20.25" customHeight="1" thickBot="1">
      <c r="A79" s="2122"/>
      <c r="B79" s="2042"/>
      <c r="C79" s="129" t="s">
        <v>13</v>
      </c>
      <c r="D79" s="107">
        <f>SUM(D72:D78)</f>
        <v>0</v>
      </c>
      <c r="E79" s="107">
        <f>SUM(E72:E78)</f>
        <v>4</v>
      </c>
      <c r="F79" s="107">
        <f>SUM(F72:F78)</f>
        <v>0</v>
      </c>
      <c r="G79" s="130">
        <f>SUM(G72:G78)</f>
        <v>4</v>
      </c>
      <c r="H79" s="131">
        <v>0</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40"/>
      <c r="E100" s="41"/>
      <c r="F100" s="170"/>
      <c r="G100" s="171"/>
      <c r="H100" s="171"/>
      <c r="I100" s="171"/>
      <c r="J100" s="171"/>
      <c r="K100" s="171"/>
      <c r="L100" s="171"/>
      <c r="M100" s="172"/>
      <c r="N100" s="158"/>
      <c r="O100" s="158"/>
      <c r="P100" s="158"/>
    </row>
    <row r="101" spans="1:16" ht="16.5" customHeight="1">
      <c r="A101" s="2048"/>
      <c r="B101" s="2039"/>
      <c r="C101" s="103">
        <v>2017</v>
      </c>
      <c r="D101" s="40"/>
      <c r="E101" s="41"/>
      <c r="F101" s="170"/>
      <c r="G101" s="171"/>
      <c r="H101" s="171"/>
      <c r="I101" s="171"/>
      <c r="J101" s="171"/>
      <c r="K101" s="171"/>
      <c r="L101" s="171"/>
      <c r="M101" s="172"/>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82" t="s">
        <v>9</v>
      </c>
      <c r="D129" s="182" t="s">
        <v>76</v>
      </c>
      <c r="E129" s="183"/>
      <c r="F129" s="183"/>
      <c r="G129" s="184"/>
      <c r="H129" s="178"/>
      <c r="I129" s="178"/>
      <c r="J129" s="178"/>
      <c r="K129" s="178"/>
      <c r="L129" s="178"/>
      <c r="M129" s="178"/>
      <c r="N129" s="178"/>
    </row>
    <row r="130" spans="1:16" ht="77.25" customHeight="1">
      <c r="A130" s="2044"/>
      <c r="B130" s="2046"/>
      <c r="C130" s="481"/>
      <c r="D130" s="159" t="s">
        <v>77</v>
      </c>
      <c r="E130" s="186" t="s">
        <v>78</v>
      </c>
      <c r="F130" s="160" t="s">
        <v>79</v>
      </c>
      <c r="G130" s="187" t="s">
        <v>13</v>
      </c>
      <c r="H130" s="178"/>
      <c r="I130" s="178"/>
      <c r="J130" s="178"/>
      <c r="K130" s="178"/>
      <c r="L130" s="178"/>
      <c r="M130" s="178"/>
      <c r="N130" s="178"/>
    </row>
    <row r="131" spans="1:16" ht="15" customHeight="1">
      <c r="A131" s="2025"/>
      <c r="B131" s="2068"/>
      <c r="C131" s="99">
        <v>2015</v>
      </c>
      <c r="D131" s="33"/>
      <c r="E131" s="34"/>
      <c r="F131" s="34"/>
      <c r="G131" s="191">
        <f t="shared" ref="G131:G136" si="11">SUM(D131:F131)</f>
        <v>0</v>
      </c>
      <c r="H131" s="178"/>
      <c r="I131" s="178"/>
      <c r="J131" s="178"/>
      <c r="K131" s="178"/>
      <c r="L131" s="178"/>
      <c r="M131" s="178"/>
      <c r="N131" s="178"/>
    </row>
    <row r="132" spans="1:16">
      <c r="A132" s="2069"/>
      <c r="B132" s="2068"/>
      <c r="C132" s="103">
        <v>2016</v>
      </c>
      <c r="D132" s="40"/>
      <c r="E132" s="41"/>
      <c r="F132" s="41"/>
      <c r="G132" s="191">
        <f t="shared" si="11"/>
        <v>0</v>
      </c>
      <c r="H132" s="178"/>
      <c r="I132" s="178"/>
      <c r="J132" s="178"/>
      <c r="K132" s="178"/>
      <c r="L132" s="178"/>
      <c r="M132" s="178"/>
      <c r="N132" s="178"/>
    </row>
    <row r="133" spans="1:16">
      <c r="A133" s="2069"/>
      <c r="B133" s="2068"/>
      <c r="C133" s="103">
        <v>2017</v>
      </c>
      <c r="D133" s="40"/>
      <c r="E133" s="41"/>
      <c r="F133" s="41"/>
      <c r="G133" s="191">
        <f t="shared" si="11"/>
        <v>0</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2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c r="P177" s="523"/>
      <c r="Q177" s="524"/>
      <c r="R177" s="524"/>
      <c r="S177" s="524"/>
      <c r="T177" s="524"/>
      <c r="U177" s="524"/>
      <c r="V177" s="524"/>
      <c r="W177" s="524"/>
      <c r="X177" s="524"/>
      <c r="Y177" s="525"/>
    </row>
    <row r="178" spans="1:25" ht="15" customHeight="1">
      <c r="A178" s="2048" t="s">
        <v>285</v>
      </c>
      <c r="B178" s="2039"/>
      <c r="C178" s="99">
        <v>2014</v>
      </c>
      <c r="D178" s="33"/>
      <c r="E178" s="34"/>
      <c r="F178" s="34"/>
      <c r="G178" s="278">
        <f>SUM(D178:F178)</f>
        <v>0</v>
      </c>
      <c r="H178" s="148"/>
      <c r="I178" s="148"/>
      <c r="J178" s="34"/>
      <c r="K178" s="34"/>
      <c r="L178" s="34"/>
      <c r="M178" s="34"/>
      <c r="N178" s="34"/>
      <c r="O178" s="37"/>
      <c r="P178" s="526"/>
      <c r="Q178" s="492"/>
      <c r="R178" s="492"/>
      <c r="S178" s="492"/>
      <c r="T178" s="492"/>
      <c r="U178" s="492"/>
      <c r="V178" s="492"/>
      <c r="W178" s="492"/>
      <c r="X178" s="492"/>
      <c r="Y178" s="516"/>
    </row>
    <row r="179" spans="1:25">
      <c r="A179" s="2048"/>
      <c r="B179" s="2039"/>
      <c r="C179" s="103">
        <v>2015</v>
      </c>
      <c r="D179" s="40"/>
      <c r="E179" s="41"/>
      <c r="F179" s="41"/>
      <c r="G179" s="278">
        <f t="shared" ref="G179:G184" si="19">SUM(D179:F179)</f>
        <v>0</v>
      </c>
      <c r="H179" s="279"/>
      <c r="I179" s="105"/>
      <c r="J179" s="41"/>
      <c r="K179" s="41"/>
      <c r="L179" s="41"/>
      <c r="M179" s="41"/>
      <c r="N179" s="41"/>
      <c r="O179" s="86"/>
      <c r="P179" s="526"/>
      <c r="Q179" s="492"/>
      <c r="R179" s="492"/>
      <c r="S179" s="492"/>
      <c r="T179" s="492"/>
      <c r="U179" s="492"/>
      <c r="V179" s="492"/>
      <c r="W179" s="492"/>
      <c r="X179" s="492"/>
      <c r="Y179" s="516"/>
    </row>
    <row r="180" spans="1:25">
      <c r="A180" s="2048"/>
      <c r="B180" s="2039"/>
      <c r="C180" s="103">
        <v>2016</v>
      </c>
      <c r="D180" s="40">
        <v>3</v>
      </c>
      <c r="E180" s="41">
        <v>4</v>
      </c>
      <c r="F180" s="41"/>
      <c r="G180" s="278">
        <v>7</v>
      </c>
      <c r="H180" s="279">
        <v>15</v>
      </c>
      <c r="I180" s="105">
        <v>5</v>
      </c>
      <c r="J180" s="41"/>
      <c r="K180" s="41"/>
      <c r="L180" s="41"/>
      <c r="M180" s="41"/>
      <c r="N180" s="41"/>
      <c r="O180" s="86">
        <v>2</v>
      </c>
      <c r="P180" s="526"/>
      <c r="Q180" s="492"/>
      <c r="R180" s="492"/>
      <c r="S180" s="492"/>
      <c r="T180" s="492"/>
      <c r="U180" s="492"/>
      <c r="V180" s="492"/>
      <c r="W180" s="492"/>
      <c r="X180" s="492"/>
      <c r="Y180" s="516"/>
    </row>
    <row r="181" spans="1:25">
      <c r="A181" s="2048"/>
      <c r="B181" s="2039"/>
      <c r="C181" s="103">
        <v>2017</v>
      </c>
      <c r="D181" s="40">
        <v>2</v>
      </c>
      <c r="E181" s="41"/>
      <c r="F181" s="41"/>
      <c r="G181" s="278">
        <f t="shared" si="19"/>
        <v>2</v>
      </c>
      <c r="H181" s="279">
        <v>2</v>
      </c>
      <c r="I181" s="105">
        <v>2</v>
      </c>
      <c r="J181" s="41"/>
      <c r="K181" s="41"/>
      <c r="L181" s="41"/>
      <c r="M181" s="41"/>
      <c r="N181" s="41"/>
      <c r="O181" s="86"/>
      <c r="P181" s="526"/>
      <c r="Q181" s="492"/>
      <c r="R181" s="492"/>
      <c r="S181" s="492"/>
      <c r="T181" s="492"/>
      <c r="U181" s="492"/>
      <c r="V181" s="492"/>
      <c r="W181" s="492"/>
      <c r="X181" s="492"/>
      <c r="Y181" s="516"/>
    </row>
    <row r="182" spans="1:25">
      <c r="A182" s="2048"/>
      <c r="B182" s="2039"/>
      <c r="C182" s="103">
        <v>2018</v>
      </c>
      <c r="D182" s="40"/>
      <c r="E182" s="41"/>
      <c r="F182" s="41"/>
      <c r="G182" s="278">
        <f t="shared" si="19"/>
        <v>0</v>
      </c>
      <c r="H182" s="279"/>
      <c r="I182" s="105"/>
      <c r="J182" s="41"/>
      <c r="K182" s="41"/>
      <c r="L182" s="41"/>
      <c r="M182" s="41"/>
      <c r="N182" s="41"/>
      <c r="O182" s="86"/>
      <c r="P182" s="526"/>
      <c r="Q182" s="492"/>
      <c r="R182" s="492"/>
      <c r="S182" s="492"/>
      <c r="T182" s="492"/>
      <c r="U182" s="492"/>
      <c r="V182" s="492"/>
      <c r="W182" s="492"/>
      <c r="X182" s="492"/>
      <c r="Y182" s="516"/>
    </row>
    <row r="183" spans="1:25">
      <c r="A183" s="2048"/>
      <c r="B183" s="2039"/>
      <c r="C183" s="103">
        <v>2019</v>
      </c>
      <c r="D183" s="40"/>
      <c r="E183" s="41"/>
      <c r="F183" s="41"/>
      <c r="G183" s="278">
        <f t="shared" si="19"/>
        <v>0</v>
      </c>
      <c r="H183" s="279"/>
      <c r="I183" s="105"/>
      <c r="J183" s="41"/>
      <c r="K183" s="41"/>
      <c r="L183" s="41"/>
      <c r="M183" s="41"/>
      <c r="N183" s="41"/>
      <c r="O183" s="86"/>
      <c r="P183" s="526"/>
      <c r="Q183" s="492"/>
      <c r="R183" s="492"/>
      <c r="S183" s="492"/>
      <c r="T183" s="492"/>
      <c r="U183" s="492"/>
      <c r="V183" s="492"/>
      <c r="W183" s="492"/>
      <c r="X183" s="492"/>
      <c r="Y183" s="516"/>
    </row>
    <row r="184" spans="1:25">
      <c r="A184" s="2048"/>
      <c r="B184" s="2039"/>
      <c r="C184" s="103">
        <v>2020</v>
      </c>
      <c r="D184" s="40"/>
      <c r="E184" s="41"/>
      <c r="F184" s="41"/>
      <c r="G184" s="278">
        <f t="shared" si="19"/>
        <v>0</v>
      </c>
      <c r="H184" s="279"/>
      <c r="I184" s="105"/>
      <c r="J184" s="41"/>
      <c r="K184" s="41"/>
      <c r="L184" s="41"/>
      <c r="M184" s="41"/>
      <c r="N184" s="41"/>
      <c r="O184" s="86"/>
      <c r="P184" s="526"/>
      <c r="Q184" s="492"/>
      <c r="R184" s="492"/>
      <c r="S184" s="492"/>
      <c r="T184" s="492"/>
      <c r="U184" s="492"/>
      <c r="V184" s="492"/>
      <c r="W184" s="492"/>
      <c r="X184" s="492"/>
      <c r="Y184" s="516"/>
    </row>
    <row r="185" spans="1:25" ht="45" customHeight="1" thickBot="1">
      <c r="A185" s="2067"/>
      <c r="B185" s="2042"/>
      <c r="C185" s="106" t="s">
        <v>13</v>
      </c>
      <c r="D185" s="132">
        <f>SUM(D178:D184)</f>
        <v>5</v>
      </c>
      <c r="E185" s="109">
        <f>SUM(E178:E184)</f>
        <v>4</v>
      </c>
      <c r="F185" s="109">
        <f>SUM(F178:F184)</f>
        <v>0</v>
      </c>
      <c r="G185" s="217">
        <f t="shared" ref="G185:O185" si="20">SUM(G178:G184)</f>
        <v>9</v>
      </c>
      <c r="H185" s="280">
        <f t="shared" si="20"/>
        <v>17</v>
      </c>
      <c r="I185" s="108">
        <f t="shared" si="20"/>
        <v>7</v>
      </c>
      <c r="J185" s="109">
        <f t="shared" si="20"/>
        <v>0</v>
      </c>
      <c r="K185" s="109">
        <f t="shared" si="20"/>
        <v>0</v>
      </c>
      <c r="L185" s="109">
        <f t="shared" si="20"/>
        <v>0</v>
      </c>
      <c r="M185" s="109">
        <f t="shared" si="20"/>
        <v>0</v>
      </c>
      <c r="N185" s="109">
        <f t="shared" si="20"/>
        <v>0</v>
      </c>
      <c r="O185" s="110">
        <f t="shared" si="20"/>
        <v>2</v>
      </c>
      <c r="P185" s="527"/>
      <c r="Q185" s="494"/>
      <c r="R185" s="492"/>
      <c r="S185" s="492"/>
      <c r="T185" s="492"/>
      <c r="U185" s="492"/>
      <c r="V185" s="492"/>
      <c r="W185" s="492"/>
      <c r="X185" s="492"/>
      <c r="Y185" s="516"/>
    </row>
    <row r="186" spans="1:25" ht="33" customHeight="1" thickBot="1">
      <c r="P186" s="526"/>
      <c r="Q186" s="492"/>
      <c r="R186" s="492"/>
      <c r="S186" s="492"/>
      <c r="T186" s="492"/>
      <c r="U186" s="492"/>
      <c r="V186" s="492"/>
      <c r="W186" s="492"/>
      <c r="X186" s="492"/>
      <c r="Y186" s="516"/>
    </row>
    <row r="187" spans="1:25" ht="19.5" customHeight="1">
      <c r="A187" s="2109" t="s">
        <v>125</v>
      </c>
      <c r="B187" s="2099" t="s">
        <v>116</v>
      </c>
      <c r="C187" s="2089" t="s">
        <v>9</v>
      </c>
      <c r="D187" s="2085" t="s">
        <v>126</v>
      </c>
      <c r="E187" s="2086"/>
      <c r="F187" s="2086"/>
      <c r="G187" s="2087"/>
      <c r="H187" s="2088" t="s">
        <v>127</v>
      </c>
      <c r="I187" s="2089"/>
      <c r="J187" s="2089"/>
      <c r="K187" s="2089"/>
      <c r="L187" s="2090"/>
      <c r="P187" s="489"/>
      <c r="Q187" s="490"/>
      <c r="R187" s="490"/>
      <c r="S187" s="490"/>
      <c r="T187" s="490"/>
      <c r="U187" s="490"/>
      <c r="V187" s="490"/>
      <c r="W187" s="490"/>
      <c r="X187" s="490"/>
      <c r="Y187" s="516"/>
    </row>
    <row r="188" spans="1:25" ht="90">
      <c r="A188" s="2110"/>
      <c r="B188" s="2100"/>
      <c r="C188" s="2111"/>
      <c r="D188" s="281" t="s">
        <v>128</v>
      </c>
      <c r="E188" s="281" t="s">
        <v>129</v>
      </c>
      <c r="F188" s="281" t="s">
        <v>130</v>
      </c>
      <c r="G188" s="282" t="s">
        <v>13</v>
      </c>
      <c r="H188" s="283" t="s">
        <v>131</v>
      </c>
      <c r="I188" s="281" t="s">
        <v>132</v>
      </c>
      <c r="J188" s="281" t="s">
        <v>133</v>
      </c>
      <c r="K188" s="281" t="s">
        <v>134</v>
      </c>
      <c r="L188" s="284" t="s">
        <v>135</v>
      </c>
      <c r="P188" s="509"/>
      <c r="Q188" s="510"/>
      <c r="R188" s="510"/>
      <c r="S188" s="510"/>
      <c r="T188" s="510"/>
      <c r="U188" s="510"/>
      <c r="V188" s="510"/>
      <c r="W188" s="510"/>
      <c r="X188" s="510"/>
      <c r="Y188" s="511"/>
    </row>
    <row r="189" spans="1:25" ht="15" customHeight="1">
      <c r="A189" s="2023" t="s">
        <v>286</v>
      </c>
      <c r="B189" s="2127"/>
      <c r="C189" s="285">
        <v>2014</v>
      </c>
      <c r="D189" s="126"/>
      <c r="E189" s="102"/>
      <c r="F189" s="102"/>
      <c r="G189" s="286">
        <f>SUM(D189:F189)</f>
        <v>0</v>
      </c>
      <c r="H189" s="101"/>
      <c r="I189" s="102"/>
      <c r="J189" s="102"/>
      <c r="K189" s="102"/>
      <c r="L189" s="127"/>
    </row>
    <row r="190" spans="1:25">
      <c r="A190" s="2176"/>
      <c r="B190" s="2068"/>
      <c r="C190" s="74">
        <v>2015</v>
      </c>
      <c r="D190" s="40"/>
      <c r="E190" s="41"/>
      <c r="F190" s="41"/>
      <c r="G190" s="286">
        <f t="shared" ref="G190:G195" si="21">SUM(D190:F190)</f>
        <v>0</v>
      </c>
      <c r="H190" s="105"/>
      <c r="I190" s="41"/>
      <c r="J190" s="41"/>
      <c r="K190" s="41"/>
      <c r="L190" s="86"/>
    </row>
    <row r="191" spans="1:25">
      <c r="A191" s="2176"/>
      <c r="B191" s="2068"/>
      <c r="C191" s="74">
        <v>2016</v>
      </c>
      <c r="D191" s="40">
        <v>203</v>
      </c>
      <c r="E191" s="41">
        <v>112</v>
      </c>
      <c r="F191" s="41"/>
      <c r="G191" s="286">
        <f t="shared" si="21"/>
        <v>315</v>
      </c>
      <c r="H191" s="105">
        <v>3</v>
      </c>
      <c r="I191" s="41">
        <v>0</v>
      </c>
      <c r="J191" s="41">
        <v>102</v>
      </c>
      <c r="K191" s="41">
        <v>19</v>
      </c>
      <c r="L191" s="86">
        <v>191</v>
      </c>
      <c r="M191" s="66"/>
      <c r="N191" s="66"/>
      <c r="O191" s="66"/>
      <c r="P191" s="66"/>
      <c r="Q191" s="66"/>
      <c r="R191" s="66"/>
    </row>
    <row r="192" spans="1:25">
      <c r="A192" s="2176"/>
      <c r="B192" s="2068"/>
      <c r="C192" s="74">
        <v>2017</v>
      </c>
      <c r="D192" s="40">
        <v>80</v>
      </c>
      <c r="E192" s="41"/>
      <c r="F192" s="41"/>
      <c r="G192" s="286">
        <f t="shared" si="21"/>
        <v>80</v>
      </c>
      <c r="H192" s="105"/>
      <c r="I192" s="41"/>
      <c r="J192" s="41">
        <v>37</v>
      </c>
      <c r="K192" s="41">
        <v>2</v>
      </c>
      <c r="L192" s="86">
        <v>41</v>
      </c>
    </row>
    <row r="193" spans="1:24">
      <c r="A193" s="2176"/>
      <c r="B193" s="2068"/>
      <c r="C193" s="74">
        <v>2018</v>
      </c>
      <c r="D193" s="40"/>
      <c r="E193" s="41"/>
      <c r="F193" s="41"/>
      <c r="G193" s="286">
        <f t="shared" si="21"/>
        <v>0</v>
      </c>
      <c r="H193" s="105"/>
      <c r="I193" s="41"/>
      <c r="J193" s="41"/>
      <c r="K193" s="41"/>
      <c r="L193" s="86"/>
    </row>
    <row r="194" spans="1:24">
      <c r="A194" s="2176"/>
      <c r="B194" s="2068"/>
      <c r="C194" s="74">
        <v>2019</v>
      </c>
      <c r="D194" s="40"/>
      <c r="E194" s="41"/>
      <c r="F194" s="41"/>
      <c r="G194" s="286">
        <f t="shared" si="21"/>
        <v>0</v>
      </c>
      <c r="H194" s="105"/>
      <c r="I194" s="41"/>
      <c r="J194" s="41"/>
      <c r="K194" s="41"/>
      <c r="L194" s="86"/>
    </row>
    <row r="195" spans="1:24">
      <c r="A195" s="2176"/>
      <c r="B195" s="2068"/>
      <c r="C195" s="74">
        <v>2020</v>
      </c>
      <c r="D195" s="40"/>
      <c r="E195" s="41"/>
      <c r="F195" s="41"/>
      <c r="G195" s="286">
        <f t="shared" si="21"/>
        <v>0</v>
      </c>
      <c r="H195" s="105"/>
      <c r="I195" s="41"/>
      <c r="J195" s="41"/>
      <c r="K195" s="41"/>
      <c r="L195" s="86"/>
    </row>
    <row r="196" spans="1:24" ht="15.75" thickBot="1">
      <c r="A196" s="2129"/>
      <c r="B196" s="2071"/>
      <c r="C196" s="129" t="s">
        <v>13</v>
      </c>
      <c r="D196" s="132">
        <f t="shared" ref="D196:L196" si="22">SUM(D189:D195)</f>
        <v>283</v>
      </c>
      <c r="E196" s="109">
        <f t="shared" si="22"/>
        <v>112</v>
      </c>
      <c r="F196" s="109"/>
      <c r="G196" s="290">
        <f t="shared" si="22"/>
        <v>395</v>
      </c>
      <c r="H196" s="108">
        <f t="shared" si="22"/>
        <v>3</v>
      </c>
      <c r="I196" s="109">
        <f t="shared" si="22"/>
        <v>0</v>
      </c>
      <c r="J196" s="109">
        <f t="shared" si="22"/>
        <v>139</v>
      </c>
      <c r="K196" s="109">
        <f t="shared" si="22"/>
        <v>21</v>
      </c>
      <c r="L196" s="110">
        <f t="shared" si="22"/>
        <v>232</v>
      </c>
    </row>
    <row r="199" spans="1:24" ht="21">
      <c r="A199" s="291" t="s">
        <v>137</v>
      </c>
      <c r="B199" s="291"/>
      <c r="C199" s="292"/>
      <c r="D199" s="292"/>
      <c r="E199" s="292"/>
      <c r="F199" s="292"/>
      <c r="G199" s="292"/>
      <c r="H199" s="292"/>
      <c r="I199" s="292"/>
      <c r="J199" s="292"/>
      <c r="K199" s="292"/>
      <c r="L199" s="292"/>
      <c r="M199" s="66"/>
      <c r="N199" s="66"/>
    </row>
    <row r="200" spans="1:24" ht="10.5" customHeight="1" thickBot="1">
      <c r="A200" s="293"/>
      <c r="B200" s="293"/>
      <c r="C200" s="292"/>
      <c r="D200" s="292"/>
      <c r="E200" s="292"/>
      <c r="F200" s="292"/>
      <c r="G200" s="292"/>
      <c r="H200" s="292"/>
      <c r="I200" s="292"/>
      <c r="J200" s="292"/>
      <c r="K200" s="292"/>
      <c r="L200" s="292"/>
    </row>
    <row r="201" spans="1:2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24" ht="15" customHeight="1">
      <c r="A202" s="2069"/>
      <c r="B202" s="2068"/>
      <c r="C202" s="73">
        <v>2014</v>
      </c>
      <c r="D202" s="33"/>
      <c r="E202" s="34"/>
      <c r="F202" s="34"/>
      <c r="G202" s="32"/>
      <c r="H202" s="303"/>
      <c r="I202" s="304"/>
      <c r="J202" s="305"/>
      <c r="K202" s="34"/>
      <c r="L202" s="37"/>
    </row>
    <row r="203" spans="1:24">
      <c r="A203" s="2069"/>
      <c r="B203" s="2068"/>
      <c r="C203" s="74">
        <v>2015</v>
      </c>
      <c r="D203" s="40"/>
      <c r="E203" s="41"/>
      <c r="F203" s="41"/>
      <c r="G203" s="39"/>
      <c r="H203" s="306"/>
      <c r="I203" s="307"/>
      <c r="J203" s="308"/>
      <c r="K203" s="41"/>
      <c r="L203" s="86"/>
    </row>
    <row r="204" spans="1:24">
      <c r="A204" s="2069"/>
      <c r="B204" s="2068"/>
      <c r="C204" s="74">
        <v>2016</v>
      </c>
      <c r="D204" s="40"/>
      <c r="E204" s="41"/>
      <c r="F204" s="41"/>
      <c r="G204" s="39"/>
      <c r="H204" s="306"/>
      <c r="I204" s="307"/>
      <c r="J204" s="308"/>
      <c r="K204" s="41"/>
      <c r="L204" s="86"/>
    </row>
    <row r="205" spans="1:24">
      <c r="A205" s="2069"/>
      <c r="B205" s="2068"/>
      <c r="C205" s="74">
        <v>2017</v>
      </c>
      <c r="D205" s="40"/>
      <c r="E205" s="41"/>
      <c r="F205" s="41"/>
      <c r="G205" s="39"/>
      <c r="H205" s="306"/>
      <c r="I205" s="307"/>
      <c r="J205" s="308"/>
      <c r="K205" s="41"/>
      <c r="L205" s="86"/>
    </row>
    <row r="206" spans="1:24">
      <c r="A206" s="2069"/>
      <c r="B206" s="2068"/>
      <c r="C206" s="74">
        <v>2018</v>
      </c>
      <c r="D206" s="40"/>
      <c r="E206" s="41"/>
      <c r="F206" s="41"/>
      <c r="G206" s="39"/>
      <c r="H206" s="306"/>
      <c r="I206" s="307"/>
      <c r="J206" s="308"/>
      <c r="K206" s="41"/>
      <c r="L206" s="86"/>
    </row>
    <row r="207" spans="1:24">
      <c r="A207" s="2069"/>
      <c r="B207" s="2068"/>
      <c r="C207" s="74">
        <v>2019</v>
      </c>
      <c r="D207" s="40"/>
      <c r="E207" s="41"/>
      <c r="F207" s="41"/>
      <c r="G207" s="39"/>
      <c r="H207" s="306"/>
      <c r="I207" s="307"/>
      <c r="J207" s="308"/>
      <c r="K207" s="41"/>
      <c r="L207" s="86"/>
      <c r="M207" s="512"/>
      <c r="N207" s="513"/>
      <c r="O207" s="513"/>
      <c r="P207" s="513"/>
      <c r="Q207" s="513"/>
      <c r="R207" s="513"/>
      <c r="S207" s="513"/>
      <c r="T207" s="513"/>
      <c r="U207" s="513"/>
      <c r="V207" s="513"/>
      <c r="W207" s="513"/>
      <c r="X207" s="514"/>
    </row>
    <row r="208" spans="1:24">
      <c r="A208" s="2069"/>
      <c r="B208" s="2068"/>
      <c r="C208" s="74">
        <v>2020</v>
      </c>
      <c r="D208" s="309"/>
      <c r="E208" s="310"/>
      <c r="F208" s="310"/>
      <c r="G208" s="311"/>
      <c r="H208" s="312"/>
      <c r="I208" s="313"/>
      <c r="J208" s="314"/>
      <c r="K208" s="310"/>
      <c r="L208" s="315"/>
      <c r="M208" s="489"/>
      <c r="N208" s="490"/>
      <c r="O208" s="490"/>
      <c r="P208" s="490"/>
      <c r="Q208" s="490"/>
      <c r="R208" s="490"/>
      <c r="S208" s="490"/>
      <c r="T208" s="490"/>
      <c r="U208" s="490"/>
      <c r="V208" s="490"/>
      <c r="W208" s="490"/>
      <c r="X208" s="516"/>
    </row>
    <row r="209" spans="1:24"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c r="M209" s="489"/>
      <c r="N209" s="492"/>
      <c r="O209" s="492"/>
      <c r="P209" s="492"/>
      <c r="Q209" s="492"/>
      <c r="R209" s="492"/>
      <c r="S209" s="492"/>
      <c r="T209" s="492"/>
      <c r="U209" s="492"/>
      <c r="V209" s="492"/>
      <c r="W209" s="490"/>
      <c r="X209" s="516"/>
    </row>
    <row r="210" spans="1:24">
      <c r="M210" s="489"/>
      <c r="N210" s="492"/>
      <c r="O210" s="492"/>
      <c r="P210" s="492"/>
      <c r="Q210" s="492"/>
      <c r="R210" s="492"/>
      <c r="S210" s="492"/>
      <c r="T210" s="492"/>
      <c r="U210" s="492"/>
      <c r="V210" s="492"/>
      <c r="W210" s="490"/>
      <c r="X210" s="516"/>
    </row>
    <row r="211" spans="1:24" ht="15.75" thickBot="1">
      <c r="J211" s="528"/>
      <c r="K211" s="529"/>
      <c r="L211" s="529"/>
      <c r="M211" s="530"/>
      <c r="N211" s="531"/>
      <c r="O211" s="492"/>
      <c r="P211" s="492"/>
      <c r="Q211" s="492"/>
      <c r="R211" s="492"/>
      <c r="S211" s="492"/>
      <c r="T211" s="492"/>
      <c r="U211" s="492"/>
      <c r="V211" s="492"/>
      <c r="W211" s="490"/>
      <c r="X211" s="516"/>
    </row>
    <row r="212" spans="1:24" ht="29.25">
      <c r="A212" s="368" t="s">
        <v>148</v>
      </c>
      <c r="B212" s="317" t="s">
        <v>149</v>
      </c>
      <c r="C212" s="318">
        <v>2014</v>
      </c>
      <c r="D212" s="319">
        <v>2015</v>
      </c>
      <c r="E212" s="319">
        <v>2016</v>
      </c>
      <c r="F212" s="319">
        <v>2017</v>
      </c>
      <c r="G212" s="319">
        <v>2018</v>
      </c>
      <c r="H212" s="319">
        <v>2019</v>
      </c>
      <c r="I212" s="532">
        <v>2020</v>
      </c>
      <c r="J212" s="533"/>
      <c r="K212" s="534"/>
      <c r="L212" s="535"/>
      <c r="M212" s="536"/>
      <c r="N212" s="492"/>
      <c r="O212" s="492"/>
      <c r="P212" s="492"/>
      <c r="Q212" s="491"/>
      <c r="R212" s="491"/>
      <c r="S212" s="491"/>
      <c r="T212" s="491"/>
      <c r="U212" s="492"/>
      <c r="V212" s="492"/>
      <c r="W212" s="490"/>
      <c r="X212" s="516"/>
    </row>
    <row r="213" spans="1:24" ht="15" customHeight="1">
      <c r="A213" t="s">
        <v>150</v>
      </c>
      <c r="B213" s="2177" t="s">
        <v>287</v>
      </c>
      <c r="C213" s="73"/>
      <c r="D213" s="537"/>
      <c r="E213" s="537">
        <v>153429.97</v>
      </c>
      <c r="F213" s="537">
        <f>SUM(F214:F217)</f>
        <v>28453.07</v>
      </c>
      <c r="G213" s="537"/>
      <c r="H213" s="537"/>
      <c r="I213" s="538"/>
      <c r="J213" s="539"/>
      <c r="K213" s="540"/>
      <c r="L213" s="540"/>
      <c r="M213" s="536"/>
      <c r="N213" s="492"/>
      <c r="O213" s="492"/>
      <c r="P213" s="492"/>
      <c r="Q213" s="494"/>
      <c r="R213" s="494"/>
      <c r="S213" s="494"/>
      <c r="T213" s="494"/>
      <c r="U213" s="494"/>
      <c r="V213" s="494"/>
      <c r="W213" s="490"/>
      <c r="X213" s="516"/>
    </row>
    <row r="214" spans="1:24">
      <c r="A214" t="s">
        <v>153</v>
      </c>
      <c r="B214" s="2171"/>
      <c r="C214" s="73"/>
      <c r="D214" s="537"/>
      <c r="E214" s="537">
        <v>32056.34</v>
      </c>
      <c r="F214" s="537">
        <v>17904.11</v>
      </c>
      <c r="G214" s="537"/>
      <c r="H214" s="537"/>
      <c r="I214" s="538"/>
      <c r="J214" s="539"/>
      <c r="K214" s="541"/>
      <c r="L214" s="541"/>
      <c r="M214" s="536"/>
      <c r="N214" s="492"/>
      <c r="O214" s="2852"/>
      <c r="P214" s="2852"/>
      <c r="Q214" s="494"/>
      <c r="R214" s="494"/>
      <c r="S214" s="494"/>
      <c r="T214" s="494"/>
      <c r="U214" s="494"/>
      <c r="V214" s="494"/>
      <c r="W214" s="490"/>
      <c r="X214" s="516"/>
    </row>
    <row r="215" spans="1:24">
      <c r="A215" t="s">
        <v>155</v>
      </c>
      <c r="B215" s="2171"/>
      <c r="C215" s="73"/>
      <c r="D215" s="537"/>
      <c r="E215" s="537"/>
      <c r="F215" s="537"/>
      <c r="G215" s="537"/>
      <c r="H215" s="537"/>
      <c r="I215" s="538"/>
      <c r="J215" s="539"/>
      <c r="K215" s="540"/>
      <c r="L215" s="540"/>
      <c r="M215" s="536"/>
      <c r="N215" s="492"/>
      <c r="O215" s="492"/>
      <c r="P215" s="492"/>
      <c r="Q215" s="494"/>
      <c r="R215" s="494"/>
      <c r="S215" s="494"/>
      <c r="T215" s="494"/>
      <c r="U215" s="494"/>
      <c r="V215" s="494"/>
      <c r="W215" s="490"/>
      <c r="X215" s="516"/>
    </row>
    <row r="216" spans="1:24">
      <c r="A216" t="s">
        <v>157</v>
      </c>
      <c r="B216" s="2171"/>
      <c r="C216" s="73"/>
      <c r="D216" s="537"/>
      <c r="E216" s="537"/>
      <c r="F216" s="537"/>
      <c r="G216" s="537"/>
      <c r="H216" s="537"/>
      <c r="I216" s="538"/>
      <c r="J216" s="539"/>
      <c r="K216" s="540"/>
      <c r="L216" s="540"/>
      <c r="M216" s="536"/>
      <c r="N216" s="492"/>
      <c r="O216" s="492"/>
      <c r="P216" s="492"/>
      <c r="Q216" s="494"/>
      <c r="R216" s="494"/>
      <c r="S216" s="494"/>
      <c r="T216" s="494"/>
      <c r="U216" s="494"/>
      <c r="V216" s="494"/>
      <c r="W216" s="490"/>
      <c r="X216" s="516"/>
    </row>
    <row r="217" spans="1:24" ht="51.75" customHeight="1">
      <c r="A217" t="s">
        <v>158</v>
      </c>
      <c r="B217" s="2171"/>
      <c r="C217" s="73"/>
      <c r="D217" s="537"/>
      <c r="E217" s="537">
        <v>121373.63</v>
      </c>
      <c r="F217" s="542">
        <v>10548.96</v>
      </c>
      <c r="G217" s="537"/>
      <c r="H217" s="537"/>
      <c r="I217" s="538"/>
      <c r="J217" s="539"/>
      <c r="K217" s="540"/>
      <c r="L217" s="541"/>
      <c r="M217" s="536"/>
      <c r="N217" s="492"/>
      <c r="O217" s="492"/>
      <c r="P217" s="492"/>
      <c r="Q217" s="494"/>
      <c r="R217" s="494"/>
      <c r="S217" s="494"/>
      <c r="T217" s="494"/>
      <c r="U217" s="494"/>
      <c r="V217" s="494"/>
      <c r="W217" s="490"/>
      <c r="X217" s="516"/>
    </row>
    <row r="218" spans="1:24" ht="30">
      <c r="A218" s="31" t="s">
        <v>159</v>
      </c>
      <c r="B218" s="2171"/>
      <c r="C218" s="73"/>
      <c r="D218" s="537"/>
      <c r="E218" s="537">
        <v>101706.53</v>
      </c>
      <c r="F218" s="537">
        <v>57809.93</v>
      </c>
      <c r="G218" s="537"/>
      <c r="H218" s="537"/>
      <c r="I218" s="538"/>
      <c r="J218" s="539"/>
      <c r="K218" s="540"/>
      <c r="L218" s="540"/>
      <c r="M218" s="536"/>
      <c r="N218" s="492"/>
      <c r="O218" s="492"/>
      <c r="P218" s="492"/>
      <c r="Q218" s="492"/>
      <c r="R218" s="492"/>
      <c r="S218" s="492"/>
      <c r="T218" s="492"/>
      <c r="U218" s="492"/>
      <c r="V218" s="492"/>
      <c r="W218" s="490"/>
      <c r="X218" s="516"/>
    </row>
    <row r="219" spans="1:24" ht="15.75" thickBot="1">
      <c r="A219" s="349"/>
      <c r="B219" s="2172"/>
      <c r="C219" s="45" t="s">
        <v>13</v>
      </c>
      <c r="D219" s="333"/>
      <c r="E219" s="333">
        <f t="shared" ref="E219:I219" si="24">SUM(E214:E218)</f>
        <v>255136.5</v>
      </c>
      <c r="F219" s="372">
        <f t="shared" si="24"/>
        <v>86263</v>
      </c>
      <c r="G219" s="333">
        <f t="shared" si="24"/>
        <v>0</v>
      </c>
      <c r="H219" s="333">
        <f t="shared" si="24"/>
        <v>0</v>
      </c>
      <c r="I219" s="333">
        <f t="shared" si="24"/>
        <v>0</v>
      </c>
      <c r="J219" s="543"/>
      <c r="K219" s="535"/>
      <c r="L219" s="535"/>
      <c r="M219" s="536"/>
      <c r="N219" s="492"/>
      <c r="O219" s="492"/>
      <c r="P219" s="492"/>
      <c r="Q219" s="492"/>
      <c r="R219" s="492"/>
      <c r="S219" s="492"/>
      <c r="T219" s="492"/>
      <c r="U219" s="492"/>
      <c r="V219" s="492"/>
      <c r="W219" s="490"/>
      <c r="X219" s="516"/>
    </row>
    <row r="220" spans="1:24">
      <c r="J220" s="543"/>
      <c r="K220" s="535"/>
      <c r="L220" s="535"/>
      <c r="M220" s="536"/>
      <c r="N220" s="497"/>
      <c r="O220" s="492"/>
      <c r="P220" s="492"/>
      <c r="Q220" s="492"/>
      <c r="R220" s="492"/>
      <c r="S220" s="492"/>
      <c r="T220" s="492"/>
      <c r="U220" s="492"/>
      <c r="V220" s="492"/>
      <c r="W220" s="490"/>
      <c r="X220" s="516"/>
    </row>
    <row r="221" spans="1:24" ht="49.5" customHeight="1">
      <c r="A221" s="31" t="s">
        <v>288</v>
      </c>
      <c r="J221" s="544"/>
      <c r="K221" s="545"/>
      <c r="L221" s="545"/>
      <c r="M221" s="546"/>
      <c r="N221" s="492"/>
      <c r="O221" s="492"/>
      <c r="P221" s="492"/>
      <c r="Q221" s="492"/>
      <c r="R221" s="492"/>
      <c r="S221" s="492"/>
      <c r="T221" s="492"/>
      <c r="U221" s="492"/>
      <c r="V221" s="492"/>
      <c r="W221" s="490"/>
      <c r="X221" s="516"/>
    </row>
    <row r="222" spans="1:24">
      <c r="M222" s="489"/>
      <c r="N222" s="492"/>
      <c r="O222" s="492"/>
      <c r="P222" s="492"/>
      <c r="Q222" s="492"/>
      <c r="R222" s="492"/>
      <c r="S222" s="492"/>
      <c r="T222" s="492"/>
      <c r="U222" s="492"/>
      <c r="V222" s="492"/>
      <c r="W222" s="490"/>
      <c r="X222" s="516"/>
    </row>
    <row r="223" spans="1:24">
      <c r="A223" s="547"/>
      <c r="B223" s="548"/>
      <c r="C223" s="548"/>
      <c r="D223" s="548"/>
      <c r="E223" s="548"/>
      <c r="F223" s="514"/>
      <c r="M223" s="489"/>
      <c r="N223" s="492"/>
      <c r="O223" s="492"/>
      <c r="P223" s="492"/>
      <c r="Q223" s="492"/>
      <c r="R223" s="492"/>
      <c r="S223" s="492"/>
      <c r="T223" s="492"/>
      <c r="U223" s="492"/>
      <c r="V223" s="492"/>
      <c r="W223" s="490"/>
      <c r="X223" s="516"/>
    </row>
    <row r="224" spans="1:24">
      <c r="A224" s="2853"/>
      <c r="B224" s="549"/>
      <c r="C224" s="550"/>
      <c r="D224" s="2851"/>
      <c r="E224" s="492"/>
      <c r="F224" s="516"/>
      <c r="M224" s="489"/>
      <c r="N224" s="492"/>
      <c r="O224" s="492"/>
      <c r="P224" s="492"/>
      <c r="Q224" s="492"/>
      <c r="R224" s="492"/>
      <c r="S224" s="492"/>
      <c r="T224" s="492"/>
      <c r="U224" s="492"/>
      <c r="V224" s="492"/>
      <c r="W224" s="490"/>
      <c r="X224" s="516"/>
    </row>
    <row r="225" spans="1:24">
      <c r="A225" s="2853"/>
      <c r="B225" s="551"/>
      <c r="C225" s="550"/>
      <c r="D225" s="2851"/>
      <c r="E225" s="492"/>
      <c r="F225" s="516"/>
      <c r="M225" s="489"/>
      <c r="N225" s="492"/>
      <c r="O225" s="492"/>
      <c r="P225" s="492"/>
      <c r="Q225" s="492"/>
      <c r="R225" s="492"/>
      <c r="S225" s="492"/>
      <c r="T225" s="492"/>
      <c r="U225" s="492"/>
      <c r="V225" s="492"/>
      <c r="W225" s="490"/>
      <c r="X225" s="516"/>
    </row>
    <row r="226" spans="1:24" ht="24.75" customHeight="1">
      <c r="A226" s="552"/>
      <c r="B226" s="553"/>
      <c r="C226" s="554"/>
      <c r="D226" s="555"/>
      <c r="E226" s="492"/>
      <c r="F226" s="516"/>
      <c r="M226" s="489"/>
      <c r="N226" s="492"/>
      <c r="O226" s="492"/>
      <c r="P226" s="492"/>
      <c r="Q226" s="492"/>
      <c r="R226" s="492"/>
      <c r="S226" s="492"/>
      <c r="T226" s="492"/>
      <c r="U226" s="492"/>
      <c r="V226" s="492"/>
      <c r="W226" s="490"/>
      <c r="X226" s="516"/>
    </row>
    <row r="227" spans="1:24">
      <c r="A227" s="556"/>
      <c r="B227" s="549"/>
      <c r="C227" s="550"/>
      <c r="D227" s="2850"/>
      <c r="E227" s="492"/>
      <c r="F227" s="516"/>
      <c r="M227" s="489"/>
      <c r="N227" s="492"/>
      <c r="O227" s="492"/>
      <c r="P227" s="492"/>
      <c r="Q227" s="492"/>
      <c r="R227" s="492"/>
      <c r="S227" s="492"/>
      <c r="T227" s="492"/>
      <c r="U227" s="492"/>
      <c r="V227" s="492"/>
      <c r="W227" s="490"/>
      <c r="X227" s="516"/>
    </row>
    <row r="228" spans="1:24">
      <c r="A228" s="526"/>
      <c r="B228" s="549"/>
      <c r="C228" s="550"/>
      <c r="D228" s="2851"/>
      <c r="E228" s="492"/>
      <c r="F228" s="516"/>
      <c r="M228" s="489"/>
      <c r="N228" s="531"/>
      <c r="O228" s="492"/>
      <c r="P228" s="492"/>
      <c r="Q228" s="492"/>
      <c r="R228" s="492"/>
      <c r="S228" s="492"/>
      <c r="T228" s="492"/>
      <c r="U228" s="492"/>
      <c r="V228" s="492"/>
      <c r="W228" s="490"/>
      <c r="X228" s="516"/>
    </row>
    <row r="229" spans="1:24">
      <c r="A229" s="526"/>
      <c r="B229" s="549"/>
      <c r="C229" s="550"/>
      <c r="D229" s="2851"/>
      <c r="E229" s="492"/>
      <c r="F229" s="516"/>
      <c r="M229" s="489"/>
      <c r="N229" s="492"/>
      <c r="O229" s="557"/>
      <c r="P229" s="495"/>
      <c r="Q229" s="495"/>
      <c r="R229" s="495"/>
      <c r="S229" s="495"/>
      <c r="T229" s="492"/>
      <c r="U229" s="492"/>
      <c r="V229" s="492"/>
      <c r="W229" s="490"/>
      <c r="X229" s="516"/>
    </row>
    <row r="230" spans="1:24">
      <c r="A230" s="526"/>
      <c r="B230" s="549"/>
      <c r="C230" s="550"/>
      <c r="D230" s="2851"/>
      <c r="E230" s="492"/>
      <c r="F230" s="516"/>
      <c r="M230" s="489"/>
      <c r="N230" s="492"/>
      <c r="O230" s="557"/>
      <c r="P230" s="495"/>
      <c r="Q230" s="495"/>
      <c r="R230" s="495"/>
      <c r="S230" s="495"/>
      <c r="T230" s="492"/>
      <c r="U230" s="492"/>
      <c r="V230" s="492"/>
      <c r="W230" s="490"/>
      <c r="X230" s="516"/>
    </row>
    <row r="231" spans="1:24">
      <c r="A231" s="526"/>
      <c r="B231" s="549"/>
      <c r="C231" s="550"/>
      <c r="D231" s="2851"/>
      <c r="E231" s="492"/>
      <c r="F231" s="516"/>
      <c r="M231" s="489"/>
      <c r="N231" s="492"/>
      <c r="O231" s="492"/>
      <c r="P231" s="492"/>
      <c r="Q231" s="492"/>
      <c r="R231" s="492"/>
      <c r="S231" s="492"/>
      <c r="T231" s="492"/>
      <c r="U231" s="492"/>
      <c r="V231" s="492"/>
      <c r="W231" s="490"/>
      <c r="X231" s="516"/>
    </row>
    <row r="232" spans="1:24">
      <c r="A232" s="526"/>
      <c r="B232" s="492"/>
      <c r="C232" s="550"/>
      <c r="D232" s="558"/>
      <c r="E232" s="492"/>
      <c r="F232" s="516"/>
      <c r="M232" s="489"/>
      <c r="N232" s="497"/>
      <c r="O232" s="494"/>
      <c r="P232" s="494"/>
      <c r="Q232" s="494"/>
      <c r="R232" s="494"/>
      <c r="S232" s="494"/>
      <c r="T232" s="492"/>
      <c r="U232" s="492"/>
      <c r="V232" s="492"/>
      <c r="W232" s="490"/>
      <c r="X232" s="516"/>
    </row>
    <row r="233" spans="1:24">
      <c r="A233" s="526"/>
      <c r="B233" s="492"/>
      <c r="C233" s="492"/>
      <c r="D233" s="492"/>
      <c r="E233" s="492"/>
      <c r="F233" s="516"/>
      <c r="M233" s="489"/>
      <c r="N233" s="492"/>
      <c r="O233" s="492"/>
      <c r="P233" s="492"/>
      <c r="Q233" s="492"/>
      <c r="R233" s="492"/>
      <c r="S233" s="492"/>
      <c r="T233" s="492"/>
      <c r="U233" s="492"/>
      <c r="V233" s="492"/>
      <c r="W233" s="490"/>
      <c r="X233" s="516"/>
    </row>
    <row r="234" spans="1:24">
      <c r="A234" s="526"/>
      <c r="B234" s="492"/>
      <c r="C234" s="492"/>
      <c r="D234" s="492"/>
      <c r="E234" s="492"/>
      <c r="F234" s="516"/>
      <c r="M234" s="489"/>
      <c r="N234" s="490"/>
      <c r="O234" s="490"/>
      <c r="P234" s="490"/>
      <c r="Q234" s="490"/>
      <c r="R234" s="490"/>
      <c r="S234" s="490"/>
      <c r="T234" s="490"/>
      <c r="U234" s="490"/>
      <c r="V234" s="490"/>
      <c r="W234" s="490"/>
      <c r="X234" s="516"/>
    </row>
    <row r="235" spans="1:24">
      <c r="A235" s="526"/>
      <c r="B235" s="492"/>
      <c r="C235" s="492"/>
      <c r="D235" s="492"/>
      <c r="E235" s="492"/>
      <c r="F235" s="516"/>
      <c r="M235" s="489"/>
      <c r="N235" s="490"/>
      <c r="O235" s="490"/>
      <c r="P235" s="490"/>
      <c r="Q235" s="490"/>
      <c r="R235" s="490"/>
      <c r="S235" s="490"/>
      <c r="T235" s="490"/>
      <c r="U235" s="490"/>
      <c r="V235" s="490"/>
      <c r="W235" s="490"/>
      <c r="X235" s="516"/>
    </row>
    <row r="236" spans="1:24">
      <c r="A236" s="489"/>
      <c r="B236" s="490"/>
      <c r="C236" s="490"/>
      <c r="D236" s="490"/>
      <c r="E236" s="490"/>
      <c r="F236" s="516"/>
      <c r="M236" s="509"/>
      <c r="N236" s="510"/>
      <c r="O236" s="510"/>
      <c r="P236" s="510"/>
      <c r="Q236" s="510"/>
      <c r="R236" s="510"/>
      <c r="S236" s="510"/>
      <c r="T236" s="510"/>
      <c r="U236" s="510"/>
      <c r="V236" s="510"/>
      <c r="W236" s="510"/>
      <c r="X236" s="511"/>
    </row>
    <row r="237" spans="1:24">
      <c r="A237" s="489"/>
      <c r="B237" s="490"/>
      <c r="C237" s="490"/>
      <c r="D237" s="490"/>
      <c r="E237" s="490"/>
      <c r="F237" s="516"/>
    </row>
    <row r="238" spans="1:24">
      <c r="A238" s="489"/>
      <c r="B238" s="490"/>
      <c r="C238" s="490"/>
      <c r="D238" s="490"/>
      <c r="E238" s="490"/>
      <c r="F238" s="516"/>
    </row>
    <row r="239" spans="1:24">
      <c r="A239" s="489"/>
      <c r="B239" s="490"/>
      <c r="C239" s="490"/>
      <c r="D239" s="490"/>
      <c r="E239" s="490"/>
      <c r="F239" s="516"/>
    </row>
    <row r="240" spans="1:24">
      <c r="A240" s="509"/>
      <c r="B240" s="510"/>
      <c r="C240" s="510"/>
      <c r="D240" s="510"/>
      <c r="E240" s="510"/>
      <c r="F240" s="511"/>
    </row>
  </sheetData>
  <mergeCells count="71">
    <mergeCell ref="B1:F1"/>
    <mergeCell ref="F3:O3"/>
    <mergeCell ref="A4:O10"/>
    <mergeCell ref="D15:G15"/>
    <mergeCell ref="A17:B24"/>
    <mergeCell ref="D60:D61"/>
    <mergeCell ref="M61:T61"/>
    <mergeCell ref="P16:Q16"/>
    <mergeCell ref="R16:X16"/>
    <mergeCell ref="A40:B47"/>
    <mergeCell ref="R25:X25"/>
    <mergeCell ref="D26:G26"/>
    <mergeCell ref="R26:X26"/>
    <mergeCell ref="A28:B35"/>
    <mergeCell ref="A98:B105"/>
    <mergeCell ref="A107:A108"/>
    <mergeCell ref="A50:B58"/>
    <mergeCell ref="A60:A61"/>
    <mergeCell ref="C60:C61"/>
    <mergeCell ref="B107:B108"/>
    <mergeCell ref="C107:C108"/>
    <mergeCell ref="M66:U66"/>
    <mergeCell ref="M67:U67"/>
    <mergeCell ref="A72:B79"/>
    <mergeCell ref="A85:B92"/>
    <mergeCell ref="A96:A97"/>
    <mergeCell ref="B96:B97"/>
    <mergeCell ref="C96:C97"/>
    <mergeCell ref="D96:E96"/>
    <mergeCell ref="A62:B69"/>
    <mergeCell ref="M62:X62"/>
    <mergeCell ref="M63:X63"/>
    <mergeCell ref="M64:X64"/>
    <mergeCell ref="M65:W65"/>
    <mergeCell ref="D107:D108"/>
    <mergeCell ref="A144:B151"/>
    <mergeCell ref="A118:A119"/>
    <mergeCell ref="B118:B119"/>
    <mergeCell ref="C118:C119"/>
    <mergeCell ref="D118:D119"/>
    <mergeCell ref="A120:B127"/>
    <mergeCell ref="A129:A130"/>
    <mergeCell ref="B129:B130"/>
    <mergeCell ref="A131:B137"/>
    <mergeCell ref="A142:A143"/>
    <mergeCell ref="B142:B143"/>
    <mergeCell ref="C142:C143"/>
    <mergeCell ref="A109:B116"/>
    <mergeCell ref="J142:N142"/>
    <mergeCell ref="A153:A154"/>
    <mergeCell ref="B153:B154"/>
    <mergeCell ref="C153:C154"/>
    <mergeCell ref="A155:B162"/>
    <mergeCell ref="A165:B172"/>
    <mergeCell ref="I176:O176"/>
    <mergeCell ref="A178:B185"/>
    <mergeCell ref="A187:A188"/>
    <mergeCell ref="B187:B188"/>
    <mergeCell ref="C187:C188"/>
    <mergeCell ref="D187:G187"/>
    <mergeCell ref="H187:L187"/>
    <mergeCell ref="A176:A177"/>
    <mergeCell ref="B176:B177"/>
    <mergeCell ref="C176:C177"/>
    <mergeCell ref="D227:D231"/>
    <mergeCell ref="A189:B196"/>
    <mergeCell ref="A202:B209"/>
    <mergeCell ref="B213:B219"/>
    <mergeCell ref="O214:P214"/>
    <mergeCell ref="A224:A225"/>
    <mergeCell ref="D224:D22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1:Y227"/>
  <sheetViews>
    <sheetView zoomScale="50" zoomScaleNormal="50" workbookViewId="0">
      <selection activeCell="D224" sqref="D22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883" t="s">
        <v>289</v>
      </c>
      <c r="C1" s="2884"/>
      <c r="D1" s="2884"/>
      <c r="E1" s="2884"/>
      <c r="F1" s="2884"/>
    </row>
    <row r="2" spans="1:25" s="2" customFormat="1" ht="20.100000000000001" customHeight="1" thickBot="1">
      <c r="B2" s="559" t="s">
        <v>290</v>
      </c>
    </row>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52.5"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31" customFormat="1" ht="129" customHeight="1" thickBo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885" t="s">
        <v>291</v>
      </c>
      <c r="B17" s="2886"/>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218"/>
      <c r="B18" s="2190"/>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c r="A19" s="2218"/>
      <c r="B19" s="2190"/>
      <c r="C19" s="39">
        <v>2016</v>
      </c>
      <c r="D19" s="40">
        <v>4</v>
      </c>
      <c r="E19" s="41"/>
      <c r="F19" s="41"/>
      <c r="G19" s="35">
        <f t="shared" si="0"/>
        <v>4</v>
      </c>
      <c r="H19" s="42">
        <v>2</v>
      </c>
      <c r="I19" s="41"/>
      <c r="J19" s="41"/>
      <c r="K19" s="41"/>
      <c r="L19" s="41"/>
      <c r="M19" s="41"/>
      <c r="N19" s="41"/>
      <c r="O19" s="43">
        <v>2</v>
      </c>
      <c r="P19" s="38"/>
      <c r="Q19" s="38"/>
      <c r="R19" s="38"/>
      <c r="S19" s="38"/>
      <c r="T19" s="38"/>
      <c r="U19" s="38"/>
      <c r="V19" s="38"/>
      <c r="W19" s="38"/>
      <c r="X19" s="38"/>
      <c r="Y19" s="38"/>
    </row>
    <row r="20" spans="1:25">
      <c r="A20" s="2218"/>
      <c r="B20" s="2190"/>
      <c r="C20" s="39">
        <v>2017</v>
      </c>
      <c r="D20" s="40"/>
      <c r="E20" s="41"/>
      <c r="F20" s="41"/>
      <c r="G20" s="35">
        <f t="shared" si="0"/>
        <v>0</v>
      </c>
      <c r="H20" s="42"/>
      <c r="I20" s="41"/>
      <c r="J20" s="41"/>
      <c r="K20" s="41"/>
      <c r="L20" s="41"/>
      <c r="M20" s="41"/>
      <c r="N20" s="41"/>
      <c r="O20" s="43"/>
      <c r="P20" s="38"/>
      <c r="Q20" s="38"/>
      <c r="R20" s="38"/>
      <c r="S20" s="38"/>
      <c r="T20" s="38"/>
      <c r="U20" s="38"/>
      <c r="V20" s="38"/>
      <c r="W20" s="38"/>
      <c r="X20" s="38"/>
      <c r="Y20" s="38"/>
    </row>
    <row r="21" spans="1:25">
      <c r="A21" s="2218"/>
      <c r="B21" s="2190"/>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218"/>
      <c r="B22" s="2190"/>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218"/>
      <c r="B23" s="2190"/>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17" customHeight="1" thickBot="1">
      <c r="A24" s="2219"/>
      <c r="B24" s="2193"/>
      <c r="C24" s="45" t="s">
        <v>13</v>
      </c>
      <c r="D24" s="46">
        <f>SUM(D17:D23)</f>
        <v>4</v>
      </c>
      <c r="E24" s="47">
        <f>SUM(E17:E23)</f>
        <v>0</v>
      </c>
      <c r="F24" s="47">
        <f>SUM(F17:F23)</f>
        <v>0</v>
      </c>
      <c r="G24" s="48">
        <f>SUM(D24:F24)</f>
        <v>4</v>
      </c>
      <c r="H24" s="49">
        <f>SUM(H17:H23)</f>
        <v>2</v>
      </c>
      <c r="I24" s="50">
        <f>SUM(I17:I23)</f>
        <v>0</v>
      </c>
      <c r="J24" s="50">
        <f t="shared" ref="J24:N24" si="1">SUM(J17:J23)</f>
        <v>0</v>
      </c>
      <c r="K24" s="50">
        <f t="shared" si="1"/>
        <v>0</v>
      </c>
      <c r="L24" s="50">
        <f t="shared" si="1"/>
        <v>0</v>
      </c>
      <c r="M24" s="50">
        <f t="shared" si="1"/>
        <v>0</v>
      </c>
      <c r="N24" s="50">
        <f t="shared" si="1"/>
        <v>0</v>
      </c>
      <c r="O24" s="51">
        <f>SUM(O17:O23)</f>
        <v>2</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31"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42"/>
      <c r="E29" s="41"/>
      <c r="F29" s="41"/>
      <c r="G29" s="59">
        <f t="shared" ref="G29:G35" si="2">SUM(D29:F29)</f>
        <v>0</v>
      </c>
      <c r="H29" s="38"/>
      <c r="I29" s="38"/>
      <c r="J29" s="38"/>
      <c r="K29" s="38"/>
      <c r="L29" s="38"/>
      <c r="M29" s="38"/>
      <c r="N29" s="38"/>
      <c r="O29" s="38"/>
      <c r="P29" s="38"/>
      <c r="Q29" s="8"/>
    </row>
    <row r="30" spans="1:25">
      <c r="A30" s="2069"/>
      <c r="B30" s="2068"/>
      <c r="C30" s="60">
        <v>2016</v>
      </c>
      <c r="D30" s="42">
        <v>285</v>
      </c>
      <c r="E30" s="41"/>
      <c r="F30" s="41"/>
      <c r="G30" s="59">
        <f t="shared" si="2"/>
        <v>285</v>
      </c>
      <c r="H30" s="38"/>
      <c r="I30" s="38"/>
      <c r="J30" s="38"/>
      <c r="K30" s="38"/>
      <c r="L30" s="38"/>
      <c r="M30" s="38"/>
      <c r="N30" s="38"/>
      <c r="O30" s="38"/>
      <c r="P30" s="38"/>
      <c r="Q30" s="8"/>
    </row>
    <row r="31" spans="1:25">
      <c r="A31" s="2069"/>
      <c r="B31" s="2068"/>
      <c r="C31" s="60">
        <v>2017</v>
      </c>
      <c r="D31" s="42"/>
      <c r="E31" s="41"/>
      <c r="F31" s="41"/>
      <c r="G31" s="59">
        <f t="shared" si="2"/>
        <v>0</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285</v>
      </c>
      <c r="E35" s="47">
        <f>SUM(E28:E34)</f>
        <v>0</v>
      </c>
      <c r="F35" s="47">
        <f>SUM(F28:F34)</f>
        <v>0</v>
      </c>
      <c r="G35" s="51">
        <f t="shared" si="2"/>
        <v>285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887" t="s">
        <v>292</v>
      </c>
      <c r="B40" s="2888"/>
      <c r="C40" s="73">
        <v>2014</v>
      </c>
      <c r="D40" s="33"/>
      <c r="E40" s="32"/>
      <c r="F40" s="8"/>
      <c r="G40" s="38"/>
      <c r="H40" s="38"/>
    </row>
    <row r="41" spans="1:17">
      <c r="A41" s="2887"/>
      <c r="B41" s="2888"/>
      <c r="C41" s="74">
        <v>2015</v>
      </c>
      <c r="D41" s="40"/>
      <c r="E41" s="39"/>
      <c r="F41" s="8"/>
      <c r="G41" s="38"/>
      <c r="H41" s="38"/>
    </row>
    <row r="42" spans="1:17">
      <c r="A42" s="2887"/>
      <c r="B42" s="2888"/>
      <c r="C42" s="74">
        <v>2016</v>
      </c>
      <c r="D42" s="40"/>
      <c r="E42" s="39"/>
      <c r="F42" s="8"/>
      <c r="G42" s="38"/>
      <c r="H42" s="38"/>
    </row>
    <row r="43" spans="1:17">
      <c r="A43" s="2887"/>
      <c r="B43" s="2888"/>
      <c r="C43" s="74">
        <v>2017</v>
      </c>
      <c r="D43" s="40"/>
      <c r="E43" s="39"/>
      <c r="F43" s="8"/>
      <c r="G43" s="38"/>
      <c r="H43" s="38"/>
    </row>
    <row r="44" spans="1:17">
      <c r="A44" s="2887"/>
      <c r="B44" s="2888"/>
      <c r="C44" s="74">
        <v>2018</v>
      </c>
      <c r="D44" s="40"/>
      <c r="E44" s="39"/>
      <c r="F44" s="8"/>
      <c r="G44" s="38"/>
      <c r="H44" s="38"/>
    </row>
    <row r="45" spans="1:17">
      <c r="A45" s="2887"/>
      <c r="B45" s="2888"/>
      <c r="C45" s="74">
        <v>2019</v>
      </c>
      <c r="D45" s="40"/>
      <c r="E45" s="39"/>
      <c r="F45" s="8"/>
      <c r="G45" s="38"/>
      <c r="H45" s="38"/>
    </row>
    <row r="46" spans="1:17">
      <c r="A46" s="2887"/>
      <c r="B46" s="2888"/>
      <c r="C46" s="74">
        <v>2020</v>
      </c>
      <c r="D46" s="40"/>
      <c r="E46" s="39"/>
      <c r="F46" s="8"/>
      <c r="G46" s="38"/>
      <c r="H46" s="38"/>
    </row>
    <row r="47" spans="1:17" ht="15.75" thickBot="1">
      <c r="A47" s="2889"/>
      <c r="B47" s="2890"/>
      <c r="C47" s="45" t="s">
        <v>13</v>
      </c>
      <c r="D47" s="46">
        <f>SUM(D40:D46)</f>
        <v>0</v>
      </c>
      <c r="E47" s="76">
        <f>SUM(E40:E46)</f>
        <v>0</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t="s">
        <v>293</v>
      </c>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761" t="s">
        <v>294</v>
      </c>
      <c r="B62" s="2184"/>
      <c r="C62" s="99">
        <v>2014</v>
      </c>
      <c r="D62" s="100"/>
      <c r="E62" s="101"/>
      <c r="F62" s="102"/>
      <c r="G62" s="102"/>
      <c r="H62" s="102"/>
      <c r="I62" s="102"/>
      <c r="J62" s="102"/>
      <c r="K62" s="102"/>
      <c r="L62" s="37"/>
      <c r="M62" s="8"/>
      <c r="N62" s="8"/>
      <c r="O62" s="8"/>
    </row>
    <row r="63" spans="1:15">
      <c r="A63" s="2761"/>
      <c r="B63" s="2184"/>
      <c r="C63" s="103">
        <v>2015</v>
      </c>
      <c r="D63" s="104"/>
      <c r="E63" s="105"/>
      <c r="F63" s="41"/>
      <c r="G63" s="41"/>
      <c r="H63" s="41"/>
      <c r="I63" s="41"/>
      <c r="J63" s="41"/>
      <c r="K63" s="41"/>
      <c r="L63" s="86"/>
      <c r="M63" s="8"/>
      <c r="N63" s="8"/>
      <c r="O63" s="8"/>
    </row>
    <row r="64" spans="1:15">
      <c r="A64" s="2761"/>
      <c r="B64" s="2184"/>
      <c r="C64" s="103">
        <v>2016</v>
      </c>
      <c r="D64" s="104">
        <v>25</v>
      </c>
      <c r="E64" s="105"/>
      <c r="F64" s="41">
        <v>23</v>
      </c>
      <c r="G64" s="41">
        <v>2</v>
      </c>
      <c r="H64" s="41"/>
      <c r="I64" s="41"/>
      <c r="J64" s="41"/>
      <c r="K64" s="41"/>
      <c r="L64" s="86"/>
      <c r="M64" s="8"/>
      <c r="N64" s="8"/>
      <c r="O64" s="8"/>
    </row>
    <row r="65" spans="1:20">
      <c r="A65" s="2761"/>
      <c r="B65" s="2184"/>
      <c r="C65" s="103">
        <v>2017</v>
      </c>
      <c r="D65" s="104">
        <v>6</v>
      </c>
      <c r="E65" s="105">
        <v>3</v>
      </c>
      <c r="F65" s="41"/>
      <c r="G65" s="41">
        <v>2</v>
      </c>
      <c r="H65" s="41">
        <v>1</v>
      </c>
      <c r="I65" s="41"/>
      <c r="J65" s="41"/>
      <c r="K65" s="41"/>
      <c r="L65" s="86"/>
      <c r="M65" s="8"/>
      <c r="N65" s="8"/>
      <c r="O65" s="8"/>
    </row>
    <row r="66" spans="1:20">
      <c r="A66" s="2761"/>
      <c r="B66" s="2184"/>
      <c r="C66" s="103">
        <v>2018</v>
      </c>
      <c r="D66" s="104"/>
      <c r="E66" s="105"/>
      <c r="F66" s="41"/>
      <c r="G66" s="41"/>
      <c r="H66" s="41"/>
      <c r="I66" s="41"/>
      <c r="J66" s="41"/>
      <c r="K66" s="41"/>
      <c r="L66" s="86"/>
      <c r="M66" s="8"/>
      <c r="N66" s="8"/>
      <c r="O66" s="8"/>
    </row>
    <row r="67" spans="1:20" ht="17.25" customHeight="1">
      <c r="A67" s="2761"/>
      <c r="B67" s="2184"/>
      <c r="C67" s="103">
        <v>2019</v>
      </c>
      <c r="D67" s="104"/>
      <c r="E67" s="105"/>
      <c r="F67" s="41"/>
      <c r="G67" s="41"/>
      <c r="H67" s="41"/>
      <c r="I67" s="41"/>
      <c r="J67" s="41"/>
      <c r="K67" s="41"/>
      <c r="L67" s="86"/>
      <c r="M67" s="8"/>
      <c r="N67" s="8"/>
      <c r="O67" s="8"/>
    </row>
    <row r="68" spans="1:20" ht="16.5" customHeight="1">
      <c r="A68" s="2761"/>
      <c r="B68" s="2184"/>
      <c r="C68" s="103">
        <v>2020</v>
      </c>
      <c r="D68" s="104"/>
      <c r="E68" s="105"/>
      <c r="F68" s="41"/>
      <c r="G68" s="41"/>
      <c r="H68" s="41"/>
      <c r="I68" s="41"/>
      <c r="J68" s="41"/>
      <c r="K68" s="41"/>
      <c r="L68" s="86"/>
      <c r="M68" s="77"/>
      <c r="N68" s="77"/>
      <c r="O68" s="77"/>
    </row>
    <row r="69" spans="1:20" ht="154.5" customHeight="1" thickBot="1">
      <c r="A69" s="2185"/>
      <c r="B69" s="2186"/>
      <c r="C69" s="106" t="s">
        <v>13</v>
      </c>
      <c r="D69" s="107">
        <f>SUM(D62:D68)</f>
        <v>31</v>
      </c>
      <c r="E69" s="108">
        <f>SUM(E62:E68)</f>
        <v>3</v>
      </c>
      <c r="F69" s="109">
        <f t="shared" ref="F69:I69" si="4">SUM(F62:F68)</f>
        <v>23</v>
      </c>
      <c r="G69" s="109">
        <f t="shared" si="4"/>
        <v>4</v>
      </c>
      <c r="H69" s="109">
        <f t="shared" si="4"/>
        <v>1</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31"/>
      <c r="Q70" s="31"/>
      <c r="R70" s="31"/>
      <c r="S70" s="31"/>
      <c r="T70" s="31"/>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t="s">
        <v>295</v>
      </c>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c r="H73" s="40"/>
      <c r="I73" s="40"/>
      <c r="J73" s="41"/>
      <c r="K73" s="41"/>
      <c r="L73" s="41"/>
      <c r="M73" s="41"/>
      <c r="N73" s="41"/>
      <c r="O73" s="86"/>
    </row>
    <row r="74" spans="1:20">
      <c r="A74" s="2069"/>
      <c r="B74" s="2039"/>
      <c r="C74" s="74">
        <v>2016</v>
      </c>
      <c r="D74" s="128"/>
      <c r="E74" s="128"/>
      <c r="F74" s="128">
        <v>1</v>
      </c>
      <c r="G74" s="125">
        <v>1</v>
      </c>
      <c r="H74" s="40">
        <v>1</v>
      </c>
      <c r="I74" s="40"/>
      <c r="J74" s="41"/>
      <c r="K74" s="41"/>
      <c r="L74" s="41"/>
      <c r="M74" s="41"/>
      <c r="N74" s="41"/>
      <c r="O74" s="86"/>
    </row>
    <row r="75" spans="1:20">
      <c r="A75" s="2069"/>
      <c r="B75" s="2039"/>
      <c r="C75" s="74">
        <v>2017</v>
      </c>
      <c r="D75" s="128"/>
      <c r="E75" s="128"/>
      <c r="F75" s="128"/>
      <c r="G75" s="125">
        <f t="shared" ref="G75:G78" si="5">SUM(D75:F75)</f>
        <v>0</v>
      </c>
      <c r="H75" s="40"/>
      <c r="I75" s="40"/>
      <c r="J75" s="41"/>
      <c r="K75" s="41"/>
      <c r="L75" s="41"/>
      <c r="M75" s="41"/>
      <c r="N75" s="41"/>
      <c r="O75" s="86"/>
    </row>
    <row r="76" spans="1:20">
      <c r="A76" s="2069"/>
      <c r="B76" s="2039"/>
      <c r="C76" s="74">
        <v>2018</v>
      </c>
      <c r="D76" s="128"/>
      <c r="E76" s="128"/>
      <c r="F76" s="128"/>
      <c r="G76" s="125">
        <f t="shared" si="5"/>
        <v>0</v>
      </c>
      <c r="H76" s="40"/>
      <c r="I76" s="40"/>
      <c r="J76" s="41"/>
      <c r="K76" s="41"/>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0</v>
      </c>
      <c r="F79" s="107">
        <f>SUM(F72:F78)</f>
        <v>1</v>
      </c>
      <c r="G79" s="130">
        <f>SUM(G72:G78)</f>
        <v>1</v>
      </c>
      <c r="H79" s="131">
        <v>1</v>
      </c>
      <c r="I79" s="132">
        <f t="shared" ref="I79:O79" si="6">SUM(I72:I78)</f>
        <v>0</v>
      </c>
      <c r="J79" s="109">
        <f t="shared" si="6"/>
        <v>0</v>
      </c>
      <c r="K79" s="109">
        <f t="shared" si="6"/>
        <v>0</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31"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338"/>
      <c r="B85" s="2874"/>
      <c r="C85" s="73">
        <v>2014</v>
      </c>
      <c r="D85" s="147"/>
      <c r="E85" s="148"/>
      <c r="F85" s="34"/>
      <c r="G85" s="34"/>
      <c r="H85" s="34"/>
      <c r="I85" s="34"/>
      <c r="J85" s="34"/>
      <c r="K85" s="37"/>
    </row>
    <row r="86" spans="1:16">
      <c r="A86" s="2338"/>
      <c r="B86" s="2874"/>
      <c r="C86" s="74">
        <v>2015</v>
      </c>
      <c r="D86" s="149"/>
      <c r="E86" s="105"/>
      <c r="F86" s="41"/>
      <c r="G86" s="41"/>
      <c r="H86" s="41"/>
      <c r="I86" s="41"/>
      <c r="J86" s="41"/>
      <c r="K86" s="86"/>
    </row>
    <row r="87" spans="1:16">
      <c r="A87" s="2338"/>
      <c r="B87" s="2874"/>
      <c r="C87" s="74">
        <v>2016</v>
      </c>
      <c r="D87" s="149"/>
      <c r="E87" s="105"/>
      <c r="F87" s="41"/>
      <c r="G87" s="41"/>
      <c r="H87" s="41"/>
      <c r="I87" s="41"/>
      <c r="J87" s="41"/>
      <c r="K87" s="86"/>
    </row>
    <row r="88" spans="1:16">
      <c r="A88" s="2338"/>
      <c r="B88" s="2874"/>
      <c r="C88" s="74">
        <v>2017</v>
      </c>
      <c r="D88" s="149"/>
      <c r="E88" s="105"/>
      <c r="F88" s="41"/>
      <c r="G88" s="41"/>
      <c r="H88" s="41"/>
      <c r="I88" s="41"/>
      <c r="J88" s="41"/>
      <c r="K88" s="86"/>
    </row>
    <row r="89" spans="1:16">
      <c r="A89" s="2338"/>
      <c r="B89" s="2874"/>
      <c r="C89" s="74">
        <v>2018</v>
      </c>
      <c r="D89" s="149"/>
      <c r="E89" s="105"/>
      <c r="F89" s="41"/>
      <c r="G89" s="41"/>
      <c r="H89" s="41"/>
      <c r="I89" s="41"/>
      <c r="J89" s="41"/>
      <c r="K89" s="86"/>
    </row>
    <row r="90" spans="1:16">
      <c r="A90" s="2338"/>
      <c r="B90" s="2874"/>
      <c r="C90" s="74">
        <v>2019</v>
      </c>
      <c r="D90" s="149"/>
      <c r="E90" s="105"/>
      <c r="F90" s="41"/>
      <c r="G90" s="41"/>
      <c r="H90" s="41"/>
      <c r="I90" s="41"/>
      <c r="J90" s="41"/>
      <c r="K90" s="86"/>
    </row>
    <row r="91" spans="1:16">
      <c r="A91" s="2338"/>
      <c r="B91" s="2874"/>
      <c r="C91" s="74">
        <v>2020</v>
      </c>
      <c r="D91" s="149"/>
      <c r="E91" s="105"/>
      <c r="F91" s="41"/>
      <c r="G91" s="41"/>
      <c r="H91" s="41"/>
      <c r="I91" s="41"/>
      <c r="J91" s="41"/>
      <c r="K91" s="86"/>
    </row>
    <row r="92" spans="1:16" ht="18" customHeight="1" thickBot="1">
      <c r="A92" s="2882"/>
      <c r="B92" s="2875"/>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876"/>
      <c r="B98" s="2877"/>
      <c r="C98" s="99">
        <v>2014</v>
      </c>
      <c r="D98" s="33"/>
      <c r="E98" s="34"/>
      <c r="F98" s="167"/>
      <c r="G98" s="168"/>
      <c r="H98" s="168"/>
      <c r="I98" s="168"/>
      <c r="J98" s="168"/>
      <c r="K98" s="168"/>
      <c r="L98" s="168"/>
      <c r="M98" s="169"/>
      <c r="N98" s="158"/>
      <c r="O98" s="158"/>
      <c r="P98" s="158"/>
    </row>
    <row r="99" spans="1:16" ht="16.5" customHeight="1">
      <c r="A99" s="2878"/>
      <c r="B99" s="2877"/>
      <c r="C99" s="103">
        <v>2015</v>
      </c>
      <c r="D99" s="40"/>
      <c r="E99" s="41"/>
      <c r="F99" s="170"/>
      <c r="G99" s="171"/>
      <c r="H99" s="171"/>
      <c r="I99" s="171"/>
      <c r="J99" s="171"/>
      <c r="K99" s="171"/>
      <c r="L99" s="171"/>
      <c r="M99" s="172"/>
      <c r="N99" s="158"/>
      <c r="O99" s="158"/>
      <c r="P99" s="158"/>
    </row>
    <row r="100" spans="1:16" ht="16.5" customHeight="1">
      <c r="A100" s="2878"/>
      <c r="B100" s="2877"/>
      <c r="C100" s="103">
        <v>2016</v>
      </c>
      <c r="D100" s="40"/>
      <c r="E100" s="41"/>
      <c r="F100" s="170"/>
      <c r="G100" s="171"/>
      <c r="H100" s="171"/>
      <c r="I100" s="171"/>
      <c r="J100" s="171"/>
      <c r="K100" s="171"/>
      <c r="L100" s="171"/>
      <c r="M100" s="172"/>
      <c r="N100" s="158"/>
      <c r="O100" s="158"/>
      <c r="P100" s="158"/>
    </row>
    <row r="101" spans="1:16" ht="16.5" customHeight="1">
      <c r="A101" s="2878"/>
      <c r="B101" s="2877"/>
      <c r="C101" s="103">
        <v>2017</v>
      </c>
      <c r="D101" s="40"/>
      <c r="E101" s="41"/>
      <c r="F101" s="170"/>
      <c r="G101" s="171"/>
      <c r="H101" s="171"/>
      <c r="I101" s="171"/>
      <c r="J101" s="171"/>
      <c r="K101" s="171"/>
      <c r="L101" s="171"/>
      <c r="M101" s="172"/>
      <c r="N101" s="158"/>
      <c r="O101" s="158"/>
      <c r="P101" s="158"/>
    </row>
    <row r="102" spans="1:16" ht="15.75" customHeight="1">
      <c r="A102" s="2878"/>
      <c r="B102" s="2877"/>
      <c r="C102" s="103">
        <v>2018</v>
      </c>
      <c r="D102" s="40"/>
      <c r="E102" s="41"/>
      <c r="F102" s="170"/>
      <c r="G102" s="171"/>
      <c r="H102" s="171"/>
      <c r="I102" s="171"/>
      <c r="J102" s="171"/>
      <c r="K102" s="171"/>
      <c r="L102" s="171"/>
      <c r="M102" s="172"/>
      <c r="N102" s="158"/>
      <c r="O102" s="158"/>
      <c r="P102" s="158"/>
    </row>
    <row r="103" spans="1:16" ht="14.25" customHeight="1">
      <c r="A103" s="2878"/>
      <c r="B103" s="2877"/>
      <c r="C103" s="103">
        <v>2019</v>
      </c>
      <c r="D103" s="40"/>
      <c r="E103" s="41"/>
      <c r="F103" s="170"/>
      <c r="G103" s="171"/>
      <c r="H103" s="171"/>
      <c r="I103" s="171"/>
      <c r="J103" s="171"/>
      <c r="K103" s="171"/>
      <c r="L103" s="171"/>
      <c r="M103" s="172"/>
      <c r="N103" s="158"/>
      <c r="O103" s="158"/>
      <c r="P103" s="158"/>
    </row>
    <row r="104" spans="1:16" ht="14.25" customHeight="1">
      <c r="A104" s="2878"/>
      <c r="B104" s="2877"/>
      <c r="C104" s="103">
        <v>2020</v>
      </c>
      <c r="D104" s="40"/>
      <c r="E104" s="41"/>
      <c r="F104" s="170"/>
      <c r="G104" s="171"/>
      <c r="H104" s="171"/>
      <c r="I104" s="171"/>
      <c r="J104" s="171"/>
      <c r="K104" s="171"/>
      <c r="L104" s="171"/>
      <c r="M104" s="172"/>
      <c r="N104" s="158"/>
      <c r="O104" s="158"/>
      <c r="P104" s="158"/>
    </row>
    <row r="105" spans="1:16" ht="19.5" customHeight="1" thickBot="1">
      <c r="A105" s="2879"/>
      <c r="B105" s="2880"/>
      <c r="C105" s="106" t="s">
        <v>13</v>
      </c>
      <c r="D105" s="132">
        <f>SUM(D98:D104)</f>
        <v>0</v>
      </c>
      <c r="E105" s="109">
        <f t="shared" ref="E105:K105" si="8">SUM(E98:E104)</f>
        <v>0</v>
      </c>
      <c r="F105" s="173">
        <f t="shared" si="8"/>
        <v>0</v>
      </c>
      <c r="G105" s="174">
        <f t="shared" si="8"/>
        <v>0</v>
      </c>
      <c r="H105" s="174">
        <f t="shared" si="8"/>
        <v>0</v>
      </c>
      <c r="I105" s="174">
        <f>SUM(I98:I104)</f>
        <v>0</v>
      </c>
      <c r="J105" s="174">
        <f t="shared" si="8"/>
        <v>0</v>
      </c>
      <c r="K105" s="174">
        <f t="shared" si="8"/>
        <v>0</v>
      </c>
      <c r="L105" s="174">
        <f>SUM(L98:L104)</f>
        <v>0</v>
      </c>
      <c r="M105" s="175">
        <f>SUM(M98:M104)</f>
        <v>0</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881"/>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761"/>
      <c r="B120" s="2874"/>
      <c r="C120" s="99">
        <v>2014</v>
      </c>
      <c r="D120" s="34"/>
      <c r="E120" s="167"/>
      <c r="F120" s="168"/>
      <c r="G120" s="168"/>
      <c r="H120" s="168"/>
      <c r="I120" s="168"/>
      <c r="J120" s="168"/>
      <c r="K120" s="168"/>
      <c r="L120" s="169"/>
      <c r="M120" s="178"/>
      <c r="N120" s="178"/>
    </row>
    <row r="121" spans="1:14">
      <c r="A121" s="2745"/>
      <c r="B121" s="2874"/>
      <c r="C121" s="103">
        <v>2015</v>
      </c>
      <c r="D121" s="41"/>
      <c r="E121" s="170"/>
      <c r="F121" s="171"/>
      <c r="G121" s="171"/>
      <c r="H121" s="171"/>
      <c r="I121" s="171"/>
      <c r="J121" s="171"/>
      <c r="K121" s="171"/>
      <c r="L121" s="172"/>
      <c r="M121" s="178"/>
      <c r="N121" s="178"/>
    </row>
    <row r="122" spans="1:14">
      <c r="A122" s="2745"/>
      <c r="B122" s="2874"/>
      <c r="C122" s="103">
        <v>2016</v>
      </c>
      <c r="D122" s="41"/>
      <c r="E122" s="170"/>
      <c r="F122" s="171"/>
      <c r="G122" s="171"/>
      <c r="H122" s="171"/>
      <c r="I122" s="171"/>
      <c r="J122" s="171"/>
      <c r="K122" s="171"/>
      <c r="L122" s="172"/>
      <c r="M122" s="178"/>
      <c r="N122" s="178"/>
    </row>
    <row r="123" spans="1:14">
      <c r="A123" s="2745"/>
      <c r="B123" s="2874"/>
      <c r="C123" s="103">
        <v>2017</v>
      </c>
      <c r="D123" s="41"/>
      <c r="E123" s="170"/>
      <c r="F123" s="171"/>
      <c r="G123" s="171"/>
      <c r="H123" s="171"/>
      <c r="I123" s="171"/>
      <c r="J123" s="171"/>
      <c r="K123" s="171"/>
      <c r="L123" s="172"/>
      <c r="M123" s="178"/>
      <c r="N123" s="178"/>
    </row>
    <row r="124" spans="1:14">
      <c r="A124" s="2745"/>
      <c r="B124" s="2874"/>
      <c r="C124" s="103">
        <v>2018</v>
      </c>
      <c r="D124" s="41"/>
      <c r="E124" s="170"/>
      <c r="F124" s="171"/>
      <c r="G124" s="171"/>
      <c r="H124" s="171"/>
      <c r="I124" s="171"/>
      <c r="J124" s="171"/>
      <c r="K124" s="171"/>
      <c r="L124" s="172"/>
      <c r="M124" s="178"/>
      <c r="N124" s="178"/>
    </row>
    <row r="125" spans="1:14">
      <c r="A125" s="2745"/>
      <c r="B125" s="2874"/>
      <c r="C125" s="103">
        <v>2019</v>
      </c>
      <c r="D125" s="41"/>
      <c r="E125" s="170"/>
      <c r="F125" s="171"/>
      <c r="G125" s="171"/>
      <c r="H125" s="171"/>
      <c r="I125" s="171"/>
      <c r="J125" s="171"/>
      <c r="K125" s="171"/>
      <c r="L125" s="172"/>
      <c r="M125" s="178"/>
      <c r="N125" s="178"/>
    </row>
    <row r="126" spans="1:14">
      <c r="A126" s="2745"/>
      <c r="B126" s="2874"/>
      <c r="C126" s="103">
        <v>2020</v>
      </c>
      <c r="D126" s="41"/>
      <c r="E126" s="170"/>
      <c r="F126" s="171"/>
      <c r="G126" s="171"/>
      <c r="H126" s="171"/>
      <c r="I126" s="171"/>
      <c r="J126" s="171"/>
      <c r="K126" s="171"/>
      <c r="L126" s="172"/>
      <c r="M126" s="178"/>
      <c r="N126" s="178"/>
    </row>
    <row r="127" spans="1:14" ht="15.75" thickBot="1">
      <c r="A127" s="2747"/>
      <c r="B127" s="2875"/>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482" t="s">
        <v>9</v>
      </c>
      <c r="D129" s="182" t="s">
        <v>76</v>
      </c>
      <c r="E129" s="183"/>
      <c r="F129" s="183"/>
      <c r="G129" s="184"/>
      <c r="H129" s="178"/>
      <c r="I129" s="178"/>
      <c r="J129" s="178"/>
      <c r="K129" s="178"/>
      <c r="L129" s="178"/>
      <c r="M129" s="178"/>
      <c r="N129" s="178"/>
    </row>
    <row r="130" spans="1:16" ht="77.25" customHeight="1">
      <c r="A130" s="2044"/>
      <c r="B130" s="2046"/>
      <c r="C130" s="481"/>
      <c r="D130" s="159" t="s">
        <v>77</v>
      </c>
      <c r="E130" s="186" t="s">
        <v>78</v>
      </c>
      <c r="F130" s="160" t="s">
        <v>79</v>
      </c>
      <c r="G130" s="187" t="s">
        <v>13</v>
      </c>
      <c r="H130" s="178"/>
      <c r="I130" s="178"/>
      <c r="J130" s="178"/>
      <c r="K130" s="178"/>
      <c r="L130" s="178"/>
      <c r="M130" s="178"/>
      <c r="N130" s="178"/>
    </row>
    <row r="131" spans="1:16" ht="15" customHeight="1">
      <c r="A131" s="2216"/>
      <c r="B131" s="2190"/>
      <c r="C131" s="99">
        <v>2015</v>
      </c>
      <c r="D131" s="33"/>
      <c r="E131" s="34"/>
      <c r="F131" s="34"/>
      <c r="G131" s="191">
        <f t="shared" ref="G131:G136" si="11">SUM(D131:F131)</f>
        <v>0</v>
      </c>
      <c r="H131" s="178"/>
      <c r="I131" s="178"/>
      <c r="J131" s="178"/>
      <c r="K131" s="178"/>
      <c r="L131" s="178"/>
      <c r="M131" s="178"/>
      <c r="N131" s="178"/>
    </row>
    <row r="132" spans="1:16">
      <c r="A132" s="2218"/>
      <c r="B132" s="2190"/>
      <c r="C132" s="103">
        <v>2016</v>
      </c>
      <c r="D132" s="40"/>
      <c r="E132" s="41"/>
      <c r="F132" s="41"/>
      <c r="G132" s="191">
        <f t="shared" si="11"/>
        <v>0</v>
      </c>
      <c r="H132" s="178"/>
      <c r="I132" s="178"/>
      <c r="J132" s="178"/>
      <c r="K132" s="178"/>
      <c r="L132" s="178"/>
      <c r="M132" s="178"/>
      <c r="N132" s="178"/>
    </row>
    <row r="133" spans="1:16">
      <c r="A133" s="2218"/>
      <c r="B133" s="2190"/>
      <c r="C133" s="103">
        <v>2017</v>
      </c>
      <c r="D133" s="40"/>
      <c r="E133" s="41"/>
      <c r="F133" s="41"/>
      <c r="G133" s="191">
        <f t="shared" si="11"/>
        <v>0</v>
      </c>
      <c r="H133" s="178"/>
      <c r="I133" s="178"/>
      <c r="J133" s="178"/>
      <c r="K133" s="178"/>
      <c r="L133" s="178"/>
      <c r="M133" s="178"/>
      <c r="N133" s="178"/>
    </row>
    <row r="134" spans="1:16">
      <c r="A134" s="2218"/>
      <c r="B134" s="2190"/>
      <c r="C134" s="103">
        <v>2018</v>
      </c>
      <c r="D134" s="40"/>
      <c r="E134" s="41"/>
      <c r="F134" s="41"/>
      <c r="G134" s="191">
        <f t="shared" si="11"/>
        <v>0</v>
      </c>
      <c r="H134" s="178"/>
      <c r="I134" s="178"/>
      <c r="J134" s="178"/>
      <c r="K134" s="178"/>
      <c r="L134" s="178"/>
      <c r="M134" s="178"/>
      <c r="N134" s="178"/>
    </row>
    <row r="135" spans="1:16">
      <c r="A135" s="2218"/>
      <c r="B135" s="2190"/>
      <c r="C135" s="103">
        <v>2019</v>
      </c>
      <c r="D135" s="40"/>
      <c r="E135" s="41"/>
      <c r="F135" s="41"/>
      <c r="G135" s="191">
        <f t="shared" si="11"/>
        <v>0</v>
      </c>
      <c r="H135" s="178"/>
      <c r="I135" s="178"/>
      <c r="J135" s="178"/>
      <c r="K135" s="178"/>
      <c r="L135" s="178"/>
      <c r="M135" s="178"/>
      <c r="N135" s="178"/>
    </row>
    <row r="136" spans="1:16">
      <c r="A136" s="2218"/>
      <c r="B136" s="2190"/>
      <c r="C136" s="103">
        <v>2020</v>
      </c>
      <c r="D136" s="40"/>
      <c r="E136" s="41"/>
      <c r="F136" s="41"/>
      <c r="G136" s="191">
        <f t="shared" si="11"/>
        <v>0</v>
      </c>
      <c r="H136" s="178"/>
      <c r="I136" s="178"/>
      <c r="J136" s="178"/>
      <c r="K136" s="178"/>
      <c r="L136" s="178"/>
      <c r="M136" s="178"/>
      <c r="N136" s="178"/>
    </row>
    <row r="137" spans="1:16" ht="17.25" customHeight="1" thickBot="1">
      <c r="A137" s="2219"/>
      <c r="B137" s="2193"/>
      <c r="C137" s="106" t="s">
        <v>13</v>
      </c>
      <c r="D137" s="132">
        <f>SUM(D131:D136)</f>
        <v>0</v>
      </c>
      <c r="E137" s="132">
        <f t="shared" ref="E137:F137" si="12">SUM(E131:E136)</f>
        <v>0</v>
      </c>
      <c r="F137" s="132">
        <f t="shared" si="12"/>
        <v>0</v>
      </c>
      <c r="G137" s="192">
        <f>SUM(G131:G136)</f>
        <v>0</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t="s">
        <v>296</v>
      </c>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1.75"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31"/>
      <c r="L153" s="31"/>
      <c r="M153" s="31"/>
      <c r="N153" s="31"/>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31"/>
      <c r="L154" s="31"/>
      <c r="M154" s="31"/>
      <c r="N154" s="31"/>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v>0</v>
      </c>
      <c r="H157" s="214"/>
      <c r="I157" s="171"/>
      <c r="J157" s="172">
        <v>0</v>
      </c>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870"/>
      <c r="B165" s="2867"/>
      <c r="C165" s="248">
        <v>2014</v>
      </c>
      <c r="D165" s="168"/>
      <c r="E165" s="168"/>
      <c r="F165" s="168"/>
      <c r="G165" s="168"/>
      <c r="H165" s="168"/>
      <c r="I165" s="169"/>
      <c r="J165" s="476">
        <f>SUM(D165,F165,H165)</f>
        <v>0</v>
      </c>
      <c r="K165" s="250">
        <f>SUM(E165,G165,I165)</f>
        <v>0</v>
      </c>
      <c r="L165" s="522"/>
    </row>
    <row r="166" spans="1:18">
      <c r="A166" s="2871"/>
      <c r="B166" s="2190"/>
      <c r="C166" s="251">
        <v>2015</v>
      </c>
      <c r="D166" s="252"/>
      <c r="E166" s="252"/>
      <c r="F166" s="252"/>
      <c r="G166" s="252"/>
      <c r="H166" s="252"/>
      <c r="I166" s="253"/>
      <c r="J166" s="477">
        <f t="shared" ref="J166:K171" si="17">SUM(D166,F166,H166)</f>
        <v>0</v>
      </c>
      <c r="K166" s="255">
        <f t="shared" si="17"/>
        <v>0</v>
      </c>
      <c r="L166" s="522"/>
    </row>
    <row r="167" spans="1:18">
      <c r="A167" s="2871"/>
      <c r="B167" s="2190"/>
      <c r="C167" s="251">
        <v>2016</v>
      </c>
      <c r="D167" s="252"/>
      <c r="E167" s="252"/>
      <c r="F167" s="252"/>
      <c r="G167" s="252"/>
      <c r="H167" s="252"/>
      <c r="I167" s="253"/>
      <c r="J167" s="477">
        <f t="shared" si="17"/>
        <v>0</v>
      </c>
      <c r="K167" s="255">
        <f t="shared" si="17"/>
        <v>0</v>
      </c>
    </row>
    <row r="168" spans="1:18">
      <c r="A168" s="2871"/>
      <c r="B168" s="2190"/>
      <c r="C168" s="251">
        <v>2017</v>
      </c>
      <c r="D168" s="252"/>
      <c r="E168" s="158"/>
      <c r="F168" s="252"/>
      <c r="G168" s="252"/>
      <c r="H168" s="252"/>
      <c r="I168" s="253"/>
      <c r="J168" s="477">
        <f t="shared" si="17"/>
        <v>0</v>
      </c>
      <c r="K168" s="255">
        <f t="shared" si="17"/>
        <v>0</v>
      </c>
    </row>
    <row r="169" spans="1:18">
      <c r="A169" s="2871"/>
      <c r="B169" s="2190"/>
      <c r="C169" s="256">
        <v>2018</v>
      </c>
      <c r="D169" s="252"/>
      <c r="E169" s="252"/>
      <c r="F169" s="252"/>
      <c r="G169" s="257"/>
      <c r="H169" s="252"/>
      <c r="I169" s="253"/>
      <c r="J169" s="477">
        <f t="shared" si="17"/>
        <v>0</v>
      </c>
      <c r="K169" s="255">
        <f t="shared" si="17"/>
        <v>0</v>
      </c>
      <c r="L169" s="522"/>
    </row>
    <row r="170" spans="1:18">
      <c r="A170" s="2871"/>
      <c r="B170" s="2190"/>
      <c r="C170" s="251">
        <v>2019</v>
      </c>
      <c r="D170" s="158"/>
      <c r="E170" s="252"/>
      <c r="F170" s="252"/>
      <c r="G170" s="252"/>
      <c r="H170" s="257"/>
      <c r="I170" s="253"/>
      <c r="J170" s="477">
        <f t="shared" si="17"/>
        <v>0</v>
      </c>
      <c r="K170" s="255">
        <f t="shared" si="17"/>
        <v>0</v>
      </c>
      <c r="L170" s="522"/>
    </row>
    <row r="171" spans="1:18">
      <c r="A171" s="2871"/>
      <c r="B171" s="2190"/>
      <c r="C171" s="256">
        <v>2020</v>
      </c>
      <c r="D171" s="252"/>
      <c r="E171" s="252"/>
      <c r="F171" s="252"/>
      <c r="G171" s="252"/>
      <c r="H171" s="252"/>
      <c r="I171" s="253"/>
      <c r="J171" s="477">
        <f t="shared" si="17"/>
        <v>0</v>
      </c>
      <c r="K171" s="255">
        <f t="shared" si="17"/>
        <v>0</v>
      </c>
      <c r="L171" s="522"/>
    </row>
    <row r="172" spans="1:18" ht="41.25" customHeight="1" thickBot="1">
      <c r="A172" s="2872"/>
      <c r="B172" s="2193"/>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31"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31"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873" t="s">
        <v>297</v>
      </c>
      <c r="B178" s="2874"/>
      <c r="C178" s="99">
        <v>2014</v>
      </c>
      <c r="D178" s="33"/>
      <c r="E178" s="34"/>
      <c r="F178" s="34"/>
      <c r="G178" s="278">
        <f>SUM(D178:F178)</f>
        <v>0</v>
      </c>
      <c r="H178" s="148"/>
      <c r="I178" s="148"/>
      <c r="J178" s="34"/>
      <c r="K178" s="34"/>
      <c r="L178" s="34"/>
      <c r="M178" s="34"/>
      <c r="N178" s="34"/>
      <c r="O178" s="37"/>
    </row>
    <row r="179" spans="1:15">
      <c r="A179" s="2745"/>
      <c r="B179" s="2874"/>
      <c r="C179" s="103">
        <v>2015</v>
      </c>
      <c r="D179" s="40"/>
      <c r="E179" s="41"/>
      <c r="F179" s="41"/>
      <c r="G179" s="278">
        <f t="shared" ref="G179:G184" si="19">SUM(D179:F179)</f>
        <v>0</v>
      </c>
      <c r="H179" s="279"/>
      <c r="I179" s="105"/>
      <c r="J179" s="41"/>
      <c r="K179" s="41"/>
      <c r="L179" s="41"/>
      <c r="M179" s="41"/>
      <c r="N179" s="41"/>
      <c r="O179" s="86"/>
    </row>
    <row r="180" spans="1:15">
      <c r="A180" s="2745"/>
      <c r="B180" s="2874"/>
      <c r="C180" s="103">
        <v>2016</v>
      </c>
      <c r="D180" s="40">
        <v>1</v>
      </c>
      <c r="E180" s="41">
        <v>2</v>
      </c>
      <c r="F180" s="41"/>
      <c r="G180" s="278">
        <f t="shared" si="19"/>
        <v>3</v>
      </c>
      <c r="H180" s="279">
        <v>6</v>
      </c>
      <c r="I180" s="105">
        <v>1</v>
      </c>
      <c r="J180" s="41">
        <v>1</v>
      </c>
      <c r="K180" s="41">
        <v>1</v>
      </c>
      <c r="L180" s="41"/>
      <c r="M180" s="41"/>
      <c r="N180" s="41"/>
      <c r="O180" s="86"/>
    </row>
    <row r="181" spans="1:15">
      <c r="A181" s="2745"/>
      <c r="B181" s="2874"/>
      <c r="C181" s="103">
        <v>2017</v>
      </c>
      <c r="D181" s="40"/>
      <c r="E181" s="41"/>
      <c r="F181" s="41"/>
      <c r="G181" s="278">
        <f t="shared" si="19"/>
        <v>0</v>
      </c>
      <c r="H181" s="279"/>
      <c r="I181" s="105"/>
      <c r="J181" s="41"/>
      <c r="K181" s="41"/>
      <c r="L181" s="41"/>
      <c r="M181" s="41"/>
      <c r="N181" s="41"/>
      <c r="O181" s="86"/>
    </row>
    <row r="182" spans="1:15">
      <c r="A182" s="2745"/>
      <c r="B182" s="2874"/>
      <c r="C182" s="103">
        <v>2018</v>
      </c>
      <c r="D182" s="40"/>
      <c r="E182" s="41"/>
      <c r="F182" s="41"/>
      <c r="G182" s="278">
        <f t="shared" si="19"/>
        <v>0</v>
      </c>
      <c r="H182" s="279"/>
      <c r="I182" s="105"/>
      <c r="J182" s="41"/>
      <c r="K182" s="41"/>
      <c r="L182" s="41"/>
      <c r="M182" s="41"/>
      <c r="N182" s="41"/>
      <c r="O182" s="86"/>
    </row>
    <row r="183" spans="1:15">
      <c r="A183" s="2745"/>
      <c r="B183" s="2874"/>
      <c r="C183" s="103">
        <v>2019</v>
      </c>
      <c r="D183" s="40"/>
      <c r="E183" s="41"/>
      <c r="F183" s="41"/>
      <c r="G183" s="278">
        <f t="shared" si="19"/>
        <v>0</v>
      </c>
      <c r="H183" s="279"/>
      <c r="I183" s="105"/>
      <c r="J183" s="41"/>
      <c r="K183" s="41"/>
      <c r="L183" s="41"/>
      <c r="M183" s="41"/>
      <c r="N183" s="41"/>
      <c r="O183" s="86"/>
    </row>
    <row r="184" spans="1:15">
      <c r="A184" s="2745"/>
      <c r="B184" s="2874"/>
      <c r="C184" s="103">
        <v>2020</v>
      </c>
      <c r="D184" s="40"/>
      <c r="E184" s="41"/>
      <c r="F184" s="41"/>
      <c r="G184" s="278">
        <f t="shared" si="19"/>
        <v>0</v>
      </c>
      <c r="H184" s="279"/>
      <c r="I184" s="105"/>
      <c r="J184" s="41"/>
      <c r="K184" s="41"/>
      <c r="L184" s="41"/>
      <c r="M184" s="41"/>
      <c r="N184" s="41"/>
      <c r="O184" s="86"/>
    </row>
    <row r="185" spans="1:15" ht="45" customHeight="1" thickBot="1">
      <c r="A185" s="2747"/>
      <c r="B185" s="2875"/>
      <c r="C185" s="106" t="s">
        <v>13</v>
      </c>
      <c r="D185" s="132">
        <v>1</v>
      </c>
      <c r="E185" s="109">
        <v>2</v>
      </c>
      <c r="F185" s="109">
        <f>SUM(F178:F184)</f>
        <v>0</v>
      </c>
      <c r="G185" s="217">
        <f t="shared" ref="G185:O185" si="20">SUM(G178:G184)</f>
        <v>3</v>
      </c>
      <c r="H185" s="280"/>
      <c r="I185" s="108">
        <v>1</v>
      </c>
      <c r="J185" s="109">
        <v>1</v>
      </c>
      <c r="K185" s="109">
        <v>1</v>
      </c>
      <c r="L185" s="109">
        <f t="shared" si="20"/>
        <v>0</v>
      </c>
      <c r="M185" s="109">
        <f t="shared" si="20"/>
        <v>0</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866"/>
      <c r="B189" s="2867"/>
      <c r="C189" s="285">
        <v>2014</v>
      </c>
      <c r="D189" s="126"/>
      <c r="E189" s="102"/>
      <c r="F189" s="102"/>
      <c r="G189" s="286">
        <f>SUM(D189:F189)</f>
        <v>0</v>
      </c>
      <c r="H189" s="101"/>
      <c r="I189" s="102"/>
      <c r="J189" s="102"/>
      <c r="K189" s="102"/>
      <c r="L189" s="127"/>
    </row>
    <row r="190" spans="1:15">
      <c r="A190" s="2868"/>
      <c r="B190" s="2190"/>
      <c r="C190" s="74">
        <v>2015</v>
      </c>
      <c r="D190" s="40"/>
      <c r="E190" s="41"/>
      <c r="F190" s="41"/>
      <c r="G190" s="286">
        <f t="shared" ref="G190:G195" si="21">SUM(D190:F190)</f>
        <v>0</v>
      </c>
      <c r="H190" s="105"/>
      <c r="I190" s="41"/>
      <c r="J190" s="41"/>
      <c r="K190" s="41"/>
      <c r="L190" s="86"/>
    </row>
    <row r="191" spans="1:15">
      <c r="A191" s="2868"/>
      <c r="B191" s="2190"/>
      <c r="C191" s="74">
        <v>2016</v>
      </c>
      <c r="D191" s="40">
        <v>45</v>
      </c>
      <c r="E191" s="41">
        <v>80</v>
      </c>
      <c r="F191" s="41"/>
      <c r="G191" s="286">
        <f>D191+E191</f>
        <v>125</v>
      </c>
      <c r="H191" s="105"/>
      <c r="I191" s="41">
        <v>2</v>
      </c>
      <c r="J191" s="41">
        <v>33</v>
      </c>
      <c r="K191" s="41">
        <v>8</v>
      </c>
      <c r="L191" s="86">
        <v>82</v>
      </c>
    </row>
    <row r="192" spans="1:15">
      <c r="A192" s="2868"/>
      <c r="B192" s="2190"/>
      <c r="C192" s="74">
        <v>2017</v>
      </c>
      <c r="D192" s="40"/>
      <c r="E192" s="41"/>
      <c r="F192" s="41"/>
      <c r="G192" s="286">
        <f t="shared" si="21"/>
        <v>0</v>
      </c>
      <c r="H192" s="105"/>
      <c r="I192" s="41"/>
      <c r="J192" s="41"/>
      <c r="K192" s="41"/>
      <c r="L192" s="86"/>
    </row>
    <row r="193" spans="1:14">
      <c r="A193" s="2868"/>
      <c r="B193" s="2190"/>
      <c r="C193" s="74">
        <v>2018</v>
      </c>
      <c r="D193" s="40"/>
      <c r="E193" s="41"/>
      <c r="F193" s="41"/>
      <c r="G193" s="286">
        <f t="shared" si="21"/>
        <v>0</v>
      </c>
      <c r="H193" s="105"/>
      <c r="I193" s="41"/>
      <c r="J193" s="41"/>
      <c r="K193" s="41"/>
      <c r="L193" s="86"/>
    </row>
    <row r="194" spans="1:14">
      <c r="A194" s="2868"/>
      <c r="B194" s="2190"/>
      <c r="C194" s="74">
        <v>2019</v>
      </c>
      <c r="D194" s="40"/>
      <c r="E194" s="41"/>
      <c r="F194" s="41"/>
      <c r="G194" s="286">
        <f t="shared" si="21"/>
        <v>0</v>
      </c>
      <c r="H194" s="105"/>
      <c r="I194" s="41"/>
      <c r="J194" s="41"/>
      <c r="K194" s="41"/>
      <c r="L194" s="86"/>
    </row>
    <row r="195" spans="1:14">
      <c r="A195" s="2868"/>
      <c r="B195" s="2190"/>
      <c r="C195" s="74">
        <v>2020</v>
      </c>
      <c r="D195" s="40"/>
      <c r="E195" s="41"/>
      <c r="F195" s="41"/>
      <c r="G195" s="286">
        <f t="shared" si="21"/>
        <v>0</v>
      </c>
      <c r="H195" s="105"/>
      <c r="I195" s="41"/>
      <c r="J195" s="41"/>
      <c r="K195" s="41"/>
      <c r="L195" s="86"/>
    </row>
    <row r="196" spans="1:14" ht="15.75" thickBot="1">
      <c r="A196" s="2869"/>
      <c r="B196" s="2193"/>
      <c r="C196" s="129" t="s">
        <v>13</v>
      </c>
      <c r="D196" s="132">
        <v>45</v>
      </c>
      <c r="E196" s="109">
        <f t="shared" ref="E196:L196" si="22">SUM(E189:E195)</f>
        <v>80</v>
      </c>
      <c r="F196" s="109">
        <f t="shared" si="22"/>
        <v>0</v>
      </c>
      <c r="G196" s="290">
        <f t="shared" si="22"/>
        <v>125</v>
      </c>
      <c r="H196" s="108">
        <f t="shared" si="22"/>
        <v>0</v>
      </c>
      <c r="I196" s="109">
        <f t="shared" si="22"/>
        <v>2</v>
      </c>
      <c r="J196" s="109">
        <f t="shared" si="22"/>
        <v>33</v>
      </c>
      <c r="K196" s="109">
        <f t="shared" si="22"/>
        <v>8</v>
      </c>
      <c r="L196" s="110">
        <f t="shared" si="22"/>
        <v>82</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31"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218"/>
      <c r="B202" s="2190"/>
      <c r="C202" s="73">
        <v>2014</v>
      </c>
      <c r="D202" s="33"/>
      <c r="E202" s="34"/>
      <c r="F202" s="34"/>
      <c r="G202" s="32"/>
      <c r="H202" s="303"/>
      <c r="I202" s="304"/>
      <c r="J202" s="305"/>
      <c r="K202" s="34"/>
      <c r="L202" s="37"/>
    </row>
    <row r="203" spans="1:14">
      <c r="A203" s="2218"/>
      <c r="B203" s="2190"/>
      <c r="C203" s="74">
        <v>2015</v>
      </c>
      <c r="D203" s="40"/>
      <c r="E203" s="41"/>
      <c r="F203" s="41"/>
      <c r="G203" s="39"/>
      <c r="H203" s="306"/>
      <c r="I203" s="307"/>
      <c r="J203" s="308"/>
      <c r="K203" s="41"/>
      <c r="L203" s="86"/>
    </row>
    <row r="204" spans="1:14">
      <c r="A204" s="2218"/>
      <c r="B204" s="2190"/>
      <c r="C204" s="74">
        <v>2016</v>
      </c>
      <c r="D204" s="40"/>
      <c r="E204" s="41"/>
      <c r="F204" s="41"/>
      <c r="G204" s="39"/>
      <c r="H204" s="306"/>
      <c r="I204" s="307"/>
      <c r="J204" s="308"/>
      <c r="K204" s="41"/>
      <c r="L204" s="86"/>
    </row>
    <row r="205" spans="1:14">
      <c r="A205" s="2218"/>
      <c r="B205" s="2190"/>
      <c r="C205" s="74">
        <v>2017</v>
      </c>
      <c r="D205" s="40"/>
      <c r="E205" s="41"/>
      <c r="F205" s="41"/>
      <c r="G205" s="39"/>
      <c r="H205" s="306"/>
      <c r="I205" s="307"/>
      <c r="J205" s="308"/>
      <c r="K205" s="41"/>
      <c r="L205" s="86"/>
    </row>
    <row r="206" spans="1:14">
      <c r="A206" s="2218"/>
      <c r="B206" s="2190"/>
      <c r="C206" s="74">
        <v>2018</v>
      </c>
      <c r="D206" s="40"/>
      <c r="E206" s="41"/>
      <c r="F206" s="41"/>
      <c r="G206" s="39"/>
      <c r="H206" s="306"/>
      <c r="I206" s="307"/>
      <c r="J206" s="308"/>
      <c r="K206" s="41"/>
      <c r="L206" s="86"/>
    </row>
    <row r="207" spans="1:14">
      <c r="A207" s="2218"/>
      <c r="B207" s="2190"/>
      <c r="C207" s="74">
        <v>2019</v>
      </c>
      <c r="D207" s="40"/>
      <c r="E207" s="41"/>
      <c r="F207" s="41"/>
      <c r="G207" s="39"/>
      <c r="H207" s="306"/>
      <c r="I207" s="307"/>
      <c r="J207" s="308"/>
      <c r="K207" s="41"/>
      <c r="L207" s="86"/>
    </row>
    <row r="208" spans="1:14">
      <c r="A208" s="2218"/>
      <c r="B208" s="2190"/>
      <c r="C208" s="74">
        <v>2020</v>
      </c>
      <c r="D208" s="309"/>
      <c r="E208" s="310"/>
      <c r="F208" s="310"/>
      <c r="G208" s="311"/>
      <c r="H208" s="312"/>
      <c r="I208" s="313"/>
      <c r="J208" s="314"/>
      <c r="K208" s="310"/>
      <c r="L208" s="315"/>
    </row>
    <row r="209" spans="1:12" ht="20.25" customHeight="1" thickBot="1">
      <c r="A209" s="2219"/>
      <c r="B209" s="2193"/>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865" t="s">
        <v>298</v>
      </c>
      <c r="C213" s="73"/>
      <c r="D213" s="128"/>
      <c r="E213" s="1534">
        <f>SUM(E214:E217)</f>
        <v>60950.69</v>
      </c>
      <c r="F213" s="1535">
        <v>0</v>
      </c>
      <c r="G213" s="128"/>
      <c r="H213" s="128"/>
      <c r="I213" s="327"/>
    </row>
    <row r="214" spans="1:12">
      <c r="A214" t="s">
        <v>153</v>
      </c>
      <c r="B214" s="2208"/>
      <c r="C214" s="73"/>
      <c r="D214" s="455"/>
      <c r="E214" s="560">
        <v>22479.27</v>
      </c>
      <c r="F214" s="455">
        <v>0</v>
      </c>
      <c r="G214" s="128"/>
      <c r="H214" s="128"/>
      <c r="I214" s="327"/>
    </row>
    <row r="215" spans="1:12">
      <c r="A215" t="s">
        <v>155</v>
      </c>
      <c r="B215" s="2208"/>
      <c r="C215" s="73"/>
      <c r="D215" s="128"/>
      <c r="E215" s="421"/>
      <c r="F215" s="128"/>
      <c r="G215" s="128"/>
      <c r="H215" s="128"/>
      <c r="I215" s="327"/>
    </row>
    <row r="216" spans="1:12">
      <c r="A216" t="s">
        <v>157</v>
      </c>
      <c r="B216" s="2208"/>
      <c r="C216" s="73"/>
      <c r="D216" s="128"/>
      <c r="E216" s="421"/>
      <c r="F216" s="128"/>
      <c r="G216" s="128"/>
      <c r="H216" s="128"/>
      <c r="I216" s="327"/>
    </row>
    <row r="217" spans="1:12">
      <c r="A217" t="s">
        <v>158</v>
      </c>
      <c r="B217" s="2208"/>
      <c r="C217" s="73"/>
      <c r="D217" s="128"/>
      <c r="E217" s="369">
        <v>38471.42</v>
      </c>
      <c r="F217" s="1974">
        <v>0</v>
      </c>
      <c r="G217" s="128"/>
      <c r="H217" s="128"/>
      <c r="I217" s="327"/>
    </row>
    <row r="218" spans="1:12" ht="30">
      <c r="A218" s="31" t="s">
        <v>159</v>
      </c>
      <c r="B218" s="2208"/>
      <c r="C218" s="73"/>
      <c r="D218" s="455"/>
      <c r="E218" s="560">
        <v>94378.25</v>
      </c>
      <c r="F218" s="128">
        <v>46933.56</v>
      </c>
      <c r="G218" s="128"/>
      <c r="H218" s="128"/>
      <c r="I218" s="327"/>
    </row>
    <row r="219" spans="1:12" ht="15.75" thickBot="1">
      <c r="A219" s="349"/>
      <c r="B219" s="2209"/>
      <c r="C219" s="45" t="s">
        <v>13</v>
      </c>
      <c r="D219" s="333"/>
      <c r="E219" s="333">
        <f t="shared" ref="E219:I219" si="24">SUM(E214:E218)</f>
        <v>155328.94</v>
      </c>
      <c r="F219" s="333">
        <f t="shared" si="24"/>
        <v>46933.56</v>
      </c>
      <c r="G219" s="333">
        <f t="shared" si="24"/>
        <v>0</v>
      </c>
      <c r="H219" s="333">
        <f t="shared" si="24"/>
        <v>0</v>
      </c>
      <c r="I219" s="333">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hyperlinks>
    <hyperlink ref="A40" display="brak statystyki wejść na stronę internetową - brak zliczania wejść ze względów technicznych (www.zodr.pl)"/>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Y230"/>
  <sheetViews>
    <sheetView tabSelected="1" zoomScale="70" zoomScaleNormal="70" workbookViewId="0">
      <selection activeCell="A6" sqref="A6"/>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15" ht="26.45" customHeight="1">
      <c r="A1" s="1991" t="s">
        <v>616</v>
      </c>
    </row>
    <row r="2" spans="1:15" ht="26.25">
      <c r="A2" s="1992" t="s">
        <v>617</v>
      </c>
    </row>
    <row r="4" spans="1:15" s="2" customFormat="1" ht="31.5">
      <c r="A4" s="1" t="s">
        <v>0</v>
      </c>
      <c r="B4" s="1995" t="s">
        <v>584</v>
      </c>
      <c r="C4" s="1996"/>
      <c r="D4" s="1996"/>
      <c r="E4" s="1996"/>
      <c r="F4" s="1996"/>
    </row>
    <row r="5" spans="1:15" s="2" customFormat="1" ht="20.100000000000001" customHeight="1" thickBot="1">
      <c r="B5" s="559"/>
    </row>
    <row r="6" spans="1:15" s="5" customFormat="1" ht="20.100000000000001" customHeight="1">
      <c r="A6" s="1626" t="s">
        <v>2</v>
      </c>
      <c r="B6" s="1627"/>
      <c r="C6" s="1627"/>
      <c r="D6" s="1627"/>
      <c r="E6" s="1627"/>
      <c r="F6" s="2134"/>
      <c r="G6" s="2134"/>
      <c r="H6" s="2134"/>
      <c r="I6" s="2134"/>
      <c r="J6" s="2134"/>
      <c r="K6" s="2134"/>
      <c r="L6" s="2134"/>
      <c r="M6" s="2134"/>
      <c r="N6" s="2134"/>
      <c r="O6" s="2135"/>
    </row>
    <row r="7" spans="1:15" s="5" customFormat="1" ht="20.100000000000001" customHeight="1">
      <c r="A7" s="1999" t="s">
        <v>3</v>
      </c>
      <c r="B7" s="2000"/>
      <c r="C7" s="2000"/>
      <c r="D7" s="2000"/>
      <c r="E7" s="2000"/>
      <c r="F7" s="2000"/>
      <c r="G7" s="2000"/>
      <c r="H7" s="2000"/>
      <c r="I7" s="2000"/>
      <c r="J7" s="2000"/>
      <c r="K7" s="2000"/>
      <c r="L7" s="2000"/>
      <c r="M7" s="2000"/>
      <c r="N7" s="2000"/>
      <c r="O7" s="2001"/>
    </row>
    <row r="8" spans="1:15" s="5" customFormat="1" ht="20.100000000000001" customHeight="1">
      <c r="A8" s="1999"/>
      <c r="B8" s="2000"/>
      <c r="C8" s="2000"/>
      <c r="D8" s="2000"/>
      <c r="E8" s="2000"/>
      <c r="F8" s="2000"/>
      <c r="G8" s="2000"/>
      <c r="H8" s="2000"/>
      <c r="I8" s="2000"/>
      <c r="J8" s="2000"/>
      <c r="K8" s="2000"/>
      <c r="L8" s="2000"/>
      <c r="M8" s="2000"/>
      <c r="N8" s="2000"/>
      <c r="O8" s="2001"/>
    </row>
    <row r="9" spans="1:15" s="5" customFormat="1" ht="20.100000000000001" customHeight="1">
      <c r="A9" s="1999"/>
      <c r="B9" s="2000"/>
      <c r="C9" s="2000"/>
      <c r="D9" s="2000"/>
      <c r="E9" s="2000"/>
      <c r="F9" s="2000"/>
      <c r="G9" s="2000"/>
      <c r="H9" s="2000"/>
      <c r="I9" s="2000"/>
      <c r="J9" s="2000"/>
      <c r="K9" s="2000"/>
      <c r="L9" s="2000"/>
      <c r="M9" s="2000"/>
      <c r="N9" s="2000"/>
      <c r="O9" s="2001"/>
    </row>
    <row r="10" spans="1:15" s="5" customFormat="1" ht="20.100000000000001" customHeight="1">
      <c r="A10" s="1999"/>
      <c r="B10" s="2000"/>
      <c r="C10" s="2000"/>
      <c r="D10" s="2000"/>
      <c r="E10" s="2000"/>
      <c r="F10" s="2000"/>
      <c r="G10" s="2000"/>
      <c r="H10" s="2000"/>
      <c r="I10" s="2000"/>
      <c r="J10" s="2000"/>
      <c r="K10" s="2000"/>
      <c r="L10" s="2000"/>
      <c r="M10" s="2000"/>
      <c r="N10" s="2000"/>
      <c r="O10" s="2001"/>
    </row>
    <row r="11" spans="1:15" s="5" customFormat="1" ht="20.100000000000001" customHeight="1">
      <c r="A11" s="1999"/>
      <c r="B11" s="2000"/>
      <c r="C11" s="2000"/>
      <c r="D11" s="2000"/>
      <c r="E11" s="2000"/>
      <c r="F11" s="2000"/>
      <c r="G11" s="2000"/>
      <c r="H11" s="2000"/>
      <c r="I11" s="2000"/>
      <c r="J11" s="2000"/>
      <c r="K11" s="2000"/>
      <c r="L11" s="2000"/>
      <c r="M11" s="2000"/>
      <c r="N11" s="2000"/>
      <c r="O11" s="2001"/>
    </row>
    <row r="12" spans="1:15" s="5" customFormat="1" ht="20.100000000000001" customHeight="1">
      <c r="A12" s="1999"/>
      <c r="B12" s="2000"/>
      <c r="C12" s="2000"/>
      <c r="D12" s="2000"/>
      <c r="E12" s="2000"/>
      <c r="F12" s="2000"/>
      <c r="G12" s="2000"/>
      <c r="H12" s="2000"/>
      <c r="I12" s="2000"/>
      <c r="J12" s="2000"/>
      <c r="K12" s="2000"/>
      <c r="L12" s="2000"/>
      <c r="M12" s="2000"/>
      <c r="N12" s="2000"/>
      <c r="O12" s="2001"/>
    </row>
    <row r="13" spans="1:15" s="5" customFormat="1" ht="87" customHeight="1" thickBot="1">
      <c r="A13" s="2002"/>
      <c r="B13" s="2003"/>
      <c r="C13" s="2003"/>
      <c r="D13" s="2003"/>
      <c r="E13" s="2003"/>
      <c r="F13" s="2003"/>
      <c r="G13" s="2003"/>
      <c r="H13" s="2003"/>
      <c r="I13" s="2003"/>
      <c r="J13" s="2003"/>
      <c r="K13" s="2003"/>
      <c r="L13" s="2003"/>
      <c r="M13" s="2003"/>
      <c r="N13" s="2003"/>
      <c r="O13" s="2004"/>
    </row>
    <row r="14" spans="1:15" s="2" customFormat="1" ht="20.100000000000001" customHeight="1"/>
    <row r="16" spans="1:15" ht="21">
      <c r="A16" s="6" t="s">
        <v>4</v>
      </c>
      <c r="B16" s="6"/>
      <c r="C16" s="7"/>
      <c r="D16" s="7"/>
      <c r="E16" s="7"/>
      <c r="F16" s="7"/>
      <c r="G16" s="7"/>
      <c r="H16" s="7"/>
      <c r="I16" s="7"/>
      <c r="J16" s="7"/>
      <c r="K16" s="7"/>
      <c r="L16" s="7"/>
      <c r="M16" s="7"/>
      <c r="N16" s="7"/>
      <c r="O16" s="7"/>
    </row>
    <row r="17" spans="1:25" ht="15.75" thickBot="1">
      <c r="P17" s="8"/>
      <c r="Q17" s="8"/>
      <c r="R17" s="8"/>
      <c r="S17" s="8"/>
      <c r="T17" s="8"/>
      <c r="U17" s="8"/>
      <c r="V17" s="8"/>
      <c r="W17" s="8"/>
      <c r="X17" s="8"/>
    </row>
    <row r="18" spans="1:25" s="19" customFormat="1" ht="22.5" customHeight="1">
      <c r="A18" s="1659"/>
      <c r="B18" s="1629"/>
      <c r="C18" s="11"/>
      <c r="D18" s="2112" t="s">
        <v>5</v>
      </c>
      <c r="E18" s="2113"/>
      <c r="F18" s="2113"/>
      <c r="G18" s="2113"/>
      <c r="H18" s="12"/>
      <c r="I18" s="13" t="s">
        <v>6</v>
      </c>
      <c r="J18" s="14"/>
      <c r="K18" s="14"/>
      <c r="L18" s="14"/>
      <c r="M18" s="14"/>
      <c r="N18" s="14"/>
      <c r="O18" s="15"/>
      <c r="P18" s="16"/>
      <c r="Q18" s="17"/>
      <c r="R18" s="18"/>
      <c r="S18" s="18"/>
      <c r="T18" s="18"/>
      <c r="U18" s="18"/>
      <c r="V18" s="18"/>
      <c r="W18" s="16"/>
      <c r="X18" s="16"/>
      <c r="Y18" s="17"/>
    </row>
    <row r="19" spans="1:25" s="1658" customFormat="1" ht="129" customHeight="1">
      <c r="A19" s="1660" t="s">
        <v>7</v>
      </c>
      <c r="B19" s="21" t="s">
        <v>8</v>
      </c>
      <c r="C19" s="22" t="s">
        <v>9</v>
      </c>
      <c r="D19" s="23" t="s">
        <v>10</v>
      </c>
      <c r="E19" s="24" t="s">
        <v>11</v>
      </c>
      <c r="F19" s="24" t="s">
        <v>12</v>
      </c>
      <c r="G19" s="25" t="s">
        <v>13</v>
      </c>
      <c r="H19" s="26" t="s">
        <v>14</v>
      </c>
      <c r="I19" s="27" t="s">
        <v>15</v>
      </c>
      <c r="J19" s="27" t="s">
        <v>16</v>
      </c>
      <c r="K19" s="27" t="s">
        <v>17</v>
      </c>
      <c r="L19" s="27" t="s">
        <v>18</v>
      </c>
      <c r="M19" s="28" t="s">
        <v>19</v>
      </c>
      <c r="N19" s="27" t="s">
        <v>20</v>
      </c>
      <c r="O19" s="29" t="s">
        <v>21</v>
      </c>
      <c r="P19" s="30"/>
      <c r="Q19" s="30"/>
      <c r="R19" s="30"/>
      <c r="S19" s="30"/>
      <c r="T19" s="30"/>
      <c r="U19" s="30"/>
      <c r="V19" s="30"/>
      <c r="W19" s="30"/>
      <c r="X19" s="30"/>
      <c r="Y19" s="30"/>
    </row>
    <row r="20" spans="1:25" ht="15" customHeight="1">
      <c r="A20" s="2891"/>
      <c r="B20" s="2190"/>
      <c r="C20" s="32">
        <v>2014</v>
      </c>
      <c r="D20" s="33"/>
      <c r="E20" s="34"/>
      <c r="F20" s="34"/>
      <c r="G20" s="35">
        <f t="shared" ref="G20:G26" si="0">SUM(D20:F20)</f>
        <v>0</v>
      </c>
      <c r="H20" s="36"/>
      <c r="I20" s="34"/>
      <c r="J20" s="34"/>
      <c r="K20" s="34"/>
      <c r="L20" s="34"/>
      <c r="M20" s="34"/>
      <c r="N20" s="34"/>
      <c r="O20" s="37"/>
      <c r="P20" s="38"/>
      <c r="Q20" s="38"/>
      <c r="R20" s="38"/>
      <c r="S20" s="38"/>
      <c r="T20" s="38"/>
      <c r="U20" s="38"/>
      <c r="V20" s="38"/>
      <c r="W20" s="38"/>
      <c r="X20" s="38"/>
      <c r="Y20" s="38"/>
    </row>
    <row r="21" spans="1:25">
      <c r="A21" s="2218"/>
      <c r="B21" s="2190"/>
      <c r="C21" s="39">
        <v>2015</v>
      </c>
      <c r="E21" s="40">
        <f>SUM('dolnośląskie:ODR woj. zachodniopomorskie'!D18)</f>
        <v>0</v>
      </c>
      <c r="F21" s="40">
        <f>SUM('dolnośląskie:ODR woj. zachodniopomorskie'!E18)</f>
        <v>0</v>
      </c>
      <c r="G21" s="35">
        <f>SUM(E21:F21)</f>
        <v>0</v>
      </c>
      <c r="H21" s="42"/>
      <c r="I21" s="40"/>
      <c r="J21" s="40"/>
      <c r="K21" s="40"/>
      <c r="L21" s="40"/>
      <c r="M21" s="40"/>
      <c r="N21" s="40"/>
      <c r="O21" s="43"/>
      <c r="P21" s="38"/>
      <c r="Q21" s="38"/>
      <c r="R21" s="38"/>
      <c r="S21" s="38"/>
      <c r="T21" s="38"/>
      <c r="U21" s="38"/>
      <c r="V21" s="38"/>
      <c r="W21" s="38"/>
      <c r="X21" s="38"/>
      <c r="Y21" s="38"/>
    </row>
    <row r="22" spans="1:25">
      <c r="A22" s="2218"/>
      <c r="B22" s="2190"/>
      <c r="C22" s="39">
        <v>2016</v>
      </c>
      <c r="D22" s="40">
        <f>SUM('dolnośląskie:ODR woj. zachodniopomorskie'!D19)</f>
        <v>889</v>
      </c>
      <c r="E22" s="40">
        <f>SUM('dolnośląskie:ODR woj. zachodniopomorskie'!E19)-7</f>
        <v>85</v>
      </c>
      <c r="F22" s="40">
        <f>SUM('dolnośląskie:ODR woj. zachodniopomorskie'!F19)-17</f>
        <v>33</v>
      </c>
      <c r="G22" s="59">
        <f t="shared" si="0"/>
        <v>1007</v>
      </c>
      <c r="H22" s="40">
        <f>SUM('dolnośląskie:ODR woj. zachodniopomorskie'!H19)</f>
        <v>279</v>
      </c>
      <c r="I22" s="40">
        <f>SUM('dolnośląskie:ODR woj. zachodniopomorskie'!I19)</f>
        <v>192</v>
      </c>
      <c r="J22" s="40">
        <f>SUM('dolnośląskie:ODR woj. zachodniopomorskie'!J19)</f>
        <v>21</v>
      </c>
      <c r="K22" s="40">
        <f>SUM('dolnośląskie:ODR woj. zachodniopomorskie'!K19)</f>
        <v>233</v>
      </c>
      <c r="L22" s="40">
        <f>SUM('dolnośląskie:ODR woj. zachodniopomorskie'!L19)</f>
        <v>36</v>
      </c>
      <c r="M22" s="40">
        <f>SUM('dolnośląskie:ODR woj. zachodniopomorskie'!M19)</f>
        <v>13</v>
      </c>
      <c r="N22" s="40">
        <f>SUM('dolnośląskie:ODR woj. zachodniopomorskie'!N19)</f>
        <v>1</v>
      </c>
      <c r="O22" s="43">
        <f>SUM('dolnośląskie:ODR woj. zachodniopomorskie'!O19)</f>
        <v>256</v>
      </c>
      <c r="P22" s="38"/>
      <c r="Q22" s="38"/>
      <c r="R22" s="38"/>
      <c r="S22" s="38"/>
      <c r="T22" s="38"/>
      <c r="U22" s="38"/>
      <c r="V22" s="38"/>
      <c r="W22" s="38"/>
      <c r="X22" s="38"/>
      <c r="Y22" s="38"/>
    </row>
    <row r="23" spans="1:25">
      <c r="A23" s="2218"/>
      <c r="B23" s="2190"/>
      <c r="C23" s="39">
        <v>2017</v>
      </c>
      <c r="D23" s="40">
        <f>SUM('dolnośląskie:ODR woj. zachodniopomorskie'!D20)</f>
        <v>201</v>
      </c>
      <c r="E23" s="40">
        <f>SUM('dolnośląskie:ODR woj. zachodniopomorskie'!E20)-2</f>
        <v>27</v>
      </c>
      <c r="F23" s="40">
        <f>SUM('dolnośląskie:ODR woj. zachodniopomorskie'!F20)-8</f>
        <v>14</v>
      </c>
      <c r="G23" s="59">
        <f t="shared" si="0"/>
        <v>242</v>
      </c>
      <c r="H23" s="40">
        <f>SUM('dolnośląskie:ODR woj. zachodniopomorskie'!H20)</f>
        <v>55</v>
      </c>
      <c r="I23" s="40">
        <f>SUM('dolnośląskie:ODR woj. zachodniopomorskie'!I20)</f>
        <v>18</v>
      </c>
      <c r="J23" s="40">
        <f>SUM('dolnośląskie:ODR woj. zachodniopomorskie'!J20)</f>
        <v>9</v>
      </c>
      <c r="K23" s="40">
        <f>SUM('dolnośląskie:ODR woj. zachodniopomorskie'!K20)</f>
        <v>16</v>
      </c>
      <c r="L23" s="40">
        <f>SUM('dolnośląskie:ODR woj. zachodniopomorskie'!L20)</f>
        <v>10</v>
      </c>
      <c r="M23" s="40">
        <f>SUM('dolnośląskie:ODR woj. zachodniopomorskie'!M20)</f>
        <v>0</v>
      </c>
      <c r="N23" s="40">
        <f>SUM('dolnośląskie:ODR woj. zachodniopomorskie'!N20)</f>
        <v>0</v>
      </c>
      <c r="O23" s="43">
        <f>SUM('dolnośląskie:ODR woj. zachodniopomorskie'!O20)</f>
        <v>144</v>
      </c>
      <c r="P23" s="38"/>
      <c r="Q23" s="38"/>
      <c r="R23" s="38"/>
      <c r="S23" s="38"/>
      <c r="T23" s="38"/>
      <c r="U23" s="38"/>
      <c r="V23" s="38"/>
      <c r="W23" s="38"/>
      <c r="X23" s="38"/>
      <c r="Y23" s="38"/>
    </row>
    <row r="24" spans="1:25">
      <c r="A24" s="2218"/>
      <c r="B24" s="2190"/>
      <c r="C24" s="39">
        <v>2018</v>
      </c>
      <c r="D24" s="40"/>
      <c r="E24" s="41"/>
      <c r="F24" s="41"/>
      <c r="G24" s="35">
        <f t="shared" si="0"/>
        <v>0</v>
      </c>
      <c r="H24" s="42"/>
      <c r="I24" s="41"/>
      <c r="J24" s="41"/>
      <c r="K24" s="41"/>
      <c r="L24" s="41"/>
      <c r="M24" s="41"/>
      <c r="N24" s="41"/>
      <c r="O24" s="43"/>
      <c r="P24" s="38"/>
      <c r="Q24" s="38"/>
      <c r="R24" s="38"/>
      <c r="S24" s="38"/>
      <c r="T24" s="38"/>
      <c r="U24" s="38"/>
      <c r="V24" s="38"/>
      <c r="W24" s="38"/>
      <c r="X24" s="38"/>
      <c r="Y24" s="38"/>
    </row>
    <row r="25" spans="1:25">
      <c r="A25" s="2218"/>
      <c r="B25" s="2190"/>
      <c r="C25" s="44">
        <v>2019</v>
      </c>
      <c r="D25" s="40"/>
      <c r="E25" s="41"/>
      <c r="F25" s="41"/>
      <c r="G25" s="35">
        <f>SUM(D25:F25)</f>
        <v>0</v>
      </c>
      <c r="H25" s="42"/>
      <c r="I25" s="41"/>
      <c r="J25" s="41"/>
      <c r="K25" s="41"/>
      <c r="L25" s="41"/>
      <c r="M25" s="41"/>
      <c r="N25" s="41"/>
      <c r="O25" s="43"/>
      <c r="P25" s="38"/>
      <c r="Q25" s="38"/>
      <c r="R25" s="38"/>
      <c r="S25" s="38"/>
      <c r="T25" s="38"/>
      <c r="U25" s="38"/>
      <c r="V25" s="38"/>
      <c r="W25" s="38"/>
      <c r="X25" s="38"/>
      <c r="Y25" s="38"/>
    </row>
    <row r="26" spans="1:25">
      <c r="A26" s="2218"/>
      <c r="B26" s="2190"/>
      <c r="C26" s="39">
        <v>2020</v>
      </c>
      <c r="D26" s="40"/>
      <c r="E26" s="41"/>
      <c r="F26" s="41"/>
      <c r="G26" s="35">
        <f t="shared" si="0"/>
        <v>0</v>
      </c>
      <c r="H26" s="42"/>
      <c r="I26" s="41"/>
      <c r="J26" s="41"/>
      <c r="K26" s="41"/>
      <c r="L26" s="41"/>
      <c r="M26" s="41"/>
      <c r="N26" s="41"/>
      <c r="O26" s="43"/>
      <c r="P26" s="38"/>
      <c r="Q26" s="38"/>
      <c r="R26" s="38"/>
      <c r="S26" s="38"/>
      <c r="T26" s="38"/>
      <c r="U26" s="38"/>
      <c r="V26" s="38"/>
      <c r="W26" s="38"/>
      <c r="X26" s="38"/>
      <c r="Y26" s="38"/>
    </row>
    <row r="27" spans="1:25" ht="19.5" customHeight="1" thickBot="1">
      <c r="A27" s="2219"/>
      <c r="B27" s="2892"/>
      <c r="C27" s="45" t="s">
        <v>13</v>
      </c>
      <c r="D27" s="46">
        <f>SUM(D20:D26)</f>
        <v>1090</v>
      </c>
      <c r="E27" s="47">
        <f>SUM(E20:E26)</f>
        <v>112</v>
      </c>
      <c r="F27" s="47">
        <f>SUM(F20:F26)</f>
        <v>47</v>
      </c>
      <c r="G27" s="48">
        <f>SUM(D27:F27)</f>
        <v>1249</v>
      </c>
      <c r="H27" s="49">
        <f>SUM(H20:H26)</f>
        <v>334</v>
      </c>
      <c r="I27" s="50">
        <f>SUM(I20:I26)</f>
        <v>210</v>
      </c>
      <c r="J27" s="50">
        <f t="shared" ref="J27:N27" si="1">SUM(J20:J26)</f>
        <v>30</v>
      </c>
      <c r="K27" s="50">
        <f t="shared" si="1"/>
        <v>249</v>
      </c>
      <c r="L27" s="50">
        <f t="shared" si="1"/>
        <v>46</v>
      </c>
      <c r="M27" s="50">
        <f t="shared" si="1"/>
        <v>13</v>
      </c>
      <c r="N27" s="50">
        <f t="shared" si="1"/>
        <v>1</v>
      </c>
      <c r="O27" s="51">
        <f>SUM(O20:O26)</f>
        <v>400</v>
      </c>
      <c r="P27" s="38"/>
      <c r="Q27" s="38"/>
      <c r="R27" s="38"/>
      <c r="S27" s="38"/>
      <c r="T27" s="38"/>
      <c r="U27" s="38"/>
      <c r="V27" s="38"/>
      <c r="W27" s="38"/>
      <c r="X27" s="38"/>
      <c r="Y27" s="38"/>
    </row>
    <row r="28" spans="1:25" ht="15.75" thickBot="1">
      <c r="C28" s="52"/>
      <c r="H28" s="8"/>
      <c r="I28" s="8"/>
      <c r="J28" s="8"/>
      <c r="K28" s="8"/>
      <c r="L28" s="8"/>
      <c r="M28" s="8"/>
      <c r="N28" s="8"/>
      <c r="O28" s="8"/>
      <c r="P28" s="8"/>
      <c r="Q28" s="8"/>
    </row>
    <row r="29" spans="1:25" s="19" customFormat="1" ht="30.75" customHeight="1">
      <c r="A29" s="1659"/>
      <c r="B29" s="1629"/>
      <c r="C29" s="53"/>
      <c r="D29" s="2011" t="s">
        <v>5</v>
      </c>
      <c r="E29" s="2012"/>
      <c r="F29" s="2012"/>
      <c r="G29" s="2013"/>
      <c r="H29" s="16"/>
      <c r="I29" s="17"/>
      <c r="J29" s="18"/>
      <c r="K29" s="18"/>
      <c r="L29" s="18"/>
      <c r="M29" s="18"/>
      <c r="N29" s="18"/>
      <c r="O29" s="16"/>
      <c r="P29" s="16"/>
    </row>
    <row r="30" spans="1:25" s="1658" customFormat="1" ht="93" customHeight="1">
      <c r="A30" s="498" t="s">
        <v>23</v>
      </c>
      <c r="B30" s="21" t="s">
        <v>8</v>
      </c>
      <c r="C30" s="55" t="s">
        <v>9</v>
      </c>
      <c r="D30" s="56" t="s">
        <v>10</v>
      </c>
      <c r="E30" s="24" t="s">
        <v>11</v>
      </c>
      <c r="F30" s="24" t="s">
        <v>12</v>
      </c>
      <c r="G30" s="57" t="s">
        <v>13</v>
      </c>
      <c r="H30" s="30"/>
      <c r="I30" s="30"/>
      <c r="J30" s="30"/>
      <c r="K30" s="30"/>
      <c r="L30" s="30"/>
      <c r="M30" s="30"/>
      <c r="N30" s="30"/>
      <c r="O30" s="30"/>
      <c r="P30" s="30"/>
      <c r="Q30" s="19"/>
    </row>
    <row r="31" spans="1:25" ht="15" customHeight="1">
      <c r="A31" s="2025"/>
      <c r="B31" s="2068"/>
      <c r="C31" s="58">
        <v>2014</v>
      </c>
      <c r="D31" s="36"/>
      <c r="E31" s="34"/>
      <c r="F31" s="34"/>
      <c r="G31" s="59">
        <f>SUM(D31:F31)</f>
        <v>0</v>
      </c>
      <c r="H31" s="38"/>
      <c r="I31" s="38"/>
      <c r="J31" s="38"/>
      <c r="K31" s="38"/>
      <c r="L31" s="38"/>
      <c r="M31" s="38"/>
      <c r="N31" s="38"/>
      <c r="O31" s="38"/>
      <c r="P31" s="38"/>
      <c r="Q31" s="8"/>
    </row>
    <row r="32" spans="1:25">
      <c r="A32" s="2069"/>
      <c r="B32" s="2068"/>
      <c r="C32" s="60">
        <v>2015</v>
      </c>
      <c r="D32" s="42"/>
      <c r="E32" s="40"/>
      <c r="F32" s="40"/>
      <c r="G32" s="59">
        <f t="shared" ref="G32:G38" si="2">SUM(D32:F32)</f>
        <v>0</v>
      </c>
      <c r="H32" s="38"/>
      <c r="I32" s="38"/>
      <c r="J32" s="38"/>
      <c r="K32" s="38"/>
      <c r="L32" s="38"/>
      <c r="M32" s="38"/>
      <c r="N32" s="38"/>
      <c r="O32" s="38"/>
      <c r="P32" s="38"/>
      <c r="Q32" s="8"/>
    </row>
    <row r="33" spans="1:17">
      <c r="A33" s="2069"/>
      <c r="B33" s="2068"/>
      <c r="C33" s="60">
        <v>2016</v>
      </c>
      <c r="D33" s="42">
        <f>SUM('dolnośląskie:ODR woj. zachodniopomorskie'!D30)</f>
        <v>1105305</v>
      </c>
      <c r="E33" s="40">
        <f>SUM('dolnośląskie:ODR woj. zachodniopomorskie'!E30)-172000</f>
        <v>1191005</v>
      </c>
      <c r="F33" s="40">
        <f>SUM('dolnośląskie:ODR woj. zachodniopomorskie'!F30)-2786792</f>
        <v>732081</v>
      </c>
      <c r="G33" s="59">
        <f t="shared" si="2"/>
        <v>3028391</v>
      </c>
      <c r="H33" s="38"/>
      <c r="I33" s="38"/>
      <c r="J33" s="38"/>
      <c r="K33" s="38"/>
      <c r="L33" s="38"/>
      <c r="M33" s="38"/>
      <c r="N33" s="38"/>
      <c r="O33" s="38"/>
      <c r="P33" s="38"/>
      <c r="Q33" s="8"/>
    </row>
    <row r="34" spans="1:17">
      <c r="A34" s="2069"/>
      <c r="B34" s="2068"/>
      <c r="C34" s="60">
        <v>2017</v>
      </c>
      <c r="D34" s="42">
        <f>SUM('dolnośląskie:ODR woj. zachodniopomorskie'!D31)</f>
        <v>591911</v>
      </c>
      <c r="E34" s="40">
        <f>SUM('dolnośląskie:ODR woj. zachodniopomorskie'!E31)-43000</f>
        <v>388017</v>
      </c>
      <c r="F34" s="40">
        <f>SUM('dolnośląskie:ODR woj. zachodniopomorskie'!F31)-2693700-400000-400000</f>
        <v>793941</v>
      </c>
      <c r="G34" s="59">
        <f t="shared" si="2"/>
        <v>1773869</v>
      </c>
      <c r="H34" s="38"/>
      <c r="I34" s="38"/>
      <c r="J34" s="38"/>
      <c r="K34" s="38"/>
      <c r="L34" s="38"/>
      <c r="M34" s="38"/>
      <c r="N34" s="38"/>
      <c r="O34" s="38"/>
      <c r="P34" s="38"/>
      <c r="Q34" s="8"/>
    </row>
    <row r="35" spans="1:17">
      <c r="A35" s="2069"/>
      <c r="B35" s="2068"/>
      <c r="C35" s="60">
        <v>2018</v>
      </c>
      <c r="D35" s="42"/>
      <c r="E35" s="41"/>
      <c r="F35" s="41"/>
      <c r="G35" s="59">
        <f>SUM(D35:F35)</f>
        <v>0</v>
      </c>
      <c r="H35" s="38"/>
      <c r="I35" s="38"/>
      <c r="J35" s="38"/>
      <c r="K35" s="38"/>
      <c r="L35" s="38"/>
      <c r="M35" s="38"/>
      <c r="N35" s="38"/>
      <c r="O35" s="38"/>
      <c r="P35" s="38"/>
      <c r="Q35" s="8"/>
    </row>
    <row r="36" spans="1:17">
      <c r="A36" s="2069"/>
      <c r="B36" s="2068"/>
      <c r="C36" s="61">
        <v>2019</v>
      </c>
      <c r="D36" s="42"/>
      <c r="E36" s="41"/>
      <c r="F36" s="41"/>
      <c r="G36" s="59">
        <f t="shared" si="2"/>
        <v>0</v>
      </c>
      <c r="H36" s="38"/>
      <c r="I36" s="38"/>
      <c r="J36" s="38"/>
      <c r="K36" s="38"/>
      <c r="L36" s="38"/>
      <c r="M36" s="38"/>
      <c r="N36" s="38"/>
      <c r="O36" s="38"/>
      <c r="P36" s="38"/>
      <c r="Q36" s="8"/>
    </row>
    <row r="37" spans="1:17">
      <c r="A37" s="2069"/>
      <c r="B37" s="2068"/>
      <c r="C37" s="60">
        <v>2020</v>
      </c>
      <c r="D37" s="42"/>
      <c r="E37" s="41"/>
      <c r="F37" s="41"/>
      <c r="G37" s="59">
        <f t="shared" si="2"/>
        <v>0</v>
      </c>
      <c r="H37" s="38"/>
      <c r="I37" s="38"/>
      <c r="J37" s="38"/>
      <c r="K37" s="38"/>
      <c r="L37" s="38"/>
      <c r="M37" s="38"/>
      <c r="N37" s="38"/>
      <c r="O37" s="38"/>
      <c r="P37" s="38"/>
      <c r="Q37" s="8"/>
    </row>
    <row r="38" spans="1:17" ht="20.25" customHeight="1" thickBot="1">
      <c r="A38" s="2070"/>
      <c r="B38" s="2173"/>
      <c r="C38" s="62" t="s">
        <v>13</v>
      </c>
      <c r="D38" s="49">
        <f>SUM(D31:D37)</f>
        <v>1697216</v>
      </c>
      <c r="E38" s="47">
        <f>SUM(E31:E37)</f>
        <v>1579022</v>
      </c>
      <c r="F38" s="47">
        <f>SUM(F31:F37)</f>
        <v>1526022</v>
      </c>
      <c r="G38" s="51">
        <f t="shared" si="2"/>
        <v>4802260</v>
      </c>
      <c r="H38" s="38"/>
      <c r="I38" s="38"/>
      <c r="J38" s="38"/>
      <c r="K38" s="38"/>
      <c r="L38" s="38"/>
      <c r="M38" s="38"/>
      <c r="N38" s="38"/>
      <c r="O38" s="38"/>
      <c r="P38" s="38"/>
      <c r="Q38" s="8"/>
    </row>
    <row r="39" spans="1:17">
      <c r="A39" s="63"/>
      <c r="B39" s="63"/>
      <c r="C39" s="52"/>
      <c r="H39" s="8"/>
      <c r="I39" s="8"/>
      <c r="J39" s="8"/>
      <c r="K39" s="8"/>
      <c r="L39" s="8"/>
      <c r="M39" s="8"/>
      <c r="N39" s="8"/>
      <c r="O39" s="8"/>
      <c r="P39" s="8"/>
      <c r="Q39" s="8"/>
    </row>
    <row r="40" spans="1:17" ht="21" customHeight="1">
      <c r="A40" s="64" t="s">
        <v>25</v>
      </c>
      <c r="B40" s="64"/>
      <c r="C40" s="65"/>
      <c r="D40" s="65"/>
      <c r="E40" s="65"/>
      <c r="F40" s="38"/>
      <c r="G40" s="38"/>
      <c r="H40" s="38"/>
      <c r="I40" s="66"/>
      <c r="J40" s="66"/>
      <c r="K40" s="66"/>
    </row>
    <row r="41" spans="1:17" ht="12.75" customHeight="1" thickBot="1">
      <c r="G41" s="38"/>
      <c r="H41" s="38"/>
    </row>
    <row r="42" spans="1:17" ht="88.5" customHeight="1">
      <c r="A42" s="1661" t="s">
        <v>26</v>
      </c>
      <c r="B42" s="1631" t="s">
        <v>8</v>
      </c>
      <c r="C42" s="69" t="s">
        <v>9</v>
      </c>
      <c r="D42" s="70" t="s">
        <v>27</v>
      </c>
      <c r="E42" s="71" t="s">
        <v>28</v>
      </c>
      <c r="F42" s="72"/>
      <c r="G42" s="30"/>
      <c r="H42" s="30"/>
    </row>
    <row r="43" spans="1:17">
      <c r="A43" s="2025"/>
      <c r="B43" s="2068"/>
      <c r="C43" s="73">
        <v>2014</v>
      </c>
      <c r="D43" s="33"/>
      <c r="E43" s="32"/>
      <c r="F43" s="8"/>
      <c r="G43" s="38"/>
      <c r="H43" s="38"/>
    </row>
    <row r="44" spans="1:17">
      <c r="A44" s="2069"/>
      <c r="B44" s="2068"/>
      <c r="C44" s="74">
        <v>2015</v>
      </c>
      <c r="D44" s="40"/>
      <c r="E44" s="39"/>
      <c r="F44" s="8"/>
      <c r="G44" s="38"/>
      <c r="H44" s="38"/>
    </row>
    <row r="45" spans="1:17">
      <c r="A45" s="2069"/>
      <c r="B45" s="2068"/>
      <c r="C45" s="74">
        <v>2016</v>
      </c>
      <c r="D45" s="40">
        <f>SUM('dolnośląskie:ODR woj. zachodniopomorskie'!D42)</f>
        <v>3298561</v>
      </c>
      <c r="E45" s="39">
        <f>SUM('dolnośląskie:ODR woj. zachodniopomorskie'!E42)</f>
        <v>1261942</v>
      </c>
      <c r="F45" s="8"/>
      <c r="G45" s="38"/>
      <c r="H45" s="38"/>
    </row>
    <row r="46" spans="1:17">
      <c r="A46" s="2069"/>
      <c r="B46" s="2068"/>
      <c r="C46" s="74">
        <v>2017</v>
      </c>
      <c r="D46" s="40">
        <f>SUM('dolnośląskie:ODR woj. zachodniopomorskie'!D43)</f>
        <v>15447384</v>
      </c>
      <c r="E46" s="39">
        <f>SUM('dolnośląskie:ODR woj. zachodniopomorskie'!E43)</f>
        <v>330897</v>
      </c>
      <c r="F46" s="8"/>
      <c r="G46" s="38"/>
      <c r="H46" s="38"/>
    </row>
    <row r="47" spans="1:17">
      <c r="A47" s="2069"/>
      <c r="B47" s="2068"/>
      <c r="C47" s="74">
        <v>2018</v>
      </c>
      <c r="D47" s="40"/>
      <c r="E47" s="39"/>
      <c r="F47" s="8"/>
      <c r="G47" s="38"/>
      <c r="H47" s="38"/>
    </row>
    <row r="48" spans="1:17">
      <c r="A48" s="2069"/>
      <c r="B48" s="2068"/>
      <c r="C48" s="74">
        <v>2019</v>
      </c>
      <c r="D48" s="40"/>
      <c r="E48" s="39"/>
      <c r="F48" s="8"/>
      <c r="G48" s="38"/>
      <c r="H48" s="38"/>
    </row>
    <row r="49" spans="1:15">
      <c r="A49" s="2069"/>
      <c r="B49" s="2068"/>
      <c r="C49" s="74">
        <v>2020</v>
      </c>
      <c r="D49" s="40"/>
      <c r="E49" s="39"/>
      <c r="F49" s="8"/>
      <c r="G49" s="38"/>
      <c r="H49" s="38"/>
    </row>
    <row r="50" spans="1:15" ht="15.75" thickBot="1">
      <c r="A50" s="2070"/>
      <c r="B50" s="2173"/>
      <c r="C50" s="45" t="s">
        <v>13</v>
      </c>
      <c r="D50" s="46">
        <f>SUM(D43:D49)</f>
        <v>18745945</v>
      </c>
      <c r="E50" s="76">
        <f>SUM(E43:E49)</f>
        <v>1592839</v>
      </c>
      <c r="F50" s="77"/>
      <c r="G50" s="38"/>
      <c r="H50" s="38"/>
    </row>
    <row r="51" spans="1:15" s="38" customFormat="1" ht="15.75" thickBot="1">
      <c r="A51" s="78"/>
      <c r="B51" s="79"/>
      <c r="C51" s="80"/>
    </row>
    <row r="52" spans="1:15" ht="83.25" customHeight="1">
      <c r="A52" s="81" t="s">
        <v>30</v>
      </c>
      <c r="B52" s="1631" t="s">
        <v>8</v>
      </c>
      <c r="C52" s="82" t="s">
        <v>9</v>
      </c>
      <c r="D52" s="70" t="s">
        <v>31</v>
      </c>
      <c r="E52" s="83" t="s">
        <v>32</v>
      </c>
      <c r="F52" s="83" t="s">
        <v>33</v>
      </c>
      <c r="G52" s="83" t="s">
        <v>34</v>
      </c>
      <c r="H52" s="83" t="s">
        <v>35</v>
      </c>
      <c r="I52" s="83" t="s">
        <v>36</v>
      </c>
      <c r="J52" s="83" t="s">
        <v>37</v>
      </c>
      <c r="K52" s="84" t="s">
        <v>38</v>
      </c>
    </row>
    <row r="53" spans="1:15" ht="17.25" customHeight="1">
      <c r="A53" s="2023"/>
      <c r="B53" s="2024"/>
      <c r="C53" s="85" t="s">
        <v>40</v>
      </c>
      <c r="D53" s="33"/>
      <c r="E53" s="34"/>
      <c r="F53" s="34"/>
      <c r="G53" s="34"/>
      <c r="H53" s="34"/>
      <c r="I53" s="34"/>
      <c r="J53" s="34"/>
      <c r="K53" s="37"/>
    </row>
    <row r="54" spans="1:15" ht="15" customHeight="1">
      <c r="A54" s="2025"/>
      <c r="B54" s="2026"/>
      <c r="C54" s="74">
        <v>2014</v>
      </c>
      <c r="D54" s="40"/>
      <c r="E54" s="41"/>
      <c r="F54" s="41"/>
      <c r="G54" s="41"/>
      <c r="H54" s="41"/>
      <c r="I54" s="41"/>
      <c r="J54" s="41"/>
      <c r="K54" s="86"/>
    </row>
    <row r="55" spans="1:15">
      <c r="A55" s="2025"/>
      <c r="B55" s="2026"/>
      <c r="C55" s="74">
        <v>2015</v>
      </c>
      <c r="D55" s="40"/>
      <c r="E55" s="40"/>
      <c r="F55" s="40"/>
      <c r="G55" s="40"/>
      <c r="H55" s="40"/>
      <c r="I55" s="40"/>
      <c r="J55" s="40"/>
      <c r="K55" s="86"/>
    </row>
    <row r="56" spans="1:15">
      <c r="A56" s="2025"/>
      <c r="B56" s="2026"/>
      <c r="C56" s="74">
        <v>2016</v>
      </c>
      <c r="D56" s="40">
        <f>SUM('dolnośląskie:ODR woj. zachodniopomorskie'!D53)</f>
        <v>13</v>
      </c>
      <c r="E56" s="40">
        <f>SUM('dolnośląskie:ODR woj. zachodniopomorskie'!E53)</f>
        <v>2</v>
      </c>
      <c r="F56" s="40">
        <f>SUM('dolnośląskie:ODR woj. zachodniopomorskie'!F53)</f>
        <v>2</v>
      </c>
      <c r="G56" s="40">
        <f>SUM('dolnośląskie:ODR woj. zachodniopomorskie'!G53)</f>
        <v>36063</v>
      </c>
      <c r="H56" s="40">
        <f>SUM('dolnośląskie:ODR woj. zachodniopomorskie'!H53)</f>
        <v>34</v>
      </c>
      <c r="I56" s="40">
        <f>SUM('dolnośląskie:ODR woj. zachodniopomorskie'!I53)</f>
        <v>86</v>
      </c>
      <c r="J56" s="40">
        <f>SUM('dolnośląskie:ODR woj. zachodniopomorskie'!J53)</f>
        <v>1737</v>
      </c>
      <c r="K56" s="86">
        <f>SUM('dolnośląskie:ODR woj. zachodniopomorskie'!K53)</f>
        <v>83711</v>
      </c>
    </row>
    <row r="57" spans="1:15">
      <c r="A57" s="2025"/>
      <c r="B57" s="2026"/>
      <c r="C57" s="74">
        <v>2017</v>
      </c>
      <c r="D57" s="40">
        <f>SUM('dolnośląskie:ODR woj. zachodniopomorskie'!D54)</f>
        <v>13</v>
      </c>
      <c r="E57" s="40">
        <f>SUM('dolnośląskie:ODR woj. zachodniopomorskie'!E54)</f>
        <v>0</v>
      </c>
      <c r="F57" s="40">
        <f>SUM('dolnośląskie:ODR woj. zachodniopomorskie'!F54)</f>
        <v>2</v>
      </c>
      <c r="G57" s="40">
        <f>SUM('dolnośląskie:ODR woj. zachodniopomorskie'!G54)</f>
        <v>16835</v>
      </c>
      <c r="H57" s="40">
        <f>SUM('dolnośląskie:ODR woj. zachodniopomorskie'!H54)</f>
        <v>588</v>
      </c>
      <c r="I57" s="40">
        <f>SUM('dolnośląskie:ODR woj. zachodniopomorskie'!I54)</f>
        <v>32</v>
      </c>
      <c r="J57" s="40">
        <f>SUM('dolnośląskie:ODR woj. zachodniopomorskie'!J54)</f>
        <v>274</v>
      </c>
      <c r="K57" s="86">
        <f>SUM('dolnośląskie:ODR woj. zachodniopomorskie'!K54)</f>
        <v>18121</v>
      </c>
    </row>
    <row r="58" spans="1:15">
      <c r="A58" s="2025"/>
      <c r="B58" s="2026"/>
      <c r="C58" s="74">
        <v>2018</v>
      </c>
      <c r="D58" s="40"/>
      <c r="E58" s="41"/>
      <c r="F58" s="41"/>
      <c r="G58" s="41"/>
      <c r="H58" s="41"/>
      <c r="I58" s="41"/>
      <c r="J58" s="41"/>
      <c r="K58" s="86"/>
    </row>
    <row r="59" spans="1:15">
      <c r="A59" s="2025"/>
      <c r="B59" s="2026"/>
      <c r="C59" s="74">
        <v>2019</v>
      </c>
      <c r="D59" s="40"/>
      <c r="E59" s="41"/>
      <c r="F59" s="41"/>
      <c r="G59" s="41"/>
      <c r="H59" s="41"/>
      <c r="I59" s="41"/>
      <c r="J59" s="41"/>
      <c r="K59" s="86"/>
    </row>
    <row r="60" spans="1:15">
      <c r="A60" s="2025"/>
      <c r="B60" s="2026"/>
      <c r="C60" s="74">
        <v>2020</v>
      </c>
      <c r="D60" s="40"/>
      <c r="E60" s="41"/>
      <c r="F60" s="41"/>
      <c r="G60" s="41"/>
      <c r="H60" s="41"/>
      <c r="I60" s="41"/>
      <c r="J60" s="41"/>
      <c r="K60" s="87"/>
    </row>
    <row r="61" spans="1:15" ht="20.25" customHeight="1" thickBot="1">
      <c r="A61" s="2027"/>
      <c r="B61" s="2133"/>
      <c r="C61" s="45" t="s">
        <v>13</v>
      </c>
      <c r="D61" s="46">
        <f>SUM(D54:D60)</f>
        <v>26</v>
      </c>
      <c r="E61" s="47">
        <f>SUM(E54:E60)</f>
        <v>2</v>
      </c>
      <c r="F61" s="47">
        <f>SUM(F54:F60)</f>
        <v>4</v>
      </c>
      <c r="G61" s="47">
        <f>SUM(G54:G60)</f>
        <v>52898</v>
      </c>
      <c r="H61" s="47">
        <f>SUM(H54:H60)</f>
        <v>622</v>
      </c>
      <c r="I61" s="47">
        <f t="shared" ref="I61" si="3">SUM(I54:I60)</f>
        <v>118</v>
      </c>
      <c r="J61" s="47">
        <f>SUM(J54:J60)</f>
        <v>2011</v>
      </c>
      <c r="K61" s="51">
        <f>SUM(K53:K59)</f>
        <v>101832</v>
      </c>
    </row>
    <row r="62" spans="1:15" ht="15.75" thickBot="1"/>
    <row r="63" spans="1:15" ht="21" customHeight="1">
      <c r="A63" s="2142" t="s">
        <v>41</v>
      </c>
      <c r="B63" s="1632"/>
      <c r="C63" s="2143" t="s">
        <v>9</v>
      </c>
      <c r="D63" s="1993" t="s">
        <v>42</v>
      </c>
      <c r="E63" s="89" t="s">
        <v>6</v>
      </c>
      <c r="F63" s="90"/>
      <c r="G63" s="90"/>
      <c r="H63" s="90"/>
      <c r="I63" s="90"/>
      <c r="J63" s="90"/>
      <c r="K63" s="90"/>
      <c r="L63" s="91"/>
    </row>
    <row r="64" spans="1:15" ht="115.5" customHeight="1">
      <c r="A64" s="2893"/>
      <c r="B64" s="92" t="s">
        <v>8</v>
      </c>
      <c r="C64" s="2032"/>
      <c r="D64" s="1994"/>
      <c r="E64" s="93" t="s">
        <v>14</v>
      </c>
      <c r="F64" s="94" t="s">
        <v>15</v>
      </c>
      <c r="G64" s="94" t="s">
        <v>16</v>
      </c>
      <c r="H64" s="95" t="s">
        <v>17</v>
      </c>
      <c r="I64" s="95" t="s">
        <v>18</v>
      </c>
      <c r="J64" s="96" t="s">
        <v>19</v>
      </c>
      <c r="K64" s="94" t="s">
        <v>20</v>
      </c>
      <c r="L64" s="97" t="s">
        <v>21</v>
      </c>
      <c r="M64" s="98"/>
      <c r="N64" s="8"/>
      <c r="O64" s="8"/>
    </row>
    <row r="65" spans="1:20">
      <c r="A65" s="2873"/>
      <c r="B65" s="2190"/>
      <c r="C65" s="99">
        <v>2014</v>
      </c>
      <c r="D65" s="100"/>
      <c r="E65" s="101"/>
      <c r="F65" s="102"/>
      <c r="G65" s="102"/>
      <c r="H65" s="102"/>
      <c r="I65" s="102"/>
      <c r="J65" s="102"/>
      <c r="K65" s="102"/>
      <c r="L65" s="37"/>
      <c r="M65" s="8"/>
      <c r="N65" s="8"/>
      <c r="O65" s="8"/>
    </row>
    <row r="66" spans="1:20">
      <c r="A66" s="2745"/>
      <c r="B66" s="2190"/>
      <c r="C66" s="103">
        <v>2015</v>
      </c>
      <c r="D66" s="104"/>
      <c r="E66" s="105"/>
      <c r="F66" s="40"/>
      <c r="G66" s="40"/>
      <c r="H66" s="40"/>
      <c r="I66" s="40"/>
      <c r="J66" s="40"/>
      <c r="K66" s="40"/>
      <c r="L66" s="86"/>
      <c r="M66" s="8"/>
      <c r="N66" s="8"/>
      <c r="O66" s="8"/>
    </row>
    <row r="67" spans="1:20">
      <c r="A67" s="2745"/>
      <c r="B67" s="2190"/>
      <c r="C67" s="103">
        <v>2016</v>
      </c>
      <c r="D67" s="40">
        <f>SUM('dolnośląskie:ODR woj. zachodniopomorskie'!D64)</f>
        <v>752</v>
      </c>
      <c r="E67" s="105">
        <f>SUM('dolnośląskie:ODR woj. zachodniopomorskie'!E64)</f>
        <v>395</v>
      </c>
      <c r="F67" s="40">
        <f>SUM('dolnośląskie:ODR woj. zachodniopomorskie'!F64)</f>
        <v>103</v>
      </c>
      <c r="G67" s="40">
        <f>SUM('dolnośląskie:ODR woj. zachodniopomorskie'!G64)</f>
        <v>15</v>
      </c>
      <c r="H67" s="40">
        <f>SUM('dolnośląskie:ODR woj. zachodniopomorskie'!H64)</f>
        <v>43</v>
      </c>
      <c r="I67" s="40">
        <f>SUM('dolnośląskie:ODR woj. zachodniopomorskie'!I64)</f>
        <v>1</v>
      </c>
      <c r="J67" s="40">
        <f>SUM('dolnośląskie:ODR woj. zachodniopomorskie'!J64)</f>
        <v>0</v>
      </c>
      <c r="K67" s="40">
        <f>SUM('dolnośląskie:ODR woj. zachodniopomorskie'!K64)</f>
        <v>1</v>
      </c>
      <c r="L67" s="86">
        <f>SUM('dolnośląskie:ODR woj. zachodniopomorskie'!L64)</f>
        <v>194</v>
      </c>
      <c r="M67" s="8"/>
      <c r="N67" s="8"/>
      <c r="O67" s="8"/>
    </row>
    <row r="68" spans="1:20">
      <c r="A68" s="2745"/>
      <c r="B68" s="2190"/>
      <c r="C68" s="103">
        <v>2017</v>
      </c>
      <c r="D68" s="40">
        <f>SUM('dolnośląskie:ODR woj. zachodniopomorskie'!D65)</f>
        <v>160</v>
      </c>
      <c r="E68" s="105">
        <f>SUM('dolnośląskie:ODR woj. zachodniopomorskie'!E65)</f>
        <v>139</v>
      </c>
      <c r="F68" s="40">
        <f>SUM('dolnośląskie:ODR woj. zachodniopomorskie'!F65)</f>
        <v>3</v>
      </c>
      <c r="G68" s="40">
        <f>SUM('dolnośląskie:ODR woj. zachodniopomorskie'!G65)</f>
        <v>2</v>
      </c>
      <c r="H68" s="40">
        <f>SUM('dolnośląskie:ODR woj. zachodniopomorskie'!H65)</f>
        <v>1</v>
      </c>
      <c r="I68" s="40">
        <f>SUM('dolnośląskie:ODR woj. zachodniopomorskie'!I65)</f>
        <v>0</v>
      </c>
      <c r="J68" s="40">
        <f>SUM('dolnośląskie:ODR woj. zachodniopomorskie'!J65)</f>
        <v>0</v>
      </c>
      <c r="K68" s="40">
        <f>SUM('dolnośląskie:ODR woj. zachodniopomorskie'!K65)</f>
        <v>2</v>
      </c>
      <c r="L68" s="86">
        <f>SUM('dolnośląskie:ODR woj. zachodniopomorskie'!L65)</f>
        <v>18</v>
      </c>
      <c r="M68" s="8"/>
      <c r="N68" s="8"/>
      <c r="O68" s="8"/>
    </row>
    <row r="69" spans="1:20">
      <c r="A69" s="2745"/>
      <c r="B69" s="2190"/>
      <c r="C69" s="103">
        <v>2018</v>
      </c>
      <c r="D69" s="104"/>
      <c r="E69" s="105"/>
      <c r="F69" s="41"/>
      <c r="G69" s="41"/>
      <c r="H69" s="41"/>
      <c r="I69" s="41"/>
      <c r="J69" s="41"/>
      <c r="K69" s="41"/>
      <c r="L69" s="86"/>
      <c r="M69" s="8"/>
      <c r="N69" s="8"/>
      <c r="O69" s="8"/>
    </row>
    <row r="70" spans="1:20" ht="17.25" customHeight="1">
      <c r="A70" s="2745"/>
      <c r="B70" s="2190"/>
      <c r="C70" s="103">
        <v>2019</v>
      </c>
      <c r="D70" s="104"/>
      <c r="E70" s="105"/>
      <c r="F70" s="41"/>
      <c r="G70" s="41"/>
      <c r="H70" s="41"/>
      <c r="I70" s="41"/>
      <c r="J70" s="41"/>
      <c r="K70" s="41"/>
      <c r="L70" s="86"/>
      <c r="M70" s="8"/>
      <c r="N70" s="8"/>
      <c r="O70" s="8"/>
    </row>
    <row r="71" spans="1:20" ht="16.5" customHeight="1">
      <c r="A71" s="2745"/>
      <c r="B71" s="2190"/>
      <c r="C71" s="103">
        <v>2020</v>
      </c>
      <c r="D71" s="104"/>
      <c r="E71" s="105"/>
      <c r="F71" s="41"/>
      <c r="G71" s="41"/>
      <c r="H71" s="41"/>
      <c r="I71" s="41"/>
      <c r="J71" s="41"/>
      <c r="K71" s="41"/>
      <c r="L71" s="86"/>
      <c r="M71" s="77"/>
      <c r="N71" s="77"/>
      <c r="O71" s="77"/>
    </row>
    <row r="72" spans="1:20" ht="18" customHeight="1" thickBot="1">
      <c r="A72" s="2192"/>
      <c r="B72" s="2892"/>
      <c r="C72" s="106" t="s">
        <v>13</v>
      </c>
      <c r="D72" s="107">
        <f>SUM(D65:D71)</f>
        <v>912</v>
      </c>
      <c r="E72" s="108">
        <f>SUM(E65:E71)</f>
        <v>534</v>
      </c>
      <c r="F72" s="109">
        <f t="shared" ref="F72:I72" si="4">SUM(F65:F71)</f>
        <v>106</v>
      </c>
      <c r="G72" s="109">
        <f t="shared" si="4"/>
        <v>17</v>
      </c>
      <c r="H72" s="109">
        <f t="shared" si="4"/>
        <v>44</v>
      </c>
      <c r="I72" s="109">
        <f t="shared" si="4"/>
        <v>1</v>
      </c>
      <c r="J72" s="109"/>
      <c r="K72" s="109">
        <f>SUM(K65:K71)</f>
        <v>3</v>
      </c>
      <c r="L72" s="110">
        <f>SUM(L65:L71)</f>
        <v>212</v>
      </c>
      <c r="M72" s="77"/>
      <c r="N72" s="77"/>
      <c r="O72" s="77"/>
    </row>
    <row r="73" spans="1:20" ht="20.25" customHeight="1" thickBot="1">
      <c r="A73" s="111"/>
      <c r="B73" s="112"/>
      <c r="C73" s="113"/>
      <c r="D73" s="114"/>
      <c r="E73" s="114"/>
      <c r="F73" s="114"/>
      <c r="G73" s="114"/>
      <c r="H73" s="113"/>
      <c r="I73" s="115"/>
      <c r="J73" s="115"/>
      <c r="K73" s="115"/>
      <c r="L73" s="115"/>
      <c r="M73" s="115"/>
      <c r="N73" s="115"/>
      <c r="O73" s="115"/>
      <c r="P73" s="1658"/>
      <c r="Q73" s="1658"/>
      <c r="R73" s="1658"/>
      <c r="S73" s="1658"/>
      <c r="T73" s="1658"/>
    </row>
    <row r="74" spans="1:20" ht="132" customHeight="1">
      <c r="A74" s="1661" t="s">
        <v>44</v>
      </c>
      <c r="B74" s="1631" t="s">
        <v>8</v>
      </c>
      <c r="C74" s="69" t="s">
        <v>9</v>
      </c>
      <c r="D74" s="116" t="s">
        <v>45</v>
      </c>
      <c r="E74" s="116" t="s">
        <v>46</v>
      </c>
      <c r="F74" s="117" t="s">
        <v>47</v>
      </c>
      <c r="G74" s="118" t="s">
        <v>48</v>
      </c>
      <c r="H74" s="119" t="s">
        <v>14</v>
      </c>
      <c r="I74" s="120" t="s">
        <v>15</v>
      </c>
      <c r="J74" s="121" t="s">
        <v>16</v>
      </c>
      <c r="K74" s="120" t="s">
        <v>17</v>
      </c>
      <c r="L74" s="120" t="s">
        <v>18</v>
      </c>
      <c r="M74" s="122" t="s">
        <v>19</v>
      </c>
      <c r="N74" s="121" t="s">
        <v>20</v>
      </c>
      <c r="O74" s="123" t="s">
        <v>21</v>
      </c>
    </row>
    <row r="75" spans="1:20" ht="15" customHeight="1">
      <c r="A75" s="2025"/>
      <c r="B75" s="2039"/>
      <c r="C75" s="73">
        <v>2014</v>
      </c>
      <c r="D75" s="124"/>
      <c r="E75" s="124"/>
      <c r="F75" s="124"/>
      <c r="G75" s="125">
        <f>SUM(D75:F75)</f>
        <v>0</v>
      </c>
      <c r="H75" s="33"/>
      <c r="I75" s="126"/>
      <c r="J75" s="102"/>
      <c r="K75" s="102"/>
      <c r="L75" s="102"/>
      <c r="M75" s="102"/>
      <c r="N75" s="102"/>
      <c r="O75" s="127"/>
    </row>
    <row r="76" spans="1:20">
      <c r="A76" s="2069"/>
      <c r="B76" s="2039"/>
      <c r="C76" s="74">
        <v>2015</v>
      </c>
      <c r="D76" s="104"/>
      <c r="E76" s="104"/>
      <c r="F76" s="104"/>
      <c r="G76" s="125">
        <f>SUM(D76:F76)</f>
        <v>0</v>
      </c>
      <c r="H76" s="104"/>
      <c r="I76" s="104"/>
      <c r="J76" s="104"/>
      <c r="K76" s="104"/>
      <c r="L76" s="104"/>
      <c r="M76" s="104"/>
      <c r="N76" s="104"/>
      <c r="O76" s="86"/>
    </row>
    <row r="77" spans="1:20">
      <c r="A77" s="2069"/>
      <c r="B77" s="2039"/>
      <c r="C77" s="74">
        <v>2016</v>
      </c>
      <c r="D77" s="40">
        <f>SUM('dolnośląskie:ODR woj. zachodniopomorskie'!D74)</f>
        <v>1002</v>
      </c>
      <c r="E77" s="40">
        <f>SUM('dolnośląskie:ODR woj. zachodniopomorskie'!E74)</f>
        <v>57</v>
      </c>
      <c r="F77" s="40">
        <f>SUM('dolnośląskie:ODR woj. zachodniopomorskie'!F74)</f>
        <v>52</v>
      </c>
      <c r="G77" s="125">
        <f>SUM(D77:F77)</f>
        <v>1111</v>
      </c>
      <c r="H77" s="40">
        <f>SUM('dolnośląskie:ODR woj. zachodniopomorskie'!H74)</f>
        <v>28</v>
      </c>
      <c r="I77" s="40">
        <f>SUM('dolnośląskie:ODR woj. zachodniopomorskie'!I74)</f>
        <v>158</v>
      </c>
      <c r="J77" s="40">
        <f>SUM('dolnośląskie:ODR woj. zachodniopomorskie'!J74)</f>
        <v>50</v>
      </c>
      <c r="K77" s="40">
        <f>SUM('dolnośląskie:ODR woj. zachodniopomorskie'!K74)</f>
        <v>42</v>
      </c>
      <c r="L77" s="40">
        <f>SUM('dolnośląskie:ODR woj. zachodniopomorskie'!L74)</f>
        <v>78</v>
      </c>
      <c r="M77" s="40">
        <f>SUM('dolnośląskie:ODR woj. zachodniopomorskie'!M74)</f>
        <v>2</v>
      </c>
      <c r="N77" s="40">
        <f>SUM('dolnośląskie:ODR woj. zachodniopomorskie'!N74)</f>
        <v>0</v>
      </c>
      <c r="O77" s="86">
        <f>SUM('dolnośląskie:ODR woj. zachodniopomorskie'!O74)</f>
        <v>753</v>
      </c>
    </row>
    <row r="78" spans="1:20">
      <c r="A78" s="2069"/>
      <c r="B78" s="2039"/>
      <c r="C78" s="74">
        <v>2017</v>
      </c>
      <c r="D78" s="40">
        <f>SUM('dolnośląskie:ODR woj. zachodniopomorskie'!D75)</f>
        <v>529</v>
      </c>
      <c r="E78" s="40">
        <f>SUM('dolnośląskie:ODR woj. zachodniopomorskie'!E75)</f>
        <v>8</v>
      </c>
      <c r="F78" s="40">
        <f>SUM('dolnośląskie:ODR woj. zachodniopomorskie'!F75)</f>
        <v>37</v>
      </c>
      <c r="G78" s="125">
        <f t="shared" ref="G78:G81" si="5">SUM(D78:F78)</f>
        <v>574</v>
      </c>
      <c r="H78" s="40">
        <f>SUM('dolnośląskie:ODR woj. zachodniopomorskie'!H75)</f>
        <v>36</v>
      </c>
      <c r="I78" s="40">
        <f>SUM('dolnośląskie:ODR woj. zachodniopomorskie'!I75)</f>
        <v>2</v>
      </c>
      <c r="J78" s="40">
        <f>SUM('dolnośląskie:ODR woj. zachodniopomorskie'!J75)</f>
        <v>0</v>
      </c>
      <c r="K78" s="40">
        <f>SUM('dolnośląskie:ODR woj. zachodniopomorskie'!K75)</f>
        <v>2</v>
      </c>
      <c r="L78" s="40">
        <f>SUM('dolnośląskie:ODR woj. zachodniopomorskie'!L75)</f>
        <v>1</v>
      </c>
      <c r="M78" s="40">
        <f>SUM('dolnośląskie:ODR woj. zachodniopomorskie'!M75)</f>
        <v>0</v>
      </c>
      <c r="N78" s="40">
        <f>SUM('dolnośląskie:ODR woj. zachodniopomorskie'!N75)</f>
        <v>0</v>
      </c>
      <c r="O78" s="86">
        <f>SUM('dolnośląskie:ODR woj. zachodniopomorskie'!O75)</f>
        <v>533</v>
      </c>
    </row>
    <row r="79" spans="1:20">
      <c r="A79" s="2069"/>
      <c r="B79" s="2039"/>
      <c r="C79" s="74">
        <v>2018</v>
      </c>
      <c r="D79" s="128"/>
      <c r="E79" s="128"/>
      <c r="F79" s="128"/>
      <c r="G79" s="125">
        <f t="shared" si="5"/>
        <v>0</v>
      </c>
      <c r="H79" s="40"/>
      <c r="I79" s="40"/>
      <c r="J79" s="41"/>
      <c r="K79" s="41"/>
      <c r="L79" s="41"/>
      <c r="M79" s="41"/>
      <c r="N79" s="41"/>
      <c r="O79" s="86"/>
    </row>
    <row r="80" spans="1:20" ht="15.75" customHeight="1">
      <c r="A80" s="2069"/>
      <c r="B80" s="2039"/>
      <c r="C80" s="74">
        <v>2019</v>
      </c>
      <c r="D80" s="128"/>
      <c r="E80" s="128"/>
      <c r="F80" s="128"/>
      <c r="G80" s="125">
        <f t="shared" si="5"/>
        <v>0</v>
      </c>
      <c r="H80" s="40"/>
      <c r="I80" s="40"/>
      <c r="J80" s="41"/>
      <c r="K80" s="41"/>
      <c r="L80" s="41"/>
      <c r="M80" s="41"/>
      <c r="N80" s="41"/>
      <c r="O80" s="86"/>
    </row>
    <row r="81" spans="1:16" ht="17.25" customHeight="1">
      <c r="A81" s="2069"/>
      <c r="B81" s="2039"/>
      <c r="C81" s="74">
        <v>2020</v>
      </c>
      <c r="D81" s="128"/>
      <c r="E81" s="128"/>
      <c r="F81" s="128"/>
      <c r="G81" s="125">
        <f t="shared" si="5"/>
        <v>0</v>
      </c>
      <c r="H81" s="40"/>
      <c r="I81" s="40"/>
      <c r="J81" s="41"/>
      <c r="K81" s="41"/>
      <c r="L81" s="41"/>
      <c r="M81" s="41"/>
      <c r="N81" s="41"/>
      <c r="O81" s="86"/>
    </row>
    <row r="82" spans="1:16" ht="20.25" customHeight="1" thickBot="1">
      <c r="A82" s="2122"/>
      <c r="B82" s="2144"/>
      <c r="C82" s="129" t="s">
        <v>13</v>
      </c>
      <c r="D82" s="107">
        <f>SUM(D75:D81)</f>
        <v>1531</v>
      </c>
      <c r="E82" s="107">
        <f>SUM(E75:E81)</f>
        <v>65</v>
      </c>
      <c r="F82" s="107">
        <f>SUM(F75:F81)</f>
        <v>89</v>
      </c>
      <c r="G82" s="130">
        <f>SUM(G75:G81)</f>
        <v>1685</v>
      </c>
      <c r="H82" s="132">
        <f>SUM(H76:H81)</f>
        <v>64</v>
      </c>
      <c r="I82" s="132">
        <f t="shared" ref="I82:O82" si="6">SUM(I75:I81)</f>
        <v>160</v>
      </c>
      <c r="J82" s="109">
        <f t="shared" si="6"/>
        <v>50</v>
      </c>
      <c r="K82" s="109">
        <f t="shared" si="6"/>
        <v>44</v>
      </c>
      <c r="L82" s="109">
        <f t="shared" si="6"/>
        <v>79</v>
      </c>
      <c r="M82" s="109">
        <f t="shared" si="6"/>
        <v>2</v>
      </c>
      <c r="N82" s="109">
        <f t="shared" si="6"/>
        <v>0</v>
      </c>
      <c r="O82" s="110">
        <f t="shared" si="6"/>
        <v>1286</v>
      </c>
      <c r="P82" s="1977">
        <f>SUM(H82:O82)</f>
        <v>1685</v>
      </c>
    </row>
    <row r="84" spans="1:16" ht="36.75" customHeight="1">
      <c r="A84" s="133"/>
      <c r="B84" s="112"/>
      <c r="C84" s="134"/>
      <c r="D84" s="135"/>
      <c r="E84" s="77"/>
      <c r="F84" s="77"/>
      <c r="G84" s="77"/>
      <c r="H84" s="77"/>
      <c r="I84" s="77"/>
      <c r="J84" s="77"/>
      <c r="K84" s="77"/>
    </row>
    <row r="85" spans="1:16" ht="28.5" customHeight="1">
      <c r="A85" s="136" t="s">
        <v>49</v>
      </c>
      <c r="B85" s="136"/>
      <c r="C85" s="137"/>
      <c r="D85" s="137"/>
      <c r="E85" s="137"/>
      <c r="F85" s="137"/>
      <c r="G85" s="137"/>
      <c r="H85" s="137"/>
      <c r="I85" s="137"/>
      <c r="J85" s="137"/>
      <c r="K85" s="137"/>
      <c r="L85" s="138"/>
    </row>
    <row r="86" spans="1:16" ht="14.25" customHeight="1" thickBot="1">
      <c r="A86" s="139"/>
      <c r="B86" s="139"/>
    </row>
    <row r="87" spans="1:16" s="1658" customFormat="1" ht="128.25" customHeight="1">
      <c r="A87" s="1662" t="s">
        <v>50</v>
      </c>
      <c r="B87" s="1636" t="s">
        <v>51</v>
      </c>
      <c r="C87" s="142" t="s">
        <v>9</v>
      </c>
      <c r="D87" s="143" t="s">
        <v>52</v>
      </c>
      <c r="E87" s="144" t="s">
        <v>53</v>
      </c>
      <c r="F87" s="145" t="s">
        <v>54</v>
      </c>
      <c r="G87" s="145" t="s">
        <v>55</v>
      </c>
      <c r="H87" s="145" t="s">
        <v>56</v>
      </c>
      <c r="I87" s="145" t="s">
        <v>57</v>
      </c>
      <c r="J87" s="145" t="s">
        <v>58</v>
      </c>
      <c r="K87" s="146" t="s">
        <v>59</v>
      </c>
    </row>
    <row r="88" spans="1:16" ht="15" customHeight="1">
      <c r="A88" s="2338"/>
      <c r="B88" s="2874"/>
      <c r="C88" s="73">
        <v>2014</v>
      </c>
      <c r="D88" s="147"/>
      <c r="E88" s="148"/>
      <c r="F88" s="34"/>
      <c r="G88" s="34"/>
      <c r="H88" s="34"/>
      <c r="I88" s="34"/>
      <c r="J88" s="34"/>
      <c r="K88" s="37"/>
    </row>
    <row r="89" spans="1:16">
      <c r="A89" s="2338"/>
      <c r="B89" s="2874"/>
      <c r="C89" s="74">
        <v>2015</v>
      </c>
      <c r="D89" s="104"/>
      <c r="E89" s="105"/>
      <c r="F89" s="104"/>
      <c r="G89" s="104"/>
      <c r="H89" s="104"/>
      <c r="I89" s="104"/>
      <c r="J89" s="104"/>
      <c r="K89" s="86"/>
    </row>
    <row r="90" spans="1:16">
      <c r="A90" s="2338"/>
      <c r="B90" s="2874"/>
      <c r="C90" s="74">
        <v>2016</v>
      </c>
      <c r="D90" s="40">
        <f>SUM('dolnośląskie:ODR woj. zachodniopomorskie'!D87)</f>
        <v>20</v>
      </c>
      <c r="E90" s="105">
        <f>SUM('dolnośląskie:ODR woj. zachodniopomorskie'!E87)</f>
        <v>15</v>
      </c>
      <c r="F90" s="40">
        <f>SUM('dolnośląskie:ODR woj. zachodniopomorskie'!F87)</f>
        <v>1</v>
      </c>
      <c r="G90" s="40">
        <f>SUM('dolnośląskie:ODR woj. zachodniopomorskie'!G87)</f>
        <v>0</v>
      </c>
      <c r="H90" s="40">
        <f>SUM('dolnośląskie:ODR woj. zachodniopomorskie'!H87)</f>
        <v>1</v>
      </c>
      <c r="I90" s="40">
        <f>SUM('dolnośląskie:ODR woj. zachodniopomorskie'!I87)</f>
        <v>0</v>
      </c>
      <c r="J90" s="40">
        <f>SUM('dolnośląskie:ODR woj. zachodniopomorskie'!J87)</f>
        <v>0</v>
      </c>
      <c r="K90" s="86">
        <f>SUM('dolnośląskie:ODR woj. zachodniopomorskie'!K87)</f>
        <v>3</v>
      </c>
    </row>
    <row r="91" spans="1:16">
      <c r="A91" s="2338"/>
      <c r="B91" s="2874"/>
      <c r="C91" s="74">
        <v>2017</v>
      </c>
      <c r="D91" s="40">
        <f>SUM('dolnośląskie:ODR woj. zachodniopomorskie'!D88)</f>
        <v>0</v>
      </c>
      <c r="E91" s="105">
        <f>SUM('dolnośląskie:ODR woj. zachodniopomorskie'!E88)</f>
        <v>0</v>
      </c>
      <c r="F91" s="40">
        <f>SUM('dolnośląskie:ODR woj. zachodniopomorskie'!F88)</f>
        <v>0</v>
      </c>
      <c r="G91" s="40">
        <f>SUM('dolnośląskie:ODR woj. zachodniopomorskie'!G88)</f>
        <v>0</v>
      </c>
      <c r="H91" s="40">
        <f>SUM('dolnośląskie:ODR woj. zachodniopomorskie'!H88)</f>
        <v>0</v>
      </c>
      <c r="I91" s="40">
        <f>SUM('dolnośląskie:ODR woj. zachodniopomorskie'!I88)</f>
        <v>0</v>
      </c>
      <c r="J91" s="40">
        <f>SUM('dolnośląskie:ODR woj. zachodniopomorskie'!J88)</f>
        <v>0</v>
      </c>
      <c r="K91" s="86">
        <f>SUM('dolnośląskie:ODR woj. zachodniopomorskie'!K88)</f>
        <v>0</v>
      </c>
    </row>
    <row r="92" spans="1:16">
      <c r="A92" s="2338"/>
      <c r="B92" s="2874"/>
      <c r="C92" s="74">
        <v>2018</v>
      </c>
      <c r="D92" s="149"/>
      <c r="E92" s="105"/>
      <c r="F92" s="41"/>
      <c r="G92" s="41"/>
      <c r="H92" s="41"/>
      <c r="I92" s="41"/>
      <c r="J92" s="41"/>
      <c r="K92" s="86"/>
    </row>
    <row r="93" spans="1:16">
      <c r="A93" s="2338"/>
      <c r="B93" s="2874"/>
      <c r="C93" s="74">
        <v>2019</v>
      </c>
      <c r="D93" s="149"/>
      <c r="E93" s="105"/>
      <c r="F93" s="41"/>
      <c r="G93" s="41"/>
      <c r="H93" s="41"/>
      <c r="I93" s="41"/>
      <c r="J93" s="41"/>
      <c r="K93" s="86"/>
    </row>
    <row r="94" spans="1:16">
      <c r="A94" s="2338"/>
      <c r="B94" s="2874"/>
      <c r="C94" s="74">
        <v>2020</v>
      </c>
      <c r="D94" s="149"/>
      <c r="E94" s="105"/>
      <c r="F94" s="41"/>
      <c r="G94" s="41"/>
      <c r="H94" s="41"/>
      <c r="I94" s="41"/>
      <c r="J94" s="41"/>
      <c r="K94" s="86"/>
    </row>
    <row r="95" spans="1:16" ht="18" customHeight="1" thickBot="1">
      <c r="A95" s="2882"/>
      <c r="B95" s="2894"/>
      <c r="C95" s="129" t="s">
        <v>13</v>
      </c>
      <c r="D95" s="150">
        <f t="shared" ref="D95:I95" si="7">SUM(D88:D94)</f>
        <v>20</v>
      </c>
      <c r="E95" s="108">
        <f t="shared" si="7"/>
        <v>15</v>
      </c>
      <c r="F95" s="109">
        <f t="shared" si="7"/>
        <v>1</v>
      </c>
      <c r="G95" s="109">
        <f t="shared" si="7"/>
        <v>0</v>
      </c>
      <c r="H95" s="109">
        <f t="shared" si="7"/>
        <v>1</v>
      </c>
      <c r="I95" s="109">
        <f t="shared" si="7"/>
        <v>0</v>
      </c>
      <c r="J95" s="109">
        <f>SUM(J88:J94)</f>
        <v>0</v>
      </c>
      <c r="K95" s="110">
        <f>SUM(K88:K94)</f>
        <v>3</v>
      </c>
    </row>
    <row r="96" spans="1:16" ht="20.25" customHeight="1"/>
    <row r="97" spans="1:16" ht="21">
      <c r="A97" s="151" t="s">
        <v>60</v>
      </c>
      <c r="B97" s="151"/>
      <c r="C97" s="152"/>
      <c r="D97" s="152"/>
      <c r="E97" s="152"/>
      <c r="F97" s="152"/>
      <c r="G97" s="152"/>
      <c r="H97" s="152"/>
      <c r="I97" s="152"/>
      <c r="J97" s="152"/>
      <c r="K97" s="152"/>
      <c r="L97" s="152"/>
      <c r="M97" s="152"/>
      <c r="N97" s="153"/>
      <c r="O97" s="153"/>
      <c r="P97" s="153"/>
    </row>
    <row r="98" spans="1:16" s="66" customFormat="1" ht="15" customHeight="1" thickBot="1">
      <c r="A98" s="154"/>
      <c r="B98" s="154"/>
    </row>
    <row r="99" spans="1:16" ht="29.25" customHeight="1">
      <c r="A99" s="2145" t="s">
        <v>61</v>
      </c>
      <c r="B99" s="2146" t="s">
        <v>62</v>
      </c>
      <c r="C99" s="2148" t="s">
        <v>9</v>
      </c>
      <c r="D99" s="2050" t="s">
        <v>63</v>
      </c>
      <c r="E99" s="2051"/>
      <c r="F99" s="155" t="s">
        <v>64</v>
      </c>
      <c r="G99" s="156"/>
      <c r="H99" s="156"/>
      <c r="I99" s="156"/>
      <c r="J99" s="156"/>
      <c r="K99" s="156"/>
      <c r="L99" s="156"/>
      <c r="M99" s="157"/>
      <c r="N99" s="158"/>
      <c r="O99" s="158"/>
      <c r="P99" s="158"/>
    </row>
    <row r="100" spans="1:16" ht="100.5" customHeight="1">
      <c r="A100" s="2895"/>
      <c r="B100" s="2046"/>
      <c r="C100" s="2059"/>
      <c r="D100" s="159" t="s">
        <v>65</v>
      </c>
      <c r="E100" s="160" t="s">
        <v>66</v>
      </c>
      <c r="F100" s="161" t="s">
        <v>14</v>
      </c>
      <c r="G100" s="162" t="s">
        <v>67</v>
      </c>
      <c r="H100" s="163" t="s">
        <v>55</v>
      </c>
      <c r="I100" s="164" t="s">
        <v>56</v>
      </c>
      <c r="J100" s="164" t="s">
        <v>57</v>
      </c>
      <c r="K100" s="165" t="s">
        <v>68</v>
      </c>
      <c r="L100" s="163" t="s">
        <v>58</v>
      </c>
      <c r="M100" s="166" t="s">
        <v>59</v>
      </c>
      <c r="N100" s="158"/>
      <c r="O100" s="158"/>
      <c r="P100" s="158"/>
    </row>
    <row r="101" spans="1:16" ht="17.25" customHeight="1">
      <c r="A101" s="2876"/>
      <c r="B101" s="2877"/>
      <c r="C101" s="99">
        <v>2014</v>
      </c>
      <c r="D101" s="33"/>
      <c r="E101" s="34"/>
      <c r="F101" s="167"/>
      <c r="G101" s="168"/>
      <c r="H101" s="168"/>
      <c r="I101" s="168"/>
      <c r="J101" s="168"/>
      <c r="K101" s="168"/>
      <c r="L101" s="168"/>
      <c r="M101" s="169"/>
      <c r="N101" s="158"/>
      <c r="O101" s="158"/>
      <c r="P101" s="158"/>
    </row>
    <row r="102" spans="1:16" ht="16.5" customHeight="1">
      <c r="A102" s="2878"/>
      <c r="B102" s="2877"/>
      <c r="C102" s="103">
        <v>2015</v>
      </c>
      <c r="D102" s="104"/>
      <c r="E102" s="104"/>
      <c r="F102" s="170"/>
      <c r="G102" s="104"/>
      <c r="H102" s="104"/>
      <c r="I102" s="104"/>
      <c r="J102" s="104"/>
      <c r="K102" s="104"/>
      <c r="L102" s="104"/>
      <c r="M102" s="172"/>
      <c r="N102" s="158"/>
      <c r="O102" s="158"/>
      <c r="P102" s="158"/>
    </row>
    <row r="103" spans="1:16" ht="16.5" customHeight="1">
      <c r="A103" s="2878"/>
      <c r="B103" s="2877"/>
      <c r="C103" s="103">
        <v>2016</v>
      </c>
      <c r="D103" s="40">
        <f>SUM('dolnośląskie:ODR woj. zachodniopomorskie'!D100)</f>
        <v>20</v>
      </c>
      <c r="E103" s="40">
        <f>SUM('dolnośląskie:ODR woj. zachodniopomorskie'!E100)</f>
        <v>128</v>
      </c>
      <c r="F103" s="170">
        <f>SUM('dolnośląskie:ODR woj. zachodniopomorskie'!F100)</f>
        <v>1</v>
      </c>
      <c r="G103" s="40">
        <f>SUM('dolnośląskie:ODR woj. zachodniopomorskie'!G100)</f>
        <v>0</v>
      </c>
      <c r="H103" s="40">
        <f>SUM('dolnośląskie:ODR woj. zachodniopomorskie'!H100)</f>
        <v>0</v>
      </c>
      <c r="I103" s="40">
        <f>SUM('dolnośląskie:ODR woj. zachodniopomorskie'!I100)</f>
        <v>1</v>
      </c>
      <c r="J103" s="40">
        <f>SUM('dolnośląskie:ODR woj. zachodniopomorskie'!J100)</f>
        <v>1</v>
      </c>
      <c r="K103" s="40">
        <f>SUM('dolnośląskie:ODR woj. zachodniopomorskie'!K100)</f>
        <v>0</v>
      </c>
      <c r="L103" s="40">
        <f>SUM('dolnośląskie:ODR woj. zachodniopomorskie'!L100)</f>
        <v>0</v>
      </c>
      <c r="M103" s="172">
        <f>SUM('dolnośląskie:ODR woj. zachodniopomorskie'!M100)</f>
        <v>17</v>
      </c>
      <c r="N103" s="158"/>
      <c r="O103" s="158"/>
      <c r="P103" s="158"/>
    </row>
    <row r="104" spans="1:16" ht="16.5" customHeight="1">
      <c r="A104" s="2878"/>
      <c r="B104" s="2877"/>
      <c r="C104" s="103">
        <v>2017</v>
      </c>
      <c r="D104" s="40">
        <f>SUM('dolnośląskie:ODR woj. zachodniopomorskie'!D101)</f>
        <v>22</v>
      </c>
      <c r="E104" s="40">
        <f>SUM('dolnośląskie:ODR woj. zachodniopomorskie'!E101)</f>
        <v>88</v>
      </c>
      <c r="F104" s="170">
        <f>SUM('dolnośląskie:ODR woj. zachodniopomorskie'!F101)</f>
        <v>2</v>
      </c>
      <c r="G104" s="40">
        <f>SUM('dolnośląskie:ODR woj. zachodniopomorskie'!G101)</f>
        <v>0</v>
      </c>
      <c r="H104" s="40">
        <f>SUM('dolnośląskie:ODR woj. zachodniopomorskie'!H101)</f>
        <v>0</v>
      </c>
      <c r="I104" s="40">
        <f>SUM('dolnośląskie:ODR woj. zachodniopomorskie'!I101)</f>
        <v>0</v>
      </c>
      <c r="J104" s="40">
        <f>SUM('dolnośląskie:ODR woj. zachodniopomorskie'!J101)</f>
        <v>1</v>
      </c>
      <c r="K104" s="40">
        <f>SUM('dolnośląskie:ODR woj. zachodniopomorskie'!K101)</f>
        <v>0</v>
      </c>
      <c r="L104" s="40">
        <f>SUM('dolnośląskie:ODR woj. zachodniopomorskie'!L101)</f>
        <v>0</v>
      </c>
      <c r="M104" s="172">
        <f>SUM('dolnośląskie:ODR woj. zachodniopomorskie'!M101)</f>
        <v>19</v>
      </c>
      <c r="N104" s="158"/>
      <c r="O104" s="158"/>
      <c r="P104" s="158"/>
    </row>
    <row r="105" spans="1:16" ht="15.75" customHeight="1">
      <c r="A105" s="2878"/>
      <c r="B105" s="2877"/>
      <c r="C105" s="103">
        <v>2018</v>
      </c>
      <c r="D105" s="40"/>
      <c r="E105" s="41"/>
      <c r="F105" s="170"/>
      <c r="G105" s="171"/>
      <c r="H105" s="171"/>
      <c r="I105" s="171"/>
      <c r="J105" s="171"/>
      <c r="K105" s="171"/>
      <c r="L105" s="171"/>
      <c r="M105" s="172"/>
      <c r="N105" s="158"/>
      <c r="O105" s="158"/>
      <c r="P105" s="158"/>
    </row>
    <row r="106" spans="1:16" ht="14.25" customHeight="1">
      <c r="A106" s="2878"/>
      <c r="B106" s="2877"/>
      <c r="C106" s="103">
        <v>2019</v>
      </c>
      <c r="D106" s="40"/>
      <c r="E106" s="41"/>
      <c r="F106" s="170"/>
      <c r="G106" s="171"/>
      <c r="H106" s="171"/>
      <c r="I106" s="171"/>
      <c r="J106" s="171"/>
      <c r="K106" s="171"/>
      <c r="L106" s="171"/>
      <c r="M106" s="172"/>
      <c r="N106" s="158"/>
      <c r="O106" s="158"/>
      <c r="P106" s="158"/>
    </row>
    <row r="107" spans="1:16" ht="14.25" customHeight="1">
      <c r="A107" s="2878"/>
      <c r="B107" s="2877"/>
      <c r="C107" s="103">
        <v>2020</v>
      </c>
      <c r="D107" s="40"/>
      <c r="E107" s="41"/>
      <c r="F107" s="170"/>
      <c r="G107" s="171"/>
      <c r="H107" s="171"/>
      <c r="I107" s="171"/>
      <c r="J107" s="171"/>
      <c r="K107" s="171"/>
      <c r="L107" s="171"/>
      <c r="M107" s="172"/>
      <c r="N107" s="158"/>
      <c r="O107" s="158"/>
      <c r="P107" s="158"/>
    </row>
    <row r="108" spans="1:16" ht="19.5" customHeight="1" thickBot="1">
      <c r="A108" s="2879"/>
      <c r="B108" s="2896"/>
      <c r="C108" s="106" t="s">
        <v>13</v>
      </c>
      <c r="D108" s="132">
        <f>SUM(D101:D107)</f>
        <v>42</v>
      </c>
      <c r="E108" s="109">
        <f t="shared" ref="E108:K108" si="8">SUM(E101:E107)</f>
        <v>216</v>
      </c>
      <c r="F108" s="173">
        <f t="shared" si="8"/>
        <v>3</v>
      </c>
      <c r="G108" s="174">
        <f t="shared" si="8"/>
        <v>0</v>
      </c>
      <c r="H108" s="174">
        <f t="shared" si="8"/>
        <v>0</v>
      </c>
      <c r="I108" s="174">
        <f>SUM(I101:I107)</f>
        <v>1</v>
      </c>
      <c r="J108" s="174">
        <f t="shared" si="8"/>
        <v>2</v>
      </c>
      <c r="K108" s="174">
        <f t="shared" si="8"/>
        <v>0</v>
      </c>
      <c r="L108" s="174">
        <f>SUM(L101:L107)</f>
        <v>0</v>
      </c>
      <c r="M108" s="175">
        <f>SUM(M101:M107)</f>
        <v>36</v>
      </c>
      <c r="N108" s="158"/>
      <c r="O108" s="158"/>
      <c r="P108" s="158"/>
    </row>
    <row r="109" spans="1:16" ht="15.75" thickBot="1">
      <c r="A109" s="176"/>
      <c r="B109" s="176"/>
      <c r="C109" s="177"/>
      <c r="D109" s="8"/>
      <c r="E109" s="8"/>
      <c r="H109" s="178"/>
      <c r="I109" s="178"/>
      <c r="J109" s="178"/>
      <c r="K109" s="178"/>
      <c r="L109" s="178"/>
      <c r="M109" s="178"/>
      <c r="N109" s="178"/>
    </row>
    <row r="110" spans="1:16" ht="15" customHeight="1">
      <c r="A110" s="2145" t="s">
        <v>69</v>
      </c>
      <c r="B110" s="2146" t="s">
        <v>62</v>
      </c>
      <c r="C110" s="2148" t="s">
        <v>9</v>
      </c>
      <c r="D110" s="2060" t="s">
        <v>70</v>
      </c>
      <c r="E110" s="155" t="s">
        <v>71</v>
      </c>
      <c r="F110" s="156"/>
      <c r="G110" s="156"/>
      <c r="H110" s="156"/>
      <c r="I110" s="156"/>
      <c r="J110" s="156"/>
      <c r="K110" s="156"/>
      <c r="L110" s="157"/>
      <c r="M110" s="178"/>
      <c r="N110" s="178"/>
    </row>
    <row r="111" spans="1:16" ht="103.5" customHeight="1">
      <c r="A111" s="2895"/>
      <c r="B111" s="2046"/>
      <c r="C111" s="2059"/>
      <c r="D111" s="2061"/>
      <c r="E111" s="161" t="s">
        <v>14</v>
      </c>
      <c r="F111" s="162" t="s">
        <v>67</v>
      </c>
      <c r="G111" s="163" t="s">
        <v>55</v>
      </c>
      <c r="H111" s="164" t="s">
        <v>56</v>
      </c>
      <c r="I111" s="164" t="s">
        <v>57</v>
      </c>
      <c r="J111" s="165" t="s">
        <v>68</v>
      </c>
      <c r="K111" s="163" t="s">
        <v>58</v>
      </c>
      <c r="L111" s="166" t="s">
        <v>59</v>
      </c>
      <c r="M111" s="178"/>
      <c r="N111" s="178"/>
    </row>
    <row r="112" spans="1:16">
      <c r="A112" s="2881"/>
      <c r="B112" s="2039"/>
      <c r="C112" s="99">
        <v>2014</v>
      </c>
      <c r="D112" s="34"/>
      <c r="E112" s="167"/>
      <c r="F112" s="168"/>
      <c r="G112" s="168"/>
      <c r="H112" s="168"/>
      <c r="I112" s="168"/>
      <c r="J112" s="168"/>
      <c r="K112" s="168"/>
      <c r="L112" s="169"/>
      <c r="M112" s="178"/>
      <c r="N112" s="178"/>
    </row>
    <row r="113" spans="1:14">
      <c r="A113" s="2048"/>
      <c r="B113" s="2039"/>
      <c r="C113" s="103">
        <v>2015</v>
      </c>
      <c r="D113" s="104"/>
      <c r="E113" s="170"/>
      <c r="F113" s="104"/>
      <c r="G113" s="104"/>
      <c r="H113" s="104"/>
      <c r="I113" s="104"/>
      <c r="J113" s="104"/>
      <c r="K113" s="104"/>
      <c r="L113" s="172"/>
      <c r="M113" s="178"/>
      <c r="N113" s="178"/>
    </row>
    <row r="114" spans="1:14">
      <c r="A114" s="2048"/>
      <c r="B114" s="2039"/>
      <c r="C114" s="103">
        <v>2016</v>
      </c>
      <c r="D114" s="40">
        <f>SUM('dolnośląskie:ODR woj. zachodniopomorskie'!D111)</f>
        <v>23</v>
      </c>
      <c r="E114" s="170">
        <f>SUM('dolnośląskie:ODR woj. zachodniopomorskie'!E111)</f>
        <v>18</v>
      </c>
      <c r="F114" s="40">
        <f>SUM('dolnośląskie:ODR woj. zachodniopomorskie'!F111)</f>
        <v>0</v>
      </c>
      <c r="G114" s="40">
        <f>SUM('dolnośląskie:ODR woj. zachodniopomorskie'!G111)</f>
        <v>0</v>
      </c>
      <c r="H114" s="40">
        <f>SUM('dolnośląskie:ODR woj. zachodniopomorskie'!H111)</f>
        <v>0</v>
      </c>
      <c r="I114" s="40">
        <f>SUM('dolnośląskie:ODR woj. zachodniopomorskie'!I111)</f>
        <v>1</v>
      </c>
      <c r="J114" s="40">
        <f>SUM('dolnośląskie:ODR woj. zachodniopomorskie'!J111)</f>
        <v>0</v>
      </c>
      <c r="K114" s="40">
        <f>SUM('dolnośląskie:ODR woj. zachodniopomorskie'!K111)</f>
        <v>0</v>
      </c>
      <c r="L114" s="172">
        <f>SUM('dolnośląskie:ODR woj. zachodniopomorskie'!L111)</f>
        <v>4</v>
      </c>
      <c r="M114" s="178"/>
      <c r="N114" s="178"/>
    </row>
    <row r="115" spans="1:14">
      <c r="A115" s="2048"/>
      <c r="B115" s="2039"/>
      <c r="C115" s="103">
        <v>2017</v>
      </c>
      <c r="D115" s="40">
        <f>SUM('dolnośląskie:ODR woj. zachodniopomorskie'!D112)</f>
        <v>41</v>
      </c>
      <c r="E115" s="170">
        <f>SUM('dolnośląskie:ODR woj. zachodniopomorskie'!E112)</f>
        <v>34</v>
      </c>
      <c r="F115" s="40">
        <f>SUM('dolnośląskie:ODR woj. zachodniopomorskie'!F112)</f>
        <v>0</v>
      </c>
      <c r="G115" s="40">
        <f>SUM('dolnośląskie:ODR woj. zachodniopomorskie'!G112)</f>
        <v>0</v>
      </c>
      <c r="H115" s="40">
        <f>SUM('dolnośląskie:ODR woj. zachodniopomorskie'!H112)</f>
        <v>0</v>
      </c>
      <c r="I115" s="40">
        <f>SUM('dolnośląskie:ODR woj. zachodniopomorskie'!I112)</f>
        <v>1</v>
      </c>
      <c r="J115" s="40">
        <f>SUM('dolnośląskie:ODR woj. zachodniopomorskie'!J112)</f>
        <v>0</v>
      </c>
      <c r="K115" s="40">
        <f>SUM('dolnośląskie:ODR woj. zachodniopomorskie'!K112)</f>
        <v>0</v>
      </c>
      <c r="L115" s="172">
        <f>SUM('dolnośląskie:ODR woj. zachodniopomorskie'!L112)</f>
        <v>6</v>
      </c>
      <c r="M115" s="178"/>
      <c r="N115" s="178"/>
    </row>
    <row r="116" spans="1:14">
      <c r="A116" s="2048"/>
      <c r="B116" s="2039"/>
      <c r="C116" s="103">
        <v>2018</v>
      </c>
      <c r="D116" s="41"/>
      <c r="E116" s="170"/>
      <c r="F116" s="171"/>
      <c r="G116" s="171"/>
      <c r="H116" s="171"/>
      <c r="I116" s="171"/>
      <c r="J116" s="171"/>
      <c r="K116" s="171"/>
      <c r="L116" s="172"/>
      <c r="M116" s="178"/>
      <c r="N116" s="178"/>
    </row>
    <row r="117" spans="1:14">
      <c r="A117" s="2048"/>
      <c r="B117" s="2039"/>
      <c r="C117" s="103">
        <v>2019</v>
      </c>
      <c r="D117" s="41"/>
      <c r="E117" s="170"/>
      <c r="F117" s="171"/>
      <c r="G117" s="171"/>
      <c r="H117" s="171"/>
      <c r="I117" s="171"/>
      <c r="J117" s="171"/>
      <c r="K117" s="171"/>
      <c r="L117" s="172"/>
      <c r="M117" s="178"/>
      <c r="N117" s="178"/>
    </row>
    <row r="118" spans="1:14">
      <c r="A118" s="2048"/>
      <c r="B118" s="2039"/>
      <c r="C118" s="103">
        <v>2020</v>
      </c>
      <c r="D118" s="41"/>
      <c r="E118" s="170"/>
      <c r="F118" s="171"/>
      <c r="G118" s="171"/>
      <c r="H118" s="171"/>
      <c r="I118" s="171"/>
      <c r="J118" s="171"/>
      <c r="K118" s="171"/>
      <c r="L118" s="172"/>
      <c r="M118" s="178"/>
      <c r="N118" s="178"/>
    </row>
    <row r="119" spans="1:14" ht="25.5" customHeight="1" thickBot="1">
      <c r="A119" s="2049"/>
      <c r="B119" s="2144"/>
      <c r="C119" s="106" t="s">
        <v>13</v>
      </c>
      <c r="D119" s="109">
        <f t="shared" ref="D119:I119" si="9">SUM(D112:D118)</f>
        <v>64</v>
      </c>
      <c r="E119" s="173">
        <f t="shared" si="9"/>
        <v>52</v>
      </c>
      <c r="F119" s="174">
        <f t="shared" si="9"/>
        <v>0</v>
      </c>
      <c r="G119" s="174">
        <f t="shared" si="9"/>
        <v>0</v>
      </c>
      <c r="H119" s="174">
        <f t="shared" si="9"/>
        <v>0</v>
      </c>
      <c r="I119" s="174">
        <f t="shared" si="9"/>
        <v>2</v>
      </c>
      <c r="J119" s="174"/>
      <c r="K119" s="174">
        <f>SUM(K112:K118)</f>
        <v>0</v>
      </c>
      <c r="L119" s="175">
        <f>SUM(L112:L118)</f>
        <v>10</v>
      </c>
      <c r="M119" s="178"/>
      <c r="N119" s="178"/>
    </row>
    <row r="120" spans="1:14" ht="21.75" thickBot="1">
      <c r="A120" s="179"/>
      <c r="B120" s="180"/>
      <c r="C120" s="66"/>
      <c r="D120" s="66"/>
      <c r="E120" s="66"/>
      <c r="F120" s="66"/>
      <c r="G120" s="66"/>
      <c r="H120" s="66"/>
      <c r="I120" s="66"/>
      <c r="J120" s="66"/>
      <c r="K120" s="66"/>
      <c r="L120" s="66"/>
      <c r="M120" s="178"/>
      <c r="N120" s="178"/>
    </row>
    <row r="121" spans="1:14" ht="15" customHeight="1">
      <c r="A121" s="2145" t="s">
        <v>72</v>
      </c>
      <c r="B121" s="2146" t="s">
        <v>62</v>
      </c>
      <c r="C121" s="2148" t="s">
        <v>9</v>
      </c>
      <c r="D121" s="2060" t="s">
        <v>73</v>
      </c>
      <c r="E121" s="155" t="s">
        <v>71</v>
      </c>
      <c r="F121" s="156"/>
      <c r="G121" s="156"/>
      <c r="H121" s="156"/>
      <c r="I121" s="156"/>
      <c r="J121" s="156"/>
      <c r="K121" s="156"/>
      <c r="L121" s="157"/>
      <c r="M121" s="178"/>
      <c r="N121" s="178"/>
    </row>
    <row r="122" spans="1:14" ht="120.75" customHeight="1">
      <c r="A122" s="2895"/>
      <c r="B122" s="2046"/>
      <c r="C122" s="2059"/>
      <c r="D122" s="2061"/>
      <c r="E122" s="161" t="s">
        <v>14</v>
      </c>
      <c r="F122" s="162" t="s">
        <v>67</v>
      </c>
      <c r="G122" s="163" t="s">
        <v>55</v>
      </c>
      <c r="H122" s="164" t="s">
        <v>56</v>
      </c>
      <c r="I122" s="164" t="s">
        <v>57</v>
      </c>
      <c r="J122" s="165" t="s">
        <v>68</v>
      </c>
      <c r="K122" s="163" t="s">
        <v>58</v>
      </c>
      <c r="L122" s="166" t="s">
        <v>59</v>
      </c>
      <c r="M122" s="178"/>
      <c r="N122" s="178"/>
    </row>
    <row r="123" spans="1:14">
      <c r="A123" s="2761"/>
      <c r="B123" s="2874"/>
      <c r="C123" s="99">
        <v>2014</v>
      </c>
      <c r="D123" s="34"/>
      <c r="E123" s="167"/>
      <c r="F123" s="168"/>
      <c r="G123" s="168"/>
      <c r="H123" s="168"/>
      <c r="I123" s="168"/>
      <c r="J123" s="168"/>
      <c r="K123" s="168"/>
      <c r="L123" s="169"/>
      <c r="M123" s="178"/>
      <c r="N123" s="178"/>
    </row>
    <row r="124" spans="1:14">
      <c r="A124" s="2745"/>
      <c r="B124" s="2874"/>
      <c r="C124" s="103">
        <v>2015</v>
      </c>
      <c r="D124" s="104"/>
      <c r="E124" s="170"/>
      <c r="F124" s="104"/>
      <c r="G124" s="104"/>
      <c r="H124" s="104"/>
      <c r="I124" s="104"/>
      <c r="J124" s="104"/>
      <c r="K124" s="104"/>
      <c r="L124" s="172"/>
      <c r="M124" s="178"/>
      <c r="N124" s="178"/>
    </row>
    <row r="125" spans="1:14">
      <c r="A125" s="2745"/>
      <c r="B125" s="2874"/>
      <c r="C125" s="103">
        <v>2016</v>
      </c>
      <c r="D125" s="104">
        <f>SUM('dolnośląskie:ODR woj. zachodniopomorskie'!D122)</f>
        <v>11</v>
      </c>
      <c r="E125" s="170">
        <f>SUM('dolnośląskie:ODR woj. zachodniopomorskie'!E122)</f>
        <v>3</v>
      </c>
      <c r="F125" s="40">
        <f>SUM('dolnośląskie:ODR woj. zachodniopomorskie'!F122)</f>
        <v>0</v>
      </c>
      <c r="G125" s="40">
        <f>SUM('dolnośląskie:ODR woj. zachodniopomorskie'!G122)</f>
        <v>0</v>
      </c>
      <c r="H125" s="40">
        <f>SUM('dolnośląskie:ODR woj. zachodniopomorskie'!H122)</f>
        <v>0</v>
      </c>
      <c r="I125" s="40">
        <f>SUM('dolnośląskie:ODR woj. zachodniopomorskie'!I122)</f>
        <v>1</v>
      </c>
      <c r="J125" s="40">
        <f>SUM('dolnośląskie:ODR woj. zachodniopomorskie'!J122)</f>
        <v>0</v>
      </c>
      <c r="K125" s="40">
        <f>SUM('dolnośląskie:ODR woj. zachodniopomorskie'!K122)</f>
        <v>0</v>
      </c>
      <c r="L125" s="172">
        <f>SUM('dolnośląskie:ODR woj. zachodniopomorskie'!L122)</f>
        <v>7</v>
      </c>
      <c r="M125" s="178"/>
      <c r="N125" s="178"/>
    </row>
    <row r="126" spans="1:14">
      <c r="A126" s="2745"/>
      <c r="B126" s="2874"/>
      <c r="C126" s="103">
        <v>2017</v>
      </c>
      <c r="D126" s="104">
        <f>SUM('dolnośląskie:ODR woj. zachodniopomorskie'!D123)</f>
        <v>1</v>
      </c>
      <c r="E126" s="170">
        <f>SUM('dolnośląskie:ODR woj. zachodniopomorskie'!E123)</f>
        <v>1</v>
      </c>
      <c r="F126" s="40">
        <f>SUM('dolnośląskie:ODR woj. zachodniopomorskie'!F123)</f>
        <v>0</v>
      </c>
      <c r="G126" s="40">
        <f>SUM('dolnośląskie:ODR woj. zachodniopomorskie'!G123)</f>
        <v>0</v>
      </c>
      <c r="H126" s="40">
        <f>SUM('dolnośląskie:ODR woj. zachodniopomorskie'!H123)</f>
        <v>0</v>
      </c>
      <c r="I126" s="40">
        <f>SUM('dolnośląskie:ODR woj. zachodniopomorskie'!I123)</f>
        <v>0</v>
      </c>
      <c r="J126" s="40">
        <f>SUM('dolnośląskie:ODR woj. zachodniopomorskie'!J123)</f>
        <v>0</v>
      </c>
      <c r="K126" s="40">
        <f>SUM('dolnośląskie:ODR woj. zachodniopomorskie'!K123)</f>
        <v>0</v>
      </c>
      <c r="L126" s="172">
        <f>SUM('dolnośląskie:ODR woj. zachodniopomorskie'!L123)</f>
        <v>0</v>
      </c>
      <c r="M126" s="178"/>
      <c r="N126" s="178"/>
    </row>
    <row r="127" spans="1:14">
      <c r="A127" s="2745"/>
      <c r="B127" s="2874"/>
      <c r="C127" s="103">
        <v>2018</v>
      </c>
      <c r="D127" s="41"/>
      <c r="E127" s="170"/>
      <c r="F127" s="171"/>
      <c r="G127" s="171"/>
      <c r="H127" s="171"/>
      <c r="I127" s="171"/>
      <c r="J127" s="171"/>
      <c r="K127" s="171"/>
      <c r="L127" s="172"/>
      <c r="M127" s="178"/>
      <c r="N127" s="178"/>
    </row>
    <row r="128" spans="1:14">
      <c r="A128" s="2745"/>
      <c r="B128" s="2874"/>
      <c r="C128" s="103">
        <v>2019</v>
      </c>
      <c r="D128" s="41"/>
      <c r="E128" s="170"/>
      <c r="F128" s="171"/>
      <c r="G128" s="171"/>
      <c r="H128" s="171"/>
      <c r="I128" s="171"/>
      <c r="J128" s="171"/>
      <c r="K128" s="171"/>
      <c r="L128" s="172"/>
      <c r="M128" s="178"/>
      <c r="N128" s="178"/>
    </row>
    <row r="129" spans="1:16">
      <c r="A129" s="2745"/>
      <c r="B129" s="2874"/>
      <c r="C129" s="103">
        <v>2020</v>
      </c>
      <c r="D129" s="41"/>
      <c r="E129" s="170"/>
      <c r="F129" s="171"/>
      <c r="G129" s="171"/>
      <c r="H129" s="171"/>
      <c r="I129" s="171"/>
      <c r="J129" s="171"/>
      <c r="K129" s="171"/>
      <c r="L129" s="172"/>
      <c r="M129" s="178"/>
      <c r="N129" s="178"/>
    </row>
    <row r="130" spans="1:16" ht="15.75" thickBot="1">
      <c r="A130" s="2747"/>
      <c r="B130" s="2894"/>
      <c r="C130" s="106" t="s">
        <v>13</v>
      </c>
      <c r="D130" s="109">
        <f t="shared" ref="D130:I130" si="10">SUM(D123:D129)</f>
        <v>12</v>
      </c>
      <c r="E130" s="173">
        <f t="shared" si="10"/>
        <v>4</v>
      </c>
      <c r="F130" s="174">
        <f t="shared" si="10"/>
        <v>0</v>
      </c>
      <c r="G130" s="174">
        <f t="shared" si="10"/>
        <v>0</v>
      </c>
      <c r="H130" s="174">
        <f t="shared" si="10"/>
        <v>0</v>
      </c>
      <c r="I130" s="174">
        <f t="shared" si="10"/>
        <v>1</v>
      </c>
      <c r="J130" s="174"/>
      <c r="K130" s="174">
        <f>SUM(K123:K129)</f>
        <v>0</v>
      </c>
      <c r="L130" s="175">
        <f>SUM(L123:L129)</f>
        <v>7</v>
      </c>
      <c r="M130" s="178"/>
      <c r="N130" s="178"/>
    </row>
    <row r="131" spans="1:16" ht="15.75" thickBot="1">
      <c r="A131" s="176"/>
      <c r="B131" s="176"/>
      <c r="C131" s="177"/>
      <c r="D131" s="8"/>
      <c r="E131" s="8"/>
      <c r="H131" s="178"/>
      <c r="I131" s="178"/>
      <c r="J131" s="178"/>
      <c r="K131" s="178"/>
      <c r="L131" s="178"/>
      <c r="M131" s="178"/>
      <c r="N131" s="178"/>
    </row>
    <row r="132" spans="1:16" ht="15" customHeight="1">
      <c r="A132" s="2145" t="s">
        <v>75</v>
      </c>
      <c r="B132" s="2146" t="s">
        <v>62</v>
      </c>
      <c r="C132" s="1657" t="s">
        <v>9</v>
      </c>
      <c r="D132" s="182" t="s">
        <v>76</v>
      </c>
      <c r="E132" s="183"/>
      <c r="F132" s="183"/>
      <c r="G132" s="184"/>
      <c r="H132" s="178"/>
      <c r="I132" s="178"/>
      <c r="J132" s="178"/>
      <c r="K132" s="178"/>
      <c r="L132" s="178"/>
      <c r="M132" s="178"/>
      <c r="N132" s="178"/>
    </row>
    <row r="133" spans="1:16" ht="77.25" customHeight="1">
      <c r="A133" s="2895"/>
      <c r="B133" s="2046"/>
      <c r="C133" s="1653"/>
      <c r="D133" s="159" t="s">
        <v>77</v>
      </c>
      <c r="E133" s="186" t="s">
        <v>78</v>
      </c>
      <c r="F133" s="160" t="s">
        <v>79</v>
      </c>
      <c r="G133" s="187" t="s">
        <v>13</v>
      </c>
      <c r="H133" s="178"/>
      <c r="I133" s="178"/>
      <c r="J133" s="178"/>
      <c r="K133" s="178"/>
      <c r="L133" s="178"/>
      <c r="M133" s="178"/>
      <c r="N133" s="178"/>
    </row>
    <row r="134" spans="1:16" ht="15" customHeight="1">
      <c r="A134" s="2216"/>
      <c r="B134" s="2190"/>
      <c r="C134" s="460">
        <v>2015</v>
      </c>
      <c r="D134" s="104"/>
      <c r="E134" s="104"/>
      <c r="F134" s="104"/>
      <c r="G134" s="191">
        <f t="shared" ref="G134:G139" si="11">SUM(D134:F134)</f>
        <v>0</v>
      </c>
      <c r="H134" s="178"/>
      <c r="I134" s="178"/>
      <c r="J134" s="178"/>
      <c r="K134" s="178"/>
      <c r="L134" s="178"/>
      <c r="M134" s="178"/>
      <c r="N134" s="178"/>
    </row>
    <row r="135" spans="1:16">
      <c r="A135" s="2218"/>
      <c r="B135" s="2190"/>
      <c r="C135" s="103">
        <v>2016</v>
      </c>
      <c r="D135" s="40">
        <f>SUM('dolnośląskie:ODR woj. zachodniopomorskie'!D132)</f>
        <v>1778</v>
      </c>
      <c r="E135" s="40">
        <f>SUM('dolnośląskie:ODR woj. zachodniopomorskie'!E132)</f>
        <v>162</v>
      </c>
      <c r="F135" s="40">
        <f>SUM('dolnośląskie:ODR woj. zachodniopomorskie'!F132)</f>
        <v>1742</v>
      </c>
      <c r="G135" s="191">
        <f t="shared" si="11"/>
        <v>3682</v>
      </c>
      <c r="H135" s="178"/>
      <c r="I135" s="178"/>
      <c r="J135" s="178"/>
      <c r="K135" s="178"/>
      <c r="L135" s="178"/>
      <c r="M135" s="178"/>
      <c r="N135" s="178"/>
    </row>
    <row r="136" spans="1:16">
      <c r="A136" s="2218"/>
      <c r="B136" s="2190"/>
      <c r="C136" s="103">
        <v>2017</v>
      </c>
      <c r="D136" s="40">
        <f>SUM('dolnośląskie:ODR woj. zachodniopomorskie'!D133)</f>
        <v>1275</v>
      </c>
      <c r="E136" s="40">
        <f>SUM('dolnośląskie:ODR woj. zachodniopomorskie'!E133)</f>
        <v>207</v>
      </c>
      <c r="F136" s="40">
        <f>SUM('dolnośląskie:ODR woj. zachodniopomorskie'!F133)</f>
        <v>979</v>
      </c>
      <c r="G136" s="191">
        <f t="shared" si="11"/>
        <v>2461</v>
      </c>
      <c r="H136" s="178"/>
      <c r="I136" s="178"/>
      <c r="J136" s="178"/>
      <c r="K136" s="178"/>
      <c r="L136" s="178"/>
      <c r="M136" s="178"/>
      <c r="N136" s="178"/>
    </row>
    <row r="137" spans="1:16">
      <c r="A137" s="2218"/>
      <c r="B137" s="2190"/>
      <c r="C137" s="103">
        <v>2018</v>
      </c>
      <c r="D137" s="40"/>
      <c r="E137" s="41"/>
      <c r="F137" s="41"/>
      <c r="G137" s="191">
        <f t="shared" si="11"/>
        <v>0</v>
      </c>
      <c r="H137" s="178"/>
      <c r="I137" s="178"/>
      <c r="J137" s="178"/>
      <c r="K137" s="178"/>
      <c r="L137" s="178"/>
      <c r="M137" s="178"/>
      <c r="N137" s="178"/>
    </row>
    <row r="138" spans="1:16">
      <c r="A138" s="2218"/>
      <c r="B138" s="2190"/>
      <c r="C138" s="103">
        <v>2019</v>
      </c>
      <c r="D138" s="40"/>
      <c r="E138" s="41"/>
      <c r="F138" s="41"/>
      <c r="G138" s="191">
        <f t="shared" si="11"/>
        <v>0</v>
      </c>
      <c r="H138" s="178"/>
      <c r="I138" s="178"/>
      <c r="J138" s="178"/>
      <c r="K138" s="178"/>
      <c r="L138" s="178"/>
      <c r="M138" s="178"/>
      <c r="N138" s="178"/>
    </row>
    <row r="139" spans="1:16">
      <c r="A139" s="2218"/>
      <c r="B139" s="2190"/>
      <c r="C139" s="103">
        <v>2020</v>
      </c>
      <c r="D139" s="40"/>
      <c r="E139" s="41"/>
      <c r="F139" s="41"/>
      <c r="G139" s="191">
        <f t="shared" si="11"/>
        <v>0</v>
      </c>
      <c r="H139" s="178"/>
      <c r="I139" s="178"/>
      <c r="J139" s="178"/>
      <c r="K139" s="178"/>
      <c r="L139" s="178"/>
      <c r="M139" s="178"/>
      <c r="N139" s="178"/>
    </row>
    <row r="140" spans="1:16" ht="17.25" customHeight="1" thickBot="1">
      <c r="A140" s="2219"/>
      <c r="B140" s="2892"/>
      <c r="C140" s="106" t="s">
        <v>13</v>
      </c>
      <c r="D140" s="132">
        <f>SUM(D134:D139)</f>
        <v>3053</v>
      </c>
      <c r="E140" s="132">
        <f t="shared" ref="E140:F140" si="12">SUM(E134:E139)</f>
        <v>369</v>
      </c>
      <c r="F140" s="132">
        <f t="shared" si="12"/>
        <v>2721</v>
      </c>
      <c r="G140" s="192">
        <f>SUM(G134:G139)</f>
        <v>6143</v>
      </c>
      <c r="H140" s="178"/>
      <c r="I140" s="178"/>
      <c r="J140" s="178"/>
      <c r="K140" s="178"/>
      <c r="L140" s="178"/>
      <c r="M140" s="178"/>
      <c r="N140" s="178"/>
    </row>
    <row r="141" spans="1:16">
      <c r="A141" s="176"/>
      <c r="B141" s="176"/>
      <c r="C141" s="177"/>
      <c r="D141" s="8"/>
      <c r="E141" s="8"/>
      <c r="H141" s="178"/>
      <c r="I141" s="178"/>
      <c r="J141" s="178"/>
      <c r="K141" s="178"/>
      <c r="L141" s="178"/>
      <c r="M141" s="178"/>
      <c r="N141" s="178"/>
    </row>
    <row r="142" spans="1:16" s="66" customFormat="1" ht="33" customHeight="1">
      <c r="A142" s="346"/>
      <c r="B142" s="79"/>
      <c r="C142" s="80"/>
      <c r="D142" s="38"/>
      <c r="E142" s="38"/>
      <c r="F142" s="38"/>
      <c r="G142" s="38"/>
      <c r="H142" s="38"/>
      <c r="I142" s="263"/>
      <c r="J142" s="262"/>
      <c r="K142" s="262"/>
      <c r="L142" s="262"/>
      <c r="M142" s="262"/>
      <c r="N142" s="262"/>
      <c r="O142" s="262"/>
      <c r="P142" s="262"/>
    </row>
    <row r="143" spans="1:16" ht="21">
      <c r="A143" s="197" t="s">
        <v>80</v>
      </c>
      <c r="B143" s="197"/>
      <c r="C143" s="198"/>
      <c r="D143" s="198"/>
      <c r="E143" s="198"/>
      <c r="F143" s="198"/>
      <c r="G143" s="198"/>
      <c r="H143" s="198"/>
      <c r="I143" s="198"/>
      <c r="J143" s="198"/>
      <c r="K143" s="198"/>
      <c r="L143" s="198"/>
      <c r="M143" s="198"/>
      <c r="N143" s="198"/>
      <c r="O143" s="153"/>
      <c r="P143" s="153"/>
    </row>
    <row r="144" spans="1:16" ht="21.75" customHeight="1" thickBot="1">
      <c r="A144" s="199"/>
      <c r="B144" s="112"/>
      <c r="C144" s="134"/>
      <c r="D144" s="77"/>
      <c r="E144" s="77"/>
      <c r="F144" s="77"/>
      <c r="G144" s="77"/>
      <c r="H144" s="77"/>
      <c r="I144" s="158"/>
      <c r="J144" s="158"/>
      <c r="K144" s="158"/>
      <c r="L144" s="158"/>
      <c r="M144" s="158"/>
      <c r="N144" s="158"/>
      <c r="O144" s="158"/>
      <c r="P144" s="158"/>
    </row>
    <row r="145" spans="1:16" ht="21.75" customHeight="1">
      <c r="A145" s="2162" t="s">
        <v>81</v>
      </c>
      <c r="B145" s="2160" t="s">
        <v>62</v>
      </c>
      <c r="C145" s="2155" t="s">
        <v>9</v>
      </c>
      <c r="D145" s="1642" t="s">
        <v>82</v>
      </c>
      <c r="E145" s="1643"/>
      <c r="F145" s="1643"/>
      <c r="G145" s="1643"/>
      <c r="H145" s="1643"/>
      <c r="I145" s="1644"/>
      <c r="J145" s="2156" t="s">
        <v>83</v>
      </c>
      <c r="K145" s="2157"/>
      <c r="L145" s="2157"/>
      <c r="M145" s="2157"/>
      <c r="N145" s="2158"/>
      <c r="O145" s="158"/>
      <c r="P145" s="158"/>
    </row>
    <row r="146" spans="1:16" ht="113.25" customHeight="1">
      <c r="A146" s="2897"/>
      <c r="B146" s="2075"/>
      <c r="C146" s="2084"/>
      <c r="D146" s="203" t="s">
        <v>84</v>
      </c>
      <c r="E146" s="204" t="s">
        <v>85</v>
      </c>
      <c r="F146" s="205" t="s">
        <v>86</v>
      </c>
      <c r="G146" s="205" t="s">
        <v>87</v>
      </c>
      <c r="H146" s="205" t="s">
        <v>88</v>
      </c>
      <c r="I146" s="206" t="s">
        <v>89</v>
      </c>
      <c r="J146" s="207" t="s">
        <v>90</v>
      </c>
      <c r="K146" s="208" t="s">
        <v>91</v>
      </c>
      <c r="L146" s="207" t="s">
        <v>92</v>
      </c>
      <c r="M146" s="208" t="s">
        <v>91</v>
      </c>
      <c r="N146" s="209" t="s">
        <v>93</v>
      </c>
      <c r="O146" s="158"/>
      <c r="P146" s="158"/>
    </row>
    <row r="147" spans="1:16" ht="19.5" customHeight="1">
      <c r="A147" s="2047"/>
      <c r="B147" s="2039"/>
      <c r="C147" s="99">
        <v>2014</v>
      </c>
      <c r="D147" s="33"/>
      <c r="E147" s="33"/>
      <c r="F147" s="34"/>
      <c r="G147" s="168"/>
      <c r="H147" s="168"/>
      <c r="I147" s="210">
        <f>D147+F147+G147+H147</f>
        <v>0</v>
      </c>
      <c r="J147" s="211"/>
      <c r="K147" s="212"/>
      <c r="L147" s="211"/>
      <c r="M147" s="212"/>
      <c r="N147" s="213"/>
      <c r="O147" s="158"/>
      <c r="P147" s="158"/>
    </row>
    <row r="148" spans="1:16" ht="19.5" customHeight="1">
      <c r="A148" s="2048"/>
      <c r="B148" s="2039"/>
      <c r="C148" s="103">
        <v>2015</v>
      </c>
      <c r="D148" s="104"/>
      <c r="E148" s="104"/>
      <c r="F148" s="104"/>
      <c r="G148" s="104"/>
      <c r="H148" s="104"/>
      <c r="I148" s="210">
        <f t="shared" ref="I148:I153" si="13">D148+F148+G148+H148</f>
        <v>0</v>
      </c>
      <c r="J148" s="104"/>
      <c r="K148" s="215"/>
      <c r="L148" s="104"/>
      <c r="M148" s="215"/>
      <c r="N148" s="216"/>
      <c r="O148" s="158"/>
      <c r="P148" s="158"/>
    </row>
    <row r="149" spans="1:16" ht="20.25" customHeight="1">
      <c r="A149" s="2048"/>
      <c r="B149" s="2039"/>
      <c r="C149" s="103">
        <v>2016</v>
      </c>
      <c r="D149" s="40">
        <f>SUM('dolnośląskie:ODR woj. zachodniopomorskie'!D146)</f>
        <v>8</v>
      </c>
      <c r="E149" s="40">
        <f>SUM('dolnośląskie:ODR woj. zachodniopomorskie'!E146)</f>
        <v>14</v>
      </c>
      <c r="F149" s="40">
        <f>SUM('dolnośląskie:ODR woj. zachodniopomorskie'!F146)</f>
        <v>8</v>
      </c>
      <c r="G149" s="40">
        <f>SUM('dolnośląskie:ODR woj. zachodniopomorskie'!G146)</f>
        <v>20</v>
      </c>
      <c r="H149" s="40">
        <f>SUM('dolnośląskie:ODR woj. zachodniopomorskie'!H146)</f>
        <v>4</v>
      </c>
      <c r="I149" s="210">
        <f>D149+F149+G149+H149</f>
        <v>40</v>
      </c>
      <c r="J149" s="40">
        <f>SUM('dolnośląskie:ODR woj. zachodniopomorskie'!J146)</f>
        <v>32</v>
      </c>
      <c r="K149" s="215">
        <f>SUM('dolnośląskie:ODR woj. zachodniopomorskie'!K146)</f>
        <v>5</v>
      </c>
      <c r="L149" s="40">
        <f>SUM('dolnośląskie:ODR woj. zachodniopomorskie'!L146)</f>
        <v>1</v>
      </c>
      <c r="M149" s="215">
        <f>SUM('dolnośląskie:ODR woj. zachodniopomorskie'!M146)</f>
        <v>0</v>
      </c>
      <c r="N149" s="216">
        <f>SUM('dolnośląskie:ODR woj. zachodniopomorskie'!N146)</f>
        <v>4</v>
      </c>
      <c r="O149" s="158"/>
      <c r="P149" s="158"/>
    </row>
    <row r="150" spans="1:16" ht="17.25" customHeight="1">
      <c r="A150" s="2048"/>
      <c r="B150" s="2039"/>
      <c r="C150" s="103">
        <v>2017</v>
      </c>
      <c r="D150" s="40">
        <f>SUM('dolnośląskie:ODR woj. zachodniopomorskie'!D147)</f>
        <v>2</v>
      </c>
      <c r="E150" s="40">
        <f>SUM('dolnośląskie:ODR woj. zachodniopomorskie'!E147)</f>
        <v>4</v>
      </c>
      <c r="F150" s="40">
        <f>SUM('dolnośląskie:ODR woj. zachodniopomorskie'!F147)</f>
        <v>4</v>
      </c>
      <c r="G150" s="40">
        <f>SUM('dolnośląskie:ODR woj. zachodniopomorskie'!G147)</f>
        <v>5</v>
      </c>
      <c r="H150" s="40">
        <f>SUM('dolnośląskie:ODR woj. zachodniopomorskie'!H147)</f>
        <v>1</v>
      </c>
      <c r="I150" s="210">
        <f>D150+F150+G150+H150</f>
        <v>12</v>
      </c>
      <c r="J150" s="40">
        <f>SUM('dolnośląskie:ODR woj. zachodniopomorskie'!J147)</f>
        <v>9</v>
      </c>
      <c r="K150" s="215">
        <f>SUM('dolnośląskie:ODR woj. zachodniopomorskie'!K147)</f>
        <v>2</v>
      </c>
      <c r="L150" s="40">
        <f>SUM('dolnośląskie:ODR woj. zachodniopomorskie'!L147)</f>
        <v>0</v>
      </c>
      <c r="M150" s="215">
        <f>SUM('dolnośląskie:ODR woj. zachodniopomorskie'!M147)</f>
        <v>0</v>
      </c>
      <c r="N150" s="216">
        <f>SUM('dolnośląskie:ODR woj. zachodniopomorskie'!N147)</f>
        <v>0</v>
      </c>
      <c r="O150" s="158"/>
      <c r="P150" s="158"/>
    </row>
    <row r="151" spans="1:16" ht="19.5" customHeight="1">
      <c r="A151" s="2048"/>
      <c r="B151" s="2039"/>
      <c r="C151" s="103">
        <v>2018</v>
      </c>
      <c r="D151" s="40"/>
      <c r="E151" s="40"/>
      <c r="F151" s="41"/>
      <c r="G151" s="171"/>
      <c r="H151" s="171"/>
      <c r="I151" s="210">
        <f t="shared" si="13"/>
        <v>0</v>
      </c>
      <c r="J151" s="214"/>
      <c r="K151" s="215"/>
      <c r="L151" s="214"/>
      <c r="M151" s="215"/>
      <c r="N151" s="216"/>
      <c r="O151" s="158"/>
      <c r="P151" s="158"/>
    </row>
    <row r="152" spans="1:16" ht="19.5" customHeight="1">
      <c r="A152" s="2048"/>
      <c r="B152" s="2039"/>
      <c r="C152" s="103">
        <v>2019</v>
      </c>
      <c r="D152" s="40"/>
      <c r="E152" s="40"/>
      <c r="F152" s="41"/>
      <c r="G152" s="171"/>
      <c r="H152" s="171"/>
      <c r="I152" s="210">
        <f t="shared" si="13"/>
        <v>0</v>
      </c>
      <c r="J152" s="214"/>
      <c r="K152" s="215"/>
      <c r="L152" s="214"/>
      <c r="M152" s="215"/>
      <c r="N152" s="216"/>
      <c r="O152" s="158"/>
      <c r="P152" s="158"/>
    </row>
    <row r="153" spans="1:16" ht="18.75" customHeight="1">
      <c r="A153" s="2048"/>
      <c r="B153" s="2039"/>
      <c r="C153" s="103">
        <v>2020</v>
      </c>
      <c r="D153" s="40"/>
      <c r="E153" s="40"/>
      <c r="F153" s="41"/>
      <c r="G153" s="171"/>
      <c r="H153" s="171"/>
      <c r="I153" s="210">
        <f t="shared" si="13"/>
        <v>0</v>
      </c>
      <c r="J153" s="214"/>
      <c r="K153" s="215"/>
      <c r="L153" s="214"/>
      <c r="M153" s="215"/>
      <c r="N153" s="216"/>
      <c r="O153" s="158"/>
      <c r="P153" s="158"/>
    </row>
    <row r="154" spans="1:16" ht="18" customHeight="1" thickBot="1">
      <c r="A154" s="2067"/>
      <c r="B154" s="2144"/>
      <c r="C154" s="106" t="s">
        <v>13</v>
      </c>
      <c r="D154" s="132">
        <f>SUM(D147:D153)</f>
        <v>10</v>
      </c>
      <c r="E154" s="132">
        <f t="shared" ref="E154:I154" si="14">SUM(E147:E153)</f>
        <v>18</v>
      </c>
      <c r="F154" s="132">
        <f t="shared" si="14"/>
        <v>12</v>
      </c>
      <c r="G154" s="132">
        <f t="shared" si="14"/>
        <v>25</v>
      </c>
      <c r="H154" s="132">
        <f t="shared" si="14"/>
        <v>5</v>
      </c>
      <c r="I154" s="217">
        <f t="shared" si="14"/>
        <v>52</v>
      </c>
      <c r="J154" s="218">
        <f>SUM(J147:J153)</f>
        <v>41</v>
      </c>
      <c r="K154" s="219">
        <f>SUM(K147:K153)</f>
        <v>7</v>
      </c>
      <c r="L154" s="218">
        <f>SUM(L147:L153)</f>
        <v>1</v>
      </c>
      <c r="M154" s="219">
        <f>SUM(M147:M153)</f>
        <v>0</v>
      </c>
      <c r="N154" s="220">
        <f>SUM(N147:N153)</f>
        <v>4</v>
      </c>
      <c r="O154" s="158"/>
      <c r="P154" s="158"/>
    </row>
    <row r="155" spans="1:16" ht="27" customHeight="1" thickBot="1">
      <c r="B155" s="221"/>
      <c r="O155" s="158"/>
      <c r="P155" s="158"/>
    </row>
    <row r="156" spans="1:16" ht="35.25" customHeight="1">
      <c r="A156" s="2898" t="s">
        <v>94</v>
      </c>
      <c r="B156" s="2160" t="s">
        <v>62</v>
      </c>
      <c r="C156" s="2161" t="s">
        <v>9</v>
      </c>
      <c r="D156" s="222" t="s">
        <v>95</v>
      </c>
      <c r="E156" s="222"/>
      <c r="F156" s="223"/>
      <c r="G156" s="223"/>
      <c r="H156" s="222" t="s">
        <v>96</v>
      </c>
      <c r="I156" s="222"/>
      <c r="J156" s="224"/>
      <c r="K156" s="1658"/>
      <c r="L156" s="1658"/>
      <c r="M156" s="1658"/>
      <c r="N156" s="1658"/>
      <c r="O156" s="158"/>
      <c r="P156" s="158"/>
    </row>
    <row r="157" spans="1:16" ht="49.5" customHeight="1">
      <c r="A157" s="2080"/>
      <c r="B157" s="2075"/>
      <c r="C157" s="2082"/>
      <c r="D157" s="225" t="s">
        <v>97</v>
      </c>
      <c r="E157" s="226" t="s">
        <v>98</v>
      </c>
      <c r="F157" s="227" t="s">
        <v>99</v>
      </c>
      <c r="G157" s="228" t="s">
        <v>100</v>
      </c>
      <c r="H157" s="225" t="s">
        <v>101</v>
      </c>
      <c r="I157" s="226" t="s">
        <v>102</v>
      </c>
      <c r="J157" s="229" t="s">
        <v>93</v>
      </c>
      <c r="K157" s="1658"/>
      <c r="L157" s="1658"/>
      <c r="M157" s="1658"/>
      <c r="N157" s="1658"/>
      <c r="O157" s="158"/>
      <c r="P157" s="158"/>
    </row>
    <row r="158" spans="1:16" ht="18.75" customHeight="1">
      <c r="A158" s="2047"/>
      <c r="B158" s="2039"/>
      <c r="C158" s="230">
        <v>2014</v>
      </c>
      <c r="D158" s="211"/>
      <c r="E158" s="168"/>
      <c r="F158" s="212"/>
      <c r="G158" s="210">
        <f>SUM(D158:F158)</f>
        <v>0</v>
      </c>
      <c r="H158" s="211"/>
      <c r="I158" s="168"/>
      <c r="J158" s="169"/>
      <c r="O158" s="158"/>
      <c r="P158" s="158"/>
    </row>
    <row r="159" spans="1:16" ht="19.5" customHeight="1">
      <c r="A159" s="2048"/>
      <c r="B159" s="2039"/>
      <c r="C159" s="231">
        <v>2015</v>
      </c>
      <c r="D159" s="104"/>
      <c r="E159" s="104"/>
      <c r="F159" s="215"/>
      <c r="G159" s="210">
        <f t="shared" ref="G159:G164" si="15">SUM(D159:F159)</f>
        <v>0</v>
      </c>
      <c r="H159" s="104"/>
      <c r="I159" s="104"/>
      <c r="J159" s="172"/>
      <c r="O159" s="158"/>
      <c r="P159" s="158"/>
    </row>
    <row r="160" spans="1:16" ht="17.25" customHeight="1">
      <c r="A160" s="2048"/>
      <c r="B160" s="2039"/>
      <c r="C160" s="231">
        <v>2016</v>
      </c>
      <c r="D160" s="40">
        <f>SUM('dolnośląskie:ODR woj. zachodniopomorskie'!D157)</f>
        <v>3</v>
      </c>
      <c r="E160" s="40">
        <f>SUM('dolnośląskie:ODR woj. zachodniopomorskie'!E157)</f>
        <v>0</v>
      </c>
      <c r="F160" s="215">
        <f>SUM('dolnośląskie:ODR woj. zachodniopomorskie'!F157)</f>
        <v>0</v>
      </c>
      <c r="G160" s="210">
        <f>SUM(D160:F160)</f>
        <v>3</v>
      </c>
      <c r="H160" s="40">
        <f>SUM('dolnośląskie:ODR woj. zachodniopomorskie'!H157)</f>
        <v>2</v>
      </c>
      <c r="I160" s="40">
        <f>SUM('dolnośląskie:ODR woj. zachodniopomorskie'!I157)</f>
        <v>0</v>
      </c>
      <c r="J160" s="172">
        <f>SUM('dolnośląskie:ODR woj. zachodniopomorskie'!J157)</f>
        <v>1</v>
      </c>
      <c r="O160" s="158"/>
      <c r="P160" s="158"/>
    </row>
    <row r="161" spans="1:18" ht="15" customHeight="1">
      <c r="A161" s="2048"/>
      <c r="B161" s="2039"/>
      <c r="C161" s="231">
        <v>2017</v>
      </c>
      <c r="D161" s="40">
        <f>SUM('dolnośląskie:ODR woj. zachodniopomorskie'!D158)</f>
        <v>1</v>
      </c>
      <c r="E161" s="40">
        <f>SUM('dolnośląskie:ODR woj. zachodniopomorskie'!E158)</f>
        <v>8</v>
      </c>
      <c r="F161" s="215">
        <f>SUM('dolnośląskie:ODR woj. zachodniopomorskie'!F158)</f>
        <v>4</v>
      </c>
      <c r="G161" s="210">
        <f>SUM(D161:F161)</f>
        <v>13</v>
      </c>
      <c r="H161" s="40">
        <f>SUM('dolnośląskie:ODR woj. zachodniopomorskie'!H158)</f>
        <v>13</v>
      </c>
      <c r="I161" s="40">
        <f>SUM('dolnośląskie:ODR woj. zachodniopomorskie'!I158)</f>
        <v>0</v>
      </c>
      <c r="J161" s="172">
        <f>SUM('dolnośląskie:ODR woj. zachodniopomorskie'!J158)</f>
        <v>0</v>
      </c>
      <c r="O161" s="158"/>
      <c r="P161" s="158"/>
    </row>
    <row r="162" spans="1:18" ht="19.5" customHeight="1">
      <c r="A162" s="2048"/>
      <c r="B162" s="2039"/>
      <c r="C162" s="231">
        <v>2018</v>
      </c>
      <c r="D162" s="214"/>
      <c r="E162" s="171"/>
      <c r="F162" s="215"/>
      <c r="G162" s="210">
        <f t="shared" si="15"/>
        <v>0</v>
      </c>
      <c r="H162" s="214"/>
      <c r="I162" s="171"/>
      <c r="J162" s="172"/>
      <c r="O162" s="158"/>
      <c r="P162" s="158"/>
    </row>
    <row r="163" spans="1:18" ht="15" customHeight="1">
      <c r="A163" s="2048"/>
      <c r="B163" s="2039"/>
      <c r="C163" s="231">
        <v>2019</v>
      </c>
      <c r="D163" s="214"/>
      <c r="E163" s="171"/>
      <c r="F163" s="215"/>
      <c r="G163" s="210">
        <f t="shared" si="15"/>
        <v>0</v>
      </c>
      <c r="H163" s="214"/>
      <c r="I163" s="171"/>
      <c r="J163" s="172"/>
      <c r="O163" s="158"/>
      <c r="P163" s="158"/>
    </row>
    <row r="164" spans="1:18" ht="17.25" customHeight="1">
      <c r="A164" s="2048"/>
      <c r="B164" s="2039"/>
      <c r="C164" s="231">
        <v>2020</v>
      </c>
      <c r="D164" s="214"/>
      <c r="E164" s="171"/>
      <c r="F164" s="215"/>
      <c r="G164" s="210">
        <f t="shared" si="15"/>
        <v>0</v>
      </c>
      <c r="H164" s="214"/>
      <c r="I164" s="171"/>
      <c r="J164" s="172"/>
      <c r="O164" s="158"/>
      <c r="P164" s="158"/>
    </row>
    <row r="165" spans="1:18" ht="15.75" thickBot="1">
      <c r="A165" s="2067"/>
      <c r="B165" s="2144"/>
      <c r="C165" s="232" t="s">
        <v>13</v>
      </c>
      <c r="D165" s="218">
        <f t="shared" ref="D165:F165" si="16">SUM(D158:D164)</f>
        <v>4</v>
      </c>
      <c r="E165" s="174">
        <f t="shared" si="16"/>
        <v>8</v>
      </c>
      <c r="F165" s="219">
        <f t="shared" si="16"/>
        <v>4</v>
      </c>
      <c r="G165" s="219">
        <f>SUM(G158:G164)</f>
        <v>16</v>
      </c>
      <c r="H165" s="218">
        <f>SUM(H158:H164)</f>
        <v>15</v>
      </c>
      <c r="I165" s="174">
        <f>SUM(I158:I164)</f>
        <v>0</v>
      </c>
      <c r="J165" s="233">
        <f>SUM(J158:J164)</f>
        <v>1</v>
      </c>
    </row>
    <row r="166" spans="1:18" ht="24.75" customHeight="1" thickBot="1">
      <c r="A166" s="234"/>
      <c r="B166" s="235"/>
      <c r="C166" s="236"/>
      <c r="D166" s="158"/>
      <c r="E166" s="237"/>
      <c r="F166" s="158"/>
      <c r="G166" s="158"/>
      <c r="H166" s="158"/>
      <c r="I166" s="158"/>
      <c r="J166" s="238"/>
      <c r="K166" s="1645"/>
    </row>
    <row r="167" spans="1:18" ht="95.25" customHeight="1">
      <c r="A167" s="240" t="s">
        <v>103</v>
      </c>
      <c r="B167" s="241" t="s">
        <v>104</v>
      </c>
      <c r="C167" s="242" t="s">
        <v>9</v>
      </c>
      <c r="D167" s="243" t="s">
        <v>105</v>
      </c>
      <c r="E167" s="243" t="s">
        <v>106</v>
      </c>
      <c r="F167" s="244" t="s">
        <v>107</v>
      </c>
      <c r="G167" s="243" t="s">
        <v>108</v>
      </c>
      <c r="H167" s="243" t="s">
        <v>109</v>
      </c>
      <c r="I167" s="245" t="s">
        <v>110</v>
      </c>
      <c r="J167" s="246" t="s">
        <v>111</v>
      </c>
      <c r="K167" s="246" t="s">
        <v>112</v>
      </c>
      <c r="L167" s="1654"/>
    </row>
    <row r="168" spans="1:18" ht="15.75" customHeight="1">
      <c r="A168" s="2870"/>
      <c r="B168" s="2867"/>
      <c r="C168" s="248">
        <v>2014</v>
      </c>
      <c r="D168" s="168"/>
      <c r="E168" s="168"/>
      <c r="F168" s="168"/>
      <c r="G168" s="168"/>
      <c r="H168" s="168"/>
      <c r="I168" s="169"/>
      <c r="J168" s="1663">
        <f>SUM(D168,F168,H168)</f>
        <v>0</v>
      </c>
      <c r="K168" s="250">
        <f>SUM(E168,G168,I168)</f>
        <v>0</v>
      </c>
      <c r="L168" s="1654"/>
    </row>
    <row r="169" spans="1:18">
      <c r="A169" s="2871"/>
      <c r="B169" s="2190"/>
      <c r="C169" s="251">
        <v>2015</v>
      </c>
      <c r="D169" s="104"/>
      <c r="E169" s="104"/>
      <c r="F169" s="104"/>
      <c r="G169" s="104"/>
      <c r="H169" s="104"/>
      <c r="I169" s="104"/>
      <c r="J169" s="1664">
        <f t="shared" ref="J169:K174" si="17">SUM(D169,F169,H169)</f>
        <v>0</v>
      </c>
      <c r="K169" s="255">
        <f t="shared" si="17"/>
        <v>0</v>
      </c>
      <c r="L169" s="1654"/>
    </row>
    <row r="170" spans="1:18">
      <c r="A170" s="2871"/>
      <c r="B170" s="2190"/>
      <c r="C170" s="251">
        <v>2016</v>
      </c>
      <c r="D170" s="40">
        <f>SUM('dolnośląskie:ODR woj. zachodniopomorskie'!D167)</f>
        <v>13</v>
      </c>
      <c r="E170" s="40">
        <f>SUM('dolnośląskie:ODR woj. zachodniopomorskie'!E167)</f>
        <v>15</v>
      </c>
      <c r="F170" s="40">
        <f>SUM('dolnośląskie:ODR woj. zachodniopomorskie'!F167)</f>
        <v>1</v>
      </c>
      <c r="G170" s="40">
        <f>SUM('dolnośląskie:ODR woj. zachodniopomorskie'!G167)</f>
        <v>3</v>
      </c>
      <c r="H170" s="40">
        <f>SUM('dolnośląskie:ODR woj. zachodniopomorskie'!H167)</f>
        <v>154</v>
      </c>
      <c r="I170" s="40">
        <f>SUM('dolnośląskie:ODR woj. zachodniopomorskie'!I167)</f>
        <v>153</v>
      </c>
      <c r="J170" s="1664">
        <f>SUM(D170,F170,H170)</f>
        <v>168</v>
      </c>
      <c r="K170" s="255">
        <f>SUM(E170,G170,I170)</f>
        <v>171</v>
      </c>
    </row>
    <row r="171" spans="1:18">
      <c r="A171" s="2871"/>
      <c r="B171" s="2190"/>
      <c r="C171" s="251">
        <v>2017</v>
      </c>
      <c r="D171" s="40">
        <f>SUM('dolnośląskie:ODR woj. zachodniopomorskie'!D168)</f>
        <v>5</v>
      </c>
      <c r="E171" s="40">
        <f>SUM('dolnośląskie:ODR woj. zachodniopomorskie'!E168)</f>
        <v>7</v>
      </c>
      <c r="F171" s="40">
        <f>SUM('dolnośląskie:ODR woj. zachodniopomorskie'!F168)</f>
        <v>0</v>
      </c>
      <c r="G171" s="40">
        <f>SUM('dolnośląskie:ODR woj. zachodniopomorskie'!G168)</f>
        <v>0</v>
      </c>
      <c r="H171" s="40">
        <f>SUM('dolnośląskie:ODR woj. zachodniopomorskie'!H168)</f>
        <v>0</v>
      </c>
      <c r="I171" s="40">
        <f>SUM('dolnośląskie:ODR woj. zachodniopomorskie'!I168)</f>
        <v>2</v>
      </c>
      <c r="J171" s="1664">
        <f>SUM(D171,F171,H171)</f>
        <v>5</v>
      </c>
      <c r="K171" s="255">
        <f>SUM(E171,G171,I171)</f>
        <v>9</v>
      </c>
    </row>
    <row r="172" spans="1:18">
      <c r="A172" s="2871"/>
      <c r="B172" s="2190"/>
      <c r="C172" s="256">
        <v>2018</v>
      </c>
      <c r="D172" s="252"/>
      <c r="E172" s="252"/>
      <c r="F172" s="252"/>
      <c r="G172" s="257"/>
      <c r="H172" s="252"/>
      <c r="I172" s="253"/>
      <c r="J172" s="1664">
        <f t="shared" si="17"/>
        <v>0</v>
      </c>
      <c r="K172" s="255">
        <f t="shared" si="17"/>
        <v>0</v>
      </c>
      <c r="L172" s="1654"/>
    </row>
    <row r="173" spans="1:18">
      <c r="A173" s="2871"/>
      <c r="B173" s="2190"/>
      <c r="C173" s="251">
        <v>2019</v>
      </c>
      <c r="D173" s="158"/>
      <c r="E173" s="252"/>
      <c r="F173" s="252"/>
      <c r="G173" s="252"/>
      <c r="H173" s="257"/>
      <c r="I173" s="253"/>
      <c r="J173" s="1664">
        <f t="shared" si="17"/>
        <v>0</v>
      </c>
      <c r="K173" s="255">
        <f t="shared" si="17"/>
        <v>0</v>
      </c>
      <c r="L173" s="1654"/>
    </row>
    <row r="174" spans="1:18">
      <c r="A174" s="2871"/>
      <c r="B174" s="2190"/>
      <c r="C174" s="256">
        <v>2020</v>
      </c>
      <c r="D174" s="252"/>
      <c r="E174" s="252"/>
      <c r="F174" s="252"/>
      <c r="G174" s="252"/>
      <c r="H174" s="252"/>
      <c r="I174" s="253"/>
      <c r="J174" s="1664">
        <f t="shared" si="17"/>
        <v>0</v>
      </c>
      <c r="K174" s="255">
        <f t="shared" si="17"/>
        <v>0</v>
      </c>
      <c r="L174" s="1654"/>
    </row>
    <row r="175" spans="1:18" ht="41.25" customHeight="1" thickBot="1">
      <c r="A175" s="2872"/>
      <c r="B175" s="2892"/>
      <c r="C175" s="258" t="s">
        <v>13</v>
      </c>
      <c r="D175" s="174">
        <f>SUM(D168:D174)</f>
        <v>18</v>
      </c>
      <c r="E175" s="174">
        <f t="shared" ref="E175:K175" si="18">SUM(E168:E174)</f>
        <v>22</v>
      </c>
      <c r="F175" s="174">
        <f t="shared" si="18"/>
        <v>1</v>
      </c>
      <c r="G175" s="174">
        <f t="shared" si="18"/>
        <v>3</v>
      </c>
      <c r="H175" s="174">
        <f t="shared" si="18"/>
        <v>154</v>
      </c>
      <c r="I175" s="259">
        <f t="shared" si="18"/>
        <v>155</v>
      </c>
      <c r="J175" s="260">
        <f>SUM(J168:J174)</f>
        <v>173</v>
      </c>
      <c r="K175" s="218">
        <f t="shared" si="18"/>
        <v>180</v>
      </c>
      <c r="L175" s="1654"/>
    </row>
    <row r="176" spans="1:18" s="66" customFormat="1" ht="26.25" customHeight="1">
      <c r="A176" s="261"/>
      <c r="B176" s="79"/>
      <c r="C176" s="80"/>
      <c r="D176" s="38"/>
      <c r="E176" s="38"/>
      <c r="F176" s="38"/>
      <c r="G176" s="262"/>
      <c r="H176" s="262"/>
      <c r="I176" s="262"/>
      <c r="J176" s="262"/>
      <c r="K176" s="262"/>
      <c r="L176" s="262"/>
      <c r="M176" s="262"/>
      <c r="N176" s="262"/>
      <c r="O176" s="262"/>
      <c r="P176" s="262"/>
      <c r="Q176" s="262"/>
      <c r="R176" s="263"/>
    </row>
    <row r="177" spans="1:17" ht="21">
      <c r="A177" s="264" t="s">
        <v>114</v>
      </c>
      <c r="B177" s="264"/>
      <c r="C177" s="265"/>
      <c r="D177" s="265"/>
      <c r="E177" s="265"/>
      <c r="F177" s="265"/>
      <c r="G177" s="265"/>
      <c r="H177" s="265"/>
      <c r="I177" s="265"/>
      <c r="J177" s="265"/>
      <c r="K177" s="265"/>
      <c r="L177" s="265"/>
      <c r="M177" s="265"/>
      <c r="N177" s="265"/>
      <c r="O177" s="265"/>
    </row>
    <row r="178" spans="1:17" ht="21.75" thickBot="1">
      <c r="A178" s="266"/>
      <c r="B178" s="266"/>
    </row>
    <row r="179" spans="1:17" s="1658" customFormat="1" ht="22.5" customHeight="1" thickBot="1">
      <c r="A179" s="2166" t="s">
        <v>115</v>
      </c>
      <c r="B179" s="2167" t="s">
        <v>116</v>
      </c>
      <c r="C179" s="2168" t="s">
        <v>9</v>
      </c>
      <c r="D179" s="267" t="s">
        <v>117</v>
      </c>
      <c r="E179" s="268"/>
      <c r="F179" s="268"/>
      <c r="G179" s="269"/>
      <c r="H179" s="270"/>
      <c r="I179" s="2103" t="s">
        <v>118</v>
      </c>
      <c r="J179" s="2104"/>
      <c r="K179" s="2104"/>
      <c r="L179" s="2104"/>
      <c r="M179" s="2104"/>
      <c r="N179" s="2104"/>
      <c r="O179" s="2105"/>
    </row>
    <row r="180" spans="1:17" s="1658" customFormat="1" ht="129.75" customHeight="1">
      <c r="A180" s="2899"/>
      <c r="B180" s="2100"/>
      <c r="C180" s="2102"/>
      <c r="D180" s="271" t="s">
        <v>119</v>
      </c>
      <c r="E180" s="272" t="s">
        <v>120</v>
      </c>
      <c r="F180" s="272" t="s">
        <v>121</v>
      </c>
      <c r="G180" s="273" t="s">
        <v>122</v>
      </c>
      <c r="H180" s="274" t="s">
        <v>123</v>
      </c>
      <c r="I180" s="275" t="s">
        <v>53</v>
      </c>
      <c r="J180" s="276" t="s">
        <v>54</v>
      </c>
      <c r="K180" s="276" t="s">
        <v>55</v>
      </c>
      <c r="L180" s="276" t="s">
        <v>56</v>
      </c>
      <c r="M180" s="276" t="s">
        <v>57</v>
      </c>
      <c r="N180" s="276" t="s">
        <v>58</v>
      </c>
      <c r="O180" s="277" t="s">
        <v>59</v>
      </c>
    </row>
    <row r="181" spans="1:17" ht="15" customHeight="1">
      <c r="A181" s="2873"/>
      <c r="B181" s="2874"/>
      <c r="C181" s="99">
        <v>2014</v>
      </c>
      <c r="D181" s="33"/>
      <c r="E181" s="34"/>
      <c r="F181" s="34"/>
      <c r="G181" s="278">
        <f>SUM(D181:F181)</f>
        <v>0</v>
      </c>
      <c r="H181" s="148"/>
      <c r="I181" s="148"/>
      <c r="J181" s="34"/>
      <c r="K181" s="34"/>
      <c r="L181" s="34"/>
      <c r="M181" s="34"/>
      <c r="N181" s="34"/>
      <c r="O181" s="37"/>
      <c r="Q181">
        <f>SUM(I183:O184)-G188</f>
        <v>0</v>
      </c>
    </row>
    <row r="182" spans="1:17">
      <c r="A182" s="2745"/>
      <c r="B182" s="2874"/>
      <c r="C182" s="103">
        <v>2015</v>
      </c>
      <c r="D182" s="104"/>
      <c r="E182" s="104"/>
      <c r="F182" s="104"/>
      <c r="G182" s="278">
        <f t="shared" ref="G182:G187" si="19">SUM(D182:F182)</f>
        <v>0</v>
      </c>
      <c r="H182" s="104"/>
      <c r="I182" s="105"/>
      <c r="J182" s="104"/>
      <c r="K182" s="104"/>
      <c r="L182" s="104"/>
      <c r="M182" s="104"/>
      <c r="N182" s="104"/>
      <c r="O182" s="86"/>
    </row>
    <row r="183" spans="1:17">
      <c r="A183" s="2745"/>
      <c r="B183" s="2874"/>
      <c r="C183" s="103">
        <v>2016</v>
      </c>
      <c r="D183" s="40">
        <f>SUM('dolnośląskie:ODR woj. zachodniopomorskie'!D180)</f>
        <v>612</v>
      </c>
      <c r="E183" s="40">
        <f>SUM('dolnośląskie:ODR woj. zachodniopomorskie'!E180)</f>
        <v>57</v>
      </c>
      <c r="F183" s="40">
        <f>SUM('dolnośląskie:ODR woj. zachodniopomorskie'!F180)</f>
        <v>88</v>
      </c>
      <c r="G183" s="278">
        <f t="shared" si="19"/>
        <v>757</v>
      </c>
      <c r="H183" s="104">
        <f>SUM('dolnośląskie:ODR woj. zachodniopomorskie'!H180)</f>
        <v>1049</v>
      </c>
      <c r="I183" s="105">
        <f>SUM('dolnośląskie:ODR woj. zachodniopomorskie'!I180)</f>
        <v>233</v>
      </c>
      <c r="J183" s="40">
        <f>SUM('dolnośląskie:ODR woj. zachodniopomorskie'!J180)</f>
        <v>117</v>
      </c>
      <c r="K183" s="40">
        <f>SUM('dolnośląskie:ODR woj. zachodniopomorskie'!K180)</f>
        <v>38</v>
      </c>
      <c r="L183" s="40">
        <f>SUM('dolnośląskie:ODR woj. zachodniopomorskie'!L180)</f>
        <v>177</v>
      </c>
      <c r="M183" s="40">
        <f>SUM('dolnośląskie:ODR woj. zachodniopomorskie'!M180)</f>
        <v>66</v>
      </c>
      <c r="N183" s="40">
        <f>SUM('dolnośląskie:ODR woj. zachodniopomorskie'!N180)</f>
        <v>0</v>
      </c>
      <c r="O183" s="86">
        <f>SUM('dolnośląskie:ODR woj. zachodniopomorskie'!O180)</f>
        <v>126</v>
      </c>
    </row>
    <row r="184" spans="1:17">
      <c r="A184" s="2745"/>
      <c r="B184" s="2874"/>
      <c r="C184" s="103">
        <v>2017</v>
      </c>
      <c r="D184" s="40">
        <f>SUM('dolnośląskie:ODR woj. zachodniopomorskie'!D181)</f>
        <v>155</v>
      </c>
      <c r="E184" s="40">
        <f>SUM('dolnośląskie:ODR woj. zachodniopomorskie'!E181)</f>
        <v>9</v>
      </c>
      <c r="F184" s="40">
        <f>SUM('dolnośląskie:ODR woj. zachodniopomorskie'!F181)</f>
        <v>74</v>
      </c>
      <c r="G184" s="278">
        <f t="shared" si="19"/>
        <v>238</v>
      </c>
      <c r="H184" s="104">
        <f>SUM('dolnośląskie:ODR woj. zachodniopomorskie'!H181)</f>
        <v>234</v>
      </c>
      <c r="I184" s="105">
        <f>SUM('dolnośląskie:ODR woj. zachodniopomorskie'!I181)</f>
        <v>163</v>
      </c>
      <c r="J184" s="40">
        <f>SUM('dolnośląskie:ODR woj. zachodniopomorskie'!J181)</f>
        <v>29</v>
      </c>
      <c r="K184" s="40">
        <f>SUM('dolnośląskie:ODR woj. zachodniopomorskie'!K181)</f>
        <v>6</v>
      </c>
      <c r="L184" s="40">
        <f>SUM('dolnośląskie:ODR woj. zachodniopomorskie'!L181)</f>
        <v>15</v>
      </c>
      <c r="M184" s="40">
        <f>SUM('dolnośląskie:ODR woj. zachodniopomorskie'!M181)</f>
        <v>14</v>
      </c>
      <c r="N184" s="40">
        <f>SUM('dolnośląskie:ODR woj. zachodniopomorskie'!N181)</f>
        <v>0</v>
      </c>
      <c r="O184" s="86">
        <f>SUM('dolnośląskie:ODR woj. zachodniopomorskie'!O181)</f>
        <v>11</v>
      </c>
    </row>
    <row r="185" spans="1:17">
      <c r="A185" s="2745"/>
      <c r="B185" s="2874"/>
      <c r="C185" s="103">
        <v>2018</v>
      </c>
      <c r="D185" s="40"/>
      <c r="E185" s="41"/>
      <c r="F185" s="41"/>
      <c r="G185" s="278">
        <f t="shared" si="19"/>
        <v>0</v>
      </c>
      <c r="H185" s="279"/>
      <c r="I185" s="105"/>
      <c r="J185" s="41"/>
      <c r="K185" s="41"/>
      <c r="L185" s="41"/>
      <c r="M185" s="41"/>
      <c r="N185" s="41"/>
      <c r="O185" s="86"/>
    </row>
    <row r="186" spans="1:17">
      <c r="A186" s="2745"/>
      <c r="B186" s="2874"/>
      <c r="C186" s="103">
        <v>2019</v>
      </c>
      <c r="D186" s="40"/>
      <c r="E186" s="41"/>
      <c r="F186" s="41"/>
      <c r="G186" s="278">
        <f t="shared" si="19"/>
        <v>0</v>
      </c>
      <c r="H186" s="279"/>
      <c r="I186" s="105"/>
      <c r="J186" s="41"/>
      <c r="K186" s="41"/>
      <c r="L186" s="41"/>
      <c r="M186" s="41"/>
      <c r="N186" s="41"/>
      <c r="O186" s="86"/>
    </row>
    <row r="187" spans="1:17">
      <c r="A187" s="2745"/>
      <c r="B187" s="2874"/>
      <c r="C187" s="103">
        <v>2020</v>
      </c>
      <c r="D187" s="40"/>
      <c r="E187" s="41"/>
      <c r="F187" s="41"/>
      <c r="G187" s="278">
        <f t="shared" si="19"/>
        <v>0</v>
      </c>
      <c r="H187" s="279"/>
      <c r="I187" s="105"/>
      <c r="J187" s="41"/>
      <c r="K187" s="41"/>
      <c r="L187" s="41"/>
      <c r="M187" s="41"/>
      <c r="N187" s="41"/>
      <c r="O187" s="86"/>
    </row>
    <row r="188" spans="1:17" ht="45" customHeight="1" thickBot="1">
      <c r="A188" s="2747"/>
      <c r="B188" s="2894"/>
      <c r="C188" s="106" t="s">
        <v>13</v>
      </c>
      <c r="D188" s="132">
        <f>SUM(D181:D187)</f>
        <v>767</v>
      </c>
      <c r="E188" s="109">
        <f>SUM(E181:E187)</f>
        <v>66</v>
      </c>
      <c r="F188" s="109">
        <f>SUM(F181:F187)</f>
        <v>162</v>
      </c>
      <c r="G188" s="217">
        <f t="shared" ref="G188:O188" si="20">SUM(G181:G187)</f>
        <v>995</v>
      </c>
      <c r="H188" s="280">
        <f t="shared" si="20"/>
        <v>1283</v>
      </c>
      <c r="I188" s="108">
        <f t="shared" si="20"/>
        <v>396</v>
      </c>
      <c r="J188" s="109">
        <f t="shared" si="20"/>
        <v>146</v>
      </c>
      <c r="K188" s="109">
        <f t="shared" si="20"/>
        <v>44</v>
      </c>
      <c r="L188" s="109">
        <f t="shared" si="20"/>
        <v>192</v>
      </c>
      <c r="M188" s="109">
        <f t="shared" si="20"/>
        <v>80</v>
      </c>
      <c r="N188" s="109">
        <f t="shared" si="20"/>
        <v>0</v>
      </c>
      <c r="O188" s="110">
        <f t="shared" si="20"/>
        <v>137</v>
      </c>
    </row>
    <row r="189" spans="1:17" ht="33" customHeight="1" thickBot="1"/>
    <row r="190" spans="1:17" ht="19.5" customHeight="1">
      <c r="A190" s="2109" t="s">
        <v>125</v>
      </c>
      <c r="B190" s="2167" t="s">
        <v>116</v>
      </c>
      <c r="C190" s="2089" t="s">
        <v>9</v>
      </c>
      <c r="D190" s="2085" t="s">
        <v>126</v>
      </c>
      <c r="E190" s="2086"/>
      <c r="F190" s="2086"/>
      <c r="G190" s="2087"/>
      <c r="H190" s="2088" t="s">
        <v>127</v>
      </c>
      <c r="I190" s="2089"/>
      <c r="J190" s="2089"/>
      <c r="K190" s="2089"/>
      <c r="L190" s="2090"/>
    </row>
    <row r="191" spans="1:17" ht="90">
      <c r="A191" s="2110"/>
      <c r="B191" s="2100"/>
      <c r="C191" s="2111"/>
      <c r="D191" s="281" t="s">
        <v>128</v>
      </c>
      <c r="E191" s="281" t="s">
        <v>129</v>
      </c>
      <c r="F191" s="281" t="s">
        <v>130</v>
      </c>
      <c r="G191" s="282" t="s">
        <v>13</v>
      </c>
      <c r="H191" s="283" t="s">
        <v>131</v>
      </c>
      <c r="I191" s="281" t="s">
        <v>132</v>
      </c>
      <c r="J191" s="281" t="s">
        <v>133</v>
      </c>
      <c r="K191" s="281" t="s">
        <v>134</v>
      </c>
      <c r="L191" s="284" t="s">
        <v>135</v>
      </c>
    </row>
    <row r="192" spans="1:17" ht="15" customHeight="1">
      <c r="A192" s="2866"/>
      <c r="B192" s="2867"/>
      <c r="C192" s="285">
        <v>2014</v>
      </c>
      <c r="D192" s="126"/>
      <c r="E192" s="102"/>
      <c r="F192" s="102"/>
      <c r="G192" s="286">
        <f>SUM(D192:F192)</f>
        <v>0</v>
      </c>
      <c r="H192" s="101"/>
      <c r="I192" s="102"/>
      <c r="J192" s="102"/>
      <c r="K192" s="102"/>
      <c r="L192" s="127"/>
    </row>
    <row r="193" spans="1:14">
      <c r="A193" s="2868"/>
      <c r="B193" s="2190"/>
      <c r="C193" s="74">
        <v>2015</v>
      </c>
      <c r="D193" s="104"/>
      <c r="E193" s="104"/>
      <c r="F193" s="104"/>
      <c r="G193" s="286">
        <f t="shared" ref="G193:G198" si="21">SUM(D193:F193)</f>
        <v>0</v>
      </c>
      <c r="H193" s="105"/>
      <c r="I193" s="104"/>
      <c r="J193" s="104"/>
      <c r="K193" s="104"/>
      <c r="L193" s="86"/>
    </row>
    <row r="194" spans="1:14">
      <c r="A194" s="2868"/>
      <c r="B194" s="2190"/>
      <c r="C194" s="74">
        <v>2016</v>
      </c>
      <c r="D194" s="40">
        <f>SUM('dolnośląskie:ODR woj. zachodniopomorskie'!D191)</f>
        <v>31540</v>
      </c>
      <c r="E194" s="40">
        <f>SUM('dolnośląskie:ODR woj. zachodniopomorskie'!E191)</f>
        <v>1939</v>
      </c>
      <c r="F194" s="40">
        <f>SUM('dolnośląskie:ODR woj. zachodniopomorskie'!F191)</f>
        <v>2219</v>
      </c>
      <c r="G194" s="286">
        <f t="shared" si="21"/>
        <v>35698</v>
      </c>
      <c r="H194" s="40">
        <f>SUM('dolnośląskie:ODR woj. zachodniopomorskie'!H191)</f>
        <v>121</v>
      </c>
      <c r="I194" s="40">
        <f>SUM('dolnośląskie:ODR woj. zachodniopomorskie'!I191)</f>
        <v>2365</v>
      </c>
      <c r="J194" s="40">
        <f>SUM('dolnośląskie:ODR woj. zachodniopomorskie'!J191)</f>
        <v>4541</v>
      </c>
      <c r="K194" s="40">
        <f>SUM('dolnośląskie:ODR woj. zachodniopomorskie'!K191)</f>
        <v>5332</v>
      </c>
      <c r="L194" s="86">
        <f>SUM('dolnośląskie:ODR woj. zachodniopomorskie'!L191)</f>
        <v>23339</v>
      </c>
    </row>
    <row r="195" spans="1:14">
      <c r="A195" s="2868"/>
      <c r="B195" s="2190"/>
      <c r="C195" s="74">
        <v>2017</v>
      </c>
      <c r="D195" s="40">
        <f>SUM('dolnośląskie:ODR woj. zachodniopomorskie'!D192)</f>
        <v>7449</v>
      </c>
      <c r="E195" s="40">
        <f>SUM('dolnośląskie:ODR woj. zachodniopomorskie'!E192)</f>
        <v>236</v>
      </c>
      <c r="F195" s="40">
        <f>SUM('dolnośląskie:ODR woj. zachodniopomorskie'!F192)</f>
        <v>935</v>
      </c>
      <c r="G195" s="286">
        <f t="shared" si="21"/>
        <v>8620</v>
      </c>
      <c r="H195" s="40">
        <f>SUM('dolnośląskie:ODR woj. zachodniopomorskie'!H192)</f>
        <v>20</v>
      </c>
      <c r="I195" s="40">
        <f>SUM('dolnośląskie:ODR woj. zachodniopomorskie'!I192)</f>
        <v>556</v>
      </c>
      <c r="J195" s="40">
        <f>SUM('dolnośląskie:ODR woj. zachodniopomorskie'!J192)</f>
        <v>635</v>
      </c>
      <c r="K195" s="40">
        <f>SUM('dolnośląskie:ODR woj. zachodniopomorskie'!K192)</f>
        <v>1465</v>
      </c>
      <c r="L195" s="86">
        <f>SUM('dolnośląskie:ODR woj. zachodniopomorskie'!L192)</f>
        <v>5944</v>
      </c>
    </row>
    <row r="196" spans="1:14">
      <c r="A196" s="2868"/>
      <c r="B196" s="2190"/>
      <c r="C196" s="74">
        <v>2018</v>
      </c>
      <c r="D196" s="40"/>
      <c r="E196" s="41"/>
      <c r="F196" s="41"/>
      <c r="G196" s="286">
        <f t="shared" si="21"/>
        <v>0</v>
      </c>
      <c r="H196" s="105"/>
      <c r="I196" s="41"/>
      <c r="J196" s="41"/>
      <c r="K196" s="41"/>
      <c r="L196" s="86"/>
    </row>
    <row r="197" spans="1:14">
      <c r="A197" s="2868"/>
      <c r="B197" s="2190"/>
      <c r="C197" s="74">
        <v>2019</v>
      </c>
      <c r="D197" s="40"/>
      <c r="E197" s="41"/>
      <c r="F197" s="41"/>
      <c r="G197" s="286">
        <f t="shared" si="21"/>
        <v>0</v>
      </c>
      <c r="H197" s="105"/>
      <c r="I197" s="41"/>
      <c r="J197" s="41"/>
      <c r="K197" s="41"/>
      <c r="L197" s="86"/>
    </row>
    <row r="198" spans="1:14">
      <c r="A198" s="2868"/>
      <c r="B198" s="2190"/>
      <c r="C198" s="74">
        <v>2020</v>
      </c>
      <c r="D198" s="40"/>
      <c r="E198" s="41"/>
      <c r="F198" s="41"/>
      <c r="G198" s="286">
        <f t="shared" si="21"/>
        <v>0</v>
      </c>
      <c r="H198" s="105"/>
      <c r="I198" s="41"/>
      <c r="J198" s="41"/>
      <c r="K198" s="41"/>
      <c r="L198" s="86"/>
    </row>
    <row r="199" spans="1:14" ht="15.75" thickBot="1">
      <c r="A199" s="2869"/>
      <c r="B199" s="2892"/>
      <c r="C199" s="129" t="s">
        <v>13</v>
      </c>
      <c r="D199" s="132">
        <f t="shared" ref="D199:L199" si="22">SUM(D192:D198)</f>
        <v>38989</v>
      </c>
      <c r="E199" s="109">
        <f t="shared" si="22"/>
        <v>2175</v>
      </c>
      <c r="F199" s="109">
        <f t="shared" si="22"/>
        <v>3154</v>
      </c>
      <c r="G199" s="290">
        <f t="shared" si="22"/>
        <v>44318</v>
      </c>
      <c r="H199" s="108">
        <f t="shared" si="22"/>
        <v>141</v>
      </c>
      <c r="I199" s="109">
        <f t="shared" si="22"/>
        <v>2921</v>
      </c>
      <c r="J199" s="109">
        <f t="shared" si="22"/>
        <v>5176</v>
      </c>
      <c r="K199" s="109">
        <f t="shared" si="22"/>
        <v>6797</v>
      </c>
      <c r="L199" s="110">
        <f t="shared" si="22"/>
        <v>29283</v>
      </c>
    </row>
    <row r="202" spans="1:14" ht="21">
      <c r="A202" s="291" t="s">
        <v>137</v>
      </c>
      <c r="B202" s="291"/>
      <c r="C202" s="292"/>
      <c r="D202" s="292"/>
      <c r="E202" s="292"/>
      <c r="F202" s="292"/>
      <c r="G202" s="292"/>
      <c r="H202" s="292"/>
      <c r="I202" s="292"/>
      <c r="J202" s="292"/>
      <c r="K202" s="292"/>
      <c r="L202" s="292"/>
      <c r="M202" s="66"/>
      <c r="N202" s="66"/>
    </row>
    <row r="203" spans="1:14" ht="10.5" customHeight="1" thickBot="1">
      <c r="A203" s="293"/>
      <c r="B203" s="293"/>
      <c r="C203" s="292"/>
      <c r="D203" s="292"/>
      <c r="E203" s="292"/>
      <c r="F203" s="292"/>
      <c r="G203" s="292"/>
      <c r="H203" s="292"/>
      <c r="I203" s="292"/>
      <c r="J203" s="292"/>
      <c r="K203" s="292"/>
      <c r="L203" s="292"/>
    </row>
    <row r="204" spans="1:14" s="1658" customFormat="1" ht="101.25" customHeight="1">
      <c r="A204" s="1665" t="s">
        <v>138</v>
      </c>
      <c r="B204" s="295" t="s">
        <v>116</v>
      </c>
      <c r="C204" s="296" t="s">
        <v>9</v>
      </c>
      <c r="D204" s="297" t="s">
        <v>139</v>
      </c>
      <c r="E204" s="298" t="s">
        <v>140</v>
      </c>
      <c r="F204" s="298" t="s">
        <v>141</v>
      </c>
      <c r="G204" s="296" t="s">
        <v>142</v>
      </c>
      <c r="H204" s="299" t="s">
        <v>143</v>
      </c>
      <c r="I204" s="300" t="s">
        <v>144</v>
      </c>
      <c r="J204" s="301" t="s">
        <v>145</v>
      </c>
      <c r="K204" s="298" t="s">
        <v>146</v>
      </c>
      <c r="L204" s="302" t="s">
        <v>147</v>
      </c>
    </row>
    <row r="205" spans="1:14" ht="15" customHeight="1">
      <c r="A205" s="2218"/>
      <c r="B205" s="2190"/>
      <c r="C205" s="73">
        <v>2014</v>
      </c>
      <c r="D205" s="33"/>
      <c r="E205" s="34"/>
      <c r="F205" s="34"/>
      <c r="G205" s="32"/>
      <c r="H205" s="303"/>
      <c r="I205" s="304"/>
      <c r="J205" s="305"/>
      <c r="K205" s="34"/>
      <c r="L205" s="37"/>
    </row>
    <row r="206" spans="1:14">
      <c r="A206" s="2218"/>
      <c r="B206" s="2190"/>
      <c r="C206" s="74">
        <v>2015</v>
      </c>
      <c r="D206" s="104"/>
      <c r="E206" s="104"/>
      <c r="F206" s="104"/>
      <c r="G206" s="39"/>
      <c r="H206" s="306"/>
      <c r="I206" s="307"/>
      <c r="J206" s="104"/>
      <c r="K206" s="104"/>
      <c r="L206" s="86"/>
    </row>
    <row r="207" spans="1:14">
      <c r="A207" s="2218"/>
      <c r="B207" s="2190"/>
      <c r="C207" s="74">
        <v>2016</v>
      </c>
      <c r="D207" s="40">
        <f>SUM('dolnośląskie:ODR woj. zachodniopomorskie'!D204)</f>
        <v>11</v>
      </c>
      <c r="E207" s="40">
        <f>SUM('dolnośląskie:ODR woj. zachodniopomorskie'!E204)</f>
        <v>160</v>
      </c>
      <c r="F207" s="40">
        <f>SUM('dolnośląskie:ODR woj. zachodniopomorskie'!F204)</f>
        <v>10</v>
      </c>
      <c r="G207" s="39">
        <f>SUM('dolnośląskie:ODR woj. zachodniopomorskie'!G204)</f>
        <v>1</v>
      </c>
      <c r="H207" s="306">
        <f>SUM('dolnośląskie:ODR woj. zachodniopomorskie'!H204)</f>
        <v>26</v>
      </c>
      <c r="I207" s="307">
        <f>SUM('dolnośląskie:ODR woj. zachodniopomorskie'!I204)</f>
        <v>0</v>
      </c>
      <c r="J207" s="40">
        <f>SUM('dolnośląskie:ODR woj. zachodniopomorskie'!J204)</f>
        <v>5</v>
      </c>
      <c r="K207" s="40">
        <f>SUM('dolnośląskie:ODR woj. zachodniopomorskie'!K204)</f>
        <v>115</v>
      </c>
      <c r="L207" s="86">
        <f>SUM('dolnośląskie:ODR woj. zachodniopomorskie'!L204)</f>
        <v>0</v>
      </c>
    </row>
    <row r="208" spans="1:14">
      <c r="A208" s="2218"/>
      <c r="B208" s="2190"/>
      <c r="C208" s="74">
        <v>2017</v>
      </c>
      <c r="D208" s="40">
        <f>SUM('dolnośląskie:ODR woj. zachodniopomorskie'!D205)</f>
        <v>1</v>
      </c>
      <c r="E208" s="40">
        <f>SUM('dolnośląskie:ODR woj. zachodniopomorskie'!E205)</f>
        <v>50</v>
      </c>
      <c r="F208" s="40">
        <f>SUM('dolnośląskie:ODR woj. zachodniopomorskie'!F205)</f>
        <v>27</v>
      </c>
      <c r="G208" s="39">
        <f>SUM('dolnośląskie:ODR woj. zachodniopomorskie'!G205)</f>
        <v>0</v>
      </c>
      <c r="H208" s="306">
        <f>SUM('dolnośląskie:ODR woj. zachodniopomorskie'!H205)</f>
        <v>26</v>
      </c>
      <c r="I208" s="307">
        <f>SUM('dolnośląskie:ODR woj. zachodniopomorskie'!I205)</f>
        <v>1</v>
      </c>
      <c r="J208" s="40">
        <f>SUM('dolnośląskie:ODR woj. zachodniopomorskie'!J205)</f>
        <v>0</v>
      </c>
      <c r="K208" s="40">
        <f>SUM('dolnośląskie:ODR woj. zachodniopomorskie'!K205)</f>
        <v>0</v>
      </c>
      <c r="L208" s="86">
        <f>SUM('dolnośląskie:ODR woj. zachodniopomorskie'!L205)</f>
        <v>0</v>
      </c>
    </row>
    <row r="209" spans="1:12">
      <c r="A209" s="2218"/>
      <c r="B209" s="2190"/>
      <c r="C209" s="74">
        <v>2018</v>
      </c>
      <c r="D209" s="40"/>
      <c r="E209" s="41"/>
      <c r="F209" s="41"/>
      <c r="G209" s="39"/>
      <c r="H209" s="306"/>
      <c r="I209" s="307"/>
      <c r="J209" s="308"/>
      <c r="K209" s="41"/>
      <c r="L209" s="86"/>
    </row>
    <row r="210" spans="1:12">
      <c r="A210" s="2218"/>
      <c r="B210" s="2190"/>
      <c r="C210" s="74">
        <v>2019</v>
      </c>
      <c r="D210" s="40"/>
      <c r="E210" s="41"/>
      <c r="F210" s="41"/>
      <c r="G210" s="39"/>
      <c r="H210" s="306"/>
      <c r="I210" s="307"/>
      <c r="J210" s="308"/>
      <c r="K210" s="41"/>
      <c r="L210" s="86"/>
    </row>
    <row r="211" spans="1:12">
      <c r="A211" s="2218"/>
      <c r="B211" s="2190"/>
      <c r="C211" s="74">
        <v>2020</v>
      </c>
      <c r="D211" s="1656"/>
      <c r="E211" s="310"/>
      <c r="F211" s="310"/>
      <c r="G211" s="311"/>
      <c r="H211" s="312"/>
      <c r="I211" s="313"/>
      <c r="J211" s="314"/>
      <c r="K211" s="310"/>
      <c r="L211" s="315"/>
    </row>
    <row r="212" spans="1:12" ht="20.25" customHeight="1" thickBot="1">
      <c r="A212" s="2219"/>
      <c r="B212" s="2892"/>
      <c r="C212" s="129" t="s">
        <v>13</v>
      </c>
      <c r="D212" s="132">
        <f>SUM(D205:D211)</f>
        <v>12</v>
      </c>
      <c r="E212" s="132">
        <f t="shared" ref="E212:L212" si="23">SUM(E205:E211)</f>
        <v>210</v>
      </c>
      <c r="F212" s="132">
        <f t="shared" si="23"/>
        <v>37</v>
      </c>
      <c r="G212" s="132">
        <f t="shared" si="23"/>
        <v>1</v>
      </c>
      <c r="H212" s="132">
        <f t="shared" si="23"/>
        <v>52</v>
      </c>
      <c r="I212" s="132">
        <f t="shared" si="23"/>
        <v>1</v>
      </c>
      <c r="J212" s="132">
        <f t="shared" si="23"/>
        <v>5</v>
      </c>
      <c r="K212" s="132">
        <f t="shared" si="23"/>
        <v>115</v>
      </c>
      <c r="L212" s="132">
        <f t="shared" si="23"/>
        <v>0</v>
      </c>
    </row>
    <row r="214" spans="1:12" ht="15.75" thickBot="1"/>
    <row r="215" spans="1:12" ht="29.25">
      <c r="A215" s="1666" t="s">
        <v>148</v>
      </c>
      <c r="B215" s="317" t="s">
        <v>149</v>
      </c>
      <c r="C215" s="318">
        <v>2014</v>
      </c>
      <c r="D215" s="319">
        <v>2015</v>
      </c>
      <c r="E215" s="319">
        <v>2016</v>
      </c>
      <c r="F215" s="319">
        <v>2017</v>
      </c>
      <c r="G215" s="319">
        <v>2018</v>
      </c>
      <c r="H215" s="319">
        <v>2019</v>
      </c>
      <c r="I215" s="320">
        <v>2020</v>
      </c>
    </row>
    <row r="216" spans="1:12" ht="15" customHeight="1">
      <c r="A216" t="s">
        <v>150</v>
      </c>
      <c r="B216" s="2865"/>
      <c r="C216" s="73"/>
      <c r="D216" s="326"/>
      <c r="E216" s="326">
        <f>SUM(E217:E220)</f>
        <v>22963913.479999997</v>
      </c>
      <c r="F216" s="326">
        <f>SUM(F217:F220)</f>
        <v>3007140.63</v>
      </c>
      <c r="G216" s="128"/>
      <c r="H216" s="128"/>
      <c r="I216" s="327"/>
    </row>
    <row r="217" spans="1:12">
      <c r="A217" t="s">
        <v>153</v>
      </c>
      <c r="B217" s="2208"/>
      <c r="C217" s="73"/>
      <c r="D217" s="1667"/>
      <c r="E217" s="340">
        <f>SUM('dolnośląskie:ODR woj. zachodniopomorskie'!E214)</f>
        <v>13446149.989999996</v>
      </c>
      <c r="F217" s="340">
        <f>SUM('dolnośląskie:ODR woj. zachodniopomorskie'!F214)</f>
        <v>2223328.9899999998</v>
      </c>
      <c r="G217" s="128"/>
      <c r="H217" s="128"/>
      <c r="I217" s="327"/>
    </row>
    <row r="218" spans="1:12">
      <c r="A218" t="s">
        <v>155</v>
      </c>
      <c r="B218" s="2208"/>
      <c r="C218" s="73"/>
      <c r="D218" s="1667"/>
      <c r="E218" s="340">
        <f>SUM('dolnośląskie:ODR woj. zachodniopomorskie'!E215)</f>
        <v>89804.65</v>
      </c>
      <c r="F218" s="340">
        <f>SUM('dolnośląskie:ODR woj. zachodniopomorskie'!F215)</f>
        <v>1738</v>
      </c>
      <c r="G218" s="128"/>
      <c r="H218" s="128"/>
      <c r="I218" s="327"/>
    </row>
    <row r="219" spans="1:12">
      <c r="A219" t="s">
        <v>157</v>
      </c>
      <c r="B219" s="2208"/>
      <c r="C219" s="73"/>
      <c r="D219" s="1667"/>
      <c r="E219" s="340">
        <f>SUM('dolnośląskie:ODR woj. zachodniopomorskie'!E216)</f>
        <v>4201891.55</v>
      </c>
      <c r="F219" s="340">
        <f>SUM('dolnośląskie:ODR woj. zachodniopomorskie'!F216)</f>
        <v>273387.20999999996</v>
      </c>
      <c r="G219" s="128"/>
      <c r="H219" s="128"/>
      <c r="I219" s="327"/>
    </row>
    <row r="220" spans="1:12">
      <c r="A220" t="s">
        <v>158</v>
      </c>
      <c r="B220" s="2208"/>
      <c r="C220" s="73"/>
      <c r="D220" s="1667"/>
      <c r="E220" s="340">
        <f>SUM('dolnośląskie:ODR woj. zachodniopomorskie'!E217)</f>
        <v>5226067.29</v>
      </c>
      <c r="F220" s="340">
        <f>SUM('dolnośląskie:ODR woj. zachodniopomorskie'!F217)</f>
        <v>508686.43</v>
      </c>
      <c r="G220" s="128"/>
      <c r="H220" s="128"/>
      <c r="I220" s="327"/>
    </row>
    <row r="221" spans="1:12" ht="30">
      <c r="A221" s="1658" t="s">
        <v>159</v>
      </c>
      <c r="B221" s="2208"/>
      <c r="C221" s="73"/>
      <c r="D221" s="1667"/>
      <c r="E221" s="340">
        <f>SUM('dolnośląskie:ODR woj. zachodniopomorskie'!E218)</f>
        <v>11442714.581764217</v>
      </c>
      <c r="F221" s="340">
        <f>SUM('dolnośląskie:ODR woj. zachodniopomorskie'!F218)</f>
        <v>5967556.4799999995</v>
      </c>
      <c r="G221" s="128"/>
      <c r="H221" s="128"/>
      <c r="I221" s="327"/>
    </row>
    <row r="222" spans="1:12" ht="15.75" thickBot="1">
      <c r="A222" s="1655"/>
      <c r="B222" s="2209"/>
      <c r="C222" s="45" t="s">
        <v>13</v>
      </c>
      <c r="D222" s="331">
        <f>SUM(D217:D221)</f>
        <v>0</v>
      </c>
      <c r="E222" s="331">
        <f t="shared" ref="E222:I222" si="24">SUM(E217:E221)</f>
        <v>34406628.06176421</v>
      </c>
      <c r="F222" s="331">
        <f t="shared" si="24"/>
        <v>8974697.1099999994</v>
      </c>
      <c r="G222" s="333">
        <f t="shared" si="24"/>
        <v>0</v>
      </c>
      <c r="H222" s="333">
        <f t="shared" si="24"/>
        <v>0</v>
      </c>
      <c r="I222" s="333">
        <f t="shared" si="24"/>
        <v>0</v>
      </c>
    </row>
    <row r="230" spans="1:1">
      <c r="A230" s="1658"/>
    </row>
  </sheetData>
  <mergeCells count="56">
    <mergeCell ref="A205:B212"/>
    <mergeCell ref="B216:B222"/>
    <mergeCell ref="A190:A191"/>
    <mergeCell ref="B190:B191"/>
    <mergeCell ref="C190:C191"/>
    <mergeCell ref="D190:G190"/>
    <mergeCell ref="H190:L190"/>
    <mergeCell ref="A192:B199"/>
    <mergeCell ref="A168:B175"/>
    <mergeCell ref="A179:A180"/>
    <mergeCell ref="B179:B180"/>
    <mergeCell ref="C179:C180"/>
    <mergeCell ref="I179:O179"/>
    <mergeCell ref="A181:B188"/>
    <mergeCell ref="J145:N145"/>
    <mergeCell ref="A147:B154"/>
    <mergeCell ref="A156:A157"/>
    <mergeCell ref="B156:B157"/>
    <mergeCell ref="C156:C157"/>
    <mergeCell ref="C145:C146"/>
    <mergeCell ref="A158:B165"/>
    <mergeCell ref="A132:A133"/>
    <mergeCell ref="B132:B133"/>
    <mergeCell ref="A134:B140"/>
    <mergeCell ref="A145:A146"/>
    <mergeCell ref="B145:B146"/>
    <mergeCell ref="A123:B130"/>
    <mergeCell ref="D99:E99"/>
    <mergeCell ref="A101:B108"/>
    <mergeCell ref="A110:A111"/>
    <mergeCell ref="B110:B111"/>
    <mergeCell ref="C110:C111"/>
    <mergeCell ref="D110:D111"/>
    <mergeCell ref="C99:C100"/>
    <mergeCell ref="A112:B119"/>
    <mergeCell ref="A121:A122"/>
    <mergeCell ref="B121:B122"/>
    <mergeCell ref="C121:C122"/>
    <mergeCell ref="D121:D122"/>
    <mergeCell ref="A65:B72"/>
    <mergeCell ref="A75:B82"/>
    <mergeCell ref="A88:B95"/>
    <mergeCell ref="A99:A100"/>
    <mergeCell ref="B99:B100"/>
    <mergeCell ref="D63:D64"/>
    <mergeCell ref="B4:F4"/>
    <mergeCell ref="F6:O6"/>
    <mergeCell ref="A7:O13"/>
    <mergeCell ref="D18:G18"/>
    <mergeCell ref="A20:B27"/>
    <mergeCell ref="D29:G29"/>
    <mergeCell ref="A31:B38"/>
    <mergeCell ref="A43:B50"/>
    <mergeCell ref="A53:B61"/>
    <mergeCell ref="A63:A64"/>
    <mergeCell ref="C63:C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Y228"/>
  <sheetViews>
    <sheetView topLeftCell="B199" zoomScale="60" zoomScaleNormal="60" workbookViewId="0">
      <selection activeCell="E213" sqref="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505</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36.75" customHeight="1">
      <c r="A15" s="9"/>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180"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499</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c r="H18" s="42"/>
      <c r="I18" s="41"/>
      <c r="J18" s="41"/>
      <c r="K18" s="41"/>
      <c r="L18" s="41"/>
      <c r="M18" s="41"/>
      <c r="N18" s="41"/>
      <c r="O18" s="43"/>
      <c r="P18" s="38"/>
      <c r="Q18" s="38"/>
      <c r="R18" s="38"/>
      <c r="S18" s="38"/>
      <c r="T18" s="38"/>
      <c r="U18" s="38"/>
      <c r="V18" s="38"/>
      <c r="W18" s="38"/>
      <c r="X18" s="38"/>
      <c r="Y18" s="38"/>
    </row>
    <row r="19" spans="1:25">
      <c r="A19" s="2069"/>
      <c r="B19" s="2068"/>
      <c r="C19" s="39">
        <v>2016</v>
      </c>
      <c r="D19" s="40">
        <v>43</v>
      </c>
      <c r="E19" s="41">
        <v>3</v>
      </c>
      <c r="F19" s="41">
        <v>2</v>
      </c>
      <c r="G19" s="35">
        <f t="shared" si="0"/>
        <v>48</v>
      </c>
      <c r="H19" s="42"/>
      <c r="I19" s="41">
        <v>18</v>
      </c>
      <c r="J19" s="41">
        <v>1</v>
      </c>
      <c r="K19" s="41">
        <v>20</v>
      </c>
      <c r="L19" s="41">
        <v>6</v>
      </c>
      <c r="M19" s="41"/>
      <c r="N19" s="41"/>
      <c r="O19" s="43">
        <v>3</v>
      </c>
      <c r="P19" s="38"/>
      <c r="Q19" s="38"/>
      <c r="R19" s="38"/>
      <c r="S19" s="38"/>
      <c r="T19" s="38"/>
      <c r="U19" s="38"/>
      <c r="V19" s="38"/>
      <c r="W19" s="38"/>
      <c r="X19" s="38"/>
      <c r="Y19" s="38"/>
    </row>
    <row r="20" spans="1:25">
      <c r="A20" s="2069"/>
      <c r="B20" s="2068"/>
      <c r="C20" s="39">
        <v>2017</v>
      </c>
      <c r="D20" s="40">
        <v>7</v>
      </c>
      <c r="E20" s="41"/>
      <c r="F20" s="41">
        <v>1</v>
      </c>
      <c r="G20" s="35">
        <f t="shared" si="0"/>
        <v>8</v>
      </c>
      <c r="H20" s="42"/>
      <c r="I20" s="41">
        <v>5</v>
      </c>
      <c r="J20" s="41">
        <v>3</v>
      </c>
      <c r="K20" s="41"/>
      <c r="L20" s="41"/>
      <c r="M20" s="41"/>
      <c r="N20" s="41"/>
      <c r="O20" s="43"/>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5" customHeight="1" thickBot="1">
      <c r="A24" s="2070"/>
      <c r="B24" s="2071"/>
      <c r="C24" s="45" t="s">
        <v>13</v>
      </c>
      <c r="D24" s="46">
        <f>SUM(D17:D23)</f>
        <v>50</v>
      </c>
      <c r="E24" s="47">
        <f>SUM(E17:E23)</f>
        <v>3</v>
      </c>
      <c r="F24" s="47">
        <f>SUM(F17:F23)</f>
        <v>3</v>
      </c>
      <c r="G24" s="48">
        <f>SUM(D24:F24)</f>
        <v>56</v>
      </c>
      <c r="H24" s="49">
        <f>SUM(H17:H23)</f>
        <v>0</v>
      </c>
      <c r="I24" s="50">
        <f>SUM(I17:I23)</f>
        <v>23</v>
      </c>
      <c r="J24" s="50">
        <f t="shared" ref="J24:N24" si="1">SUM(J17:J23)</f>
        <v>4</v>
      </c>
      <c r="K24" s="50">
        <f t="shared" si="1"/>
        <v>20</v>
      </c>
      <c r="L24" s="50">
        <f t="shared" si="1"/>
        <v>6</v>
      </c>
      <c r="M24" s="50">
        <f t="shared" si="1"/>
        <v>0</v>
      </c>
      <c r="N24" s="50">
        <f t="shared" si="1"/>
        <v>0</v>
      </c>
      <c r="O24" s="51">
        <f>SUM(O17:O23)</f>
        <v>3</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9"/>
      <c r="B26" s="357"/>
      <c r="C26" s="53"/>
      <c r="D26" s="2011" t="s">
        <v>5</v>
      </c>
      <c r="E26" s="2012"/>
      <c r="F26" s="2012"/>
      <c r="G26" s="2013"/>
      <c r="H26" s="16"/>
      <c r="I26" s="17"/>
      <c r="J26" s="18"/>
      <c r="K26" s="18"/>
      <c r="L26" s="18"/>
      <c r="M26" s="18"/>
      <c r="N26" s="18"/>
      <c r="O26" s="16"/>
      <c r="P26" s="16"/>
    </row>
    <row r="27" spans="1:25" s="1180"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500</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42"/>
      <c r="E29" s="41"/>
      <c r="F29" s="41"/>
      <c r="G29" s="59"/>
      <c r="H29" s="38"/>
      <c r="I29" s="38"/>
      <c r="J29" s="38"/>
      <c r="K29" s="38"/>
      <c r="L29" s="38"/>
      <c r="M29" s="38"/>
      <c r="N29" s="38"/>
      <c r="O29" s="38"/>
      <c r="P29" s="38"/>
      <c r="Q29" s="8"/>
    </row>
    <row r="30" spans="1:25">
      <c r="A30" s="2069"/>
      <c r="B30" s="2068"/>
      <c r="C30" s="60">
        <v>2016</v>
      </c>
      <c r="D30" s="42">
        <v>5431</v>
      </c>
      <c r="E30" s="41">
        <v>40</v>
      </c>
      <c r="F30" s="41">
        <v>400011</v>
      </c>
      <c r="G30" s="59">
        <f t="shared" ref="G30:G35" si="2">SUM(D30:F30)</f>
        <v>405482</v>
      </c>
      <c r="H30" s="38"/>
      <c r="I30" s="38"/>
      <c r="J30" s="38"/>
      <c r="K30" s="38"/>
      <c r="L30" s="38"/>
      <c r="M30" s="38"/>
      <c r="N30" s="38"/>
      <c r="O30" s="38"/>
      <c r="P30" s="38"/>
      <c r="Q30" s="8"/>
    </row>
    <row r="31" spans="1:25">
      <c r="A31" s="2069"/>
      <c r="B31" s="2068"/>
      <c r="C31" s="60">
        <v>2017</v>
      </c>
      <c r="D31" s="42">
        <v>263</v>
      </c>
      <c r="E31" s="41"/>
      <c r="F31" s="41">
        <v>400000</v>
      </c>
      <c r="G31" s="59">
        <f t="shared" si="2"/>
        <v>400263</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5694</v>
      </c>
      <c r="E35" s="47">
        <f>SUM(E28:E34)</f>
        <v>40</v>
      </c>
      <c r="F35" s="47">
        <f>SUM(F28:F34)</f>
        <v>800011</v>
      </c>
      <c r="G35" s="51">
        <f t="shared" si="2"/>
        <v>805745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67"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40">
        <v>5361</v>
      </c>
      <c r="E42" s="39">
        <v>2206</v>
      </c>
      <c r="F42" s="8"/>
      <c r="G42" s="38"/>
      <c r="H42" s="38"/>
    </row>
    <row r="43" spans="1:17">
      <c r="A43" s="2069"/>
      <c r="B43" s="2068"/>
      <c r="C43" s="74">
        <v>2017</v>
      </c>
      <c r="D43" s="40">
        <v>2200</v>
      </c>
      <c r="E43" s="39">
        <v>1300</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7561</v>
      </c>
      <c r="E47" s="76">
        <f>SUM(E40:E46)</f>
        <v>3506</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v>1</v>
      </c>
      <c r="E53" s="41"/>
      <c r="F53" s="41"/>
      <c r="G53" s="41">
        <v>183</v>
      </c>
      <c r="H53" s="41"/>
      <c r="I53" s="41"/>
      <c r="J53" s="41">
        <v>21</v>
      </c>
      <c r="K53" s="86">
        <v>5833</v>
      </c>
    </row>
    <row r="54" spans="1:15">
      <c r="A54" s="2025"/>
      <c r="B54" s="2026"/>
      <c r="C54" s="74">
        <v>2017</v>
      </c>
      <c r="D54" s="40">
        <v>1</v>
      </c>
      <c r="E54" s="41"/>
      <c r="F54" s="41"/>
      <c r="G54" s="41">
        <v>350</v>
      </c>
      <c r="H54" s="41"/>
      <c r="I54" s="41"/>
      <c r="J54" s="41">
        <v>42</v>
      </c>
      <c r="K54" s="86">
        <v>9839</v>
      </c>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2</v>
      </c>
      <c r="E58" s="47">
        <f>SUM(E51:E57)</f>
        <v>0</v>
      </c>
      <c r="F58" s="47">
        <f>SUM(F51:F57)</f>
        <v>0</v>
      </c>
      <c r="G58" s="47">
        <f>SUM(G51:G57)</f>
        <v>533</v>
      </c>
      <c r="H58" s="47">
        <f>SUM(H51:H57)</f>
        <v>0</v>
      </c>
      <c r="I58" s="47">
        <f t="shared" ref="I58" si="3">SUM(I51:I57)</f>
        <v>0</v>
      </c>
      <c r="J58" s="47">
        <f>SUM(J51:J57)</f>
        <v>63</v>
      </c>
      <c r="K58" s="51">
        <f>SUM(K50:K56)</f>
        <v>15672</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c r="B62" s="2039"/>
      <c r="C62" s="99">
        <v>2014</v>
      </c>
      <c r="D62" s="100"/>
      <c r="E62" s="101"/>
      <c r="F62" s="102"/>
      <c r="G62" s="102"/>
      <c r="H62" s="102"/>
      <c r="I62" s="102"/>
      <c r="J62" s="102"/>
      <c r="K62" s="102"/>
      <c r="L62" s="37"/>
      <c r="M62" s="8"/>
      <c r="N62" s="8"/>
      <c r="O62" s="8"/>
    </row>
    <row r="63" spans="1:15">
      <c r="A63" s="2048"/>
      <c r="B63" s="2039"/>
      <c r="C63" s="103">
        <v>2015</v>
      </c>
      <c r="D63" s="104"/>
      <c r="E63" s="105"/>
      <c r="F63" s="41"/>
      <c r="G63" s="41"/>
      <c r="H63" s="41"/>
      <c r="I63" s="41"/>
      <c r="J63" s="41"/>
      <c r="K63" s="41"/>
      <c r="L63" s="86"/>
      <c r="M63" s="8"/>
      <c r="N63" s="8"/>
      <c r="O63" s="8"/>
    </row>
    <row r="64" spans="1:15">
      <c r="A64" s="2048"/>
      <c r="B64" s="2039"/>
      <c r="C64" s="103">
        <v>2016</v>
      </c>
      <c r="D64" s="104">
        <v>8</v>
      </c>
      <c r="E64" s="105"/>
      <c r="F64" s="41">
        <v>8</v>
      </c>
      <c r="G64" s="41"/>
      <c r="H64" s="41"/>
      <c r="I64" s="41"/>
      <c r="J64" s="41"/>
      <c r="K64" s="41"/>
      <c r="L64" s="86"/>
      <c r="M64" s="8"/>
      <c r="N64" s="8"/>
      <c r="O64" s="8"/>
    </row>
    <row r="65" spans="1:20">
      <c r="A65" s="2048"/>
      <c r="B65" s="2039"/>
      <c r="C65" s="103">
        <v>2017</v>
      </c>
      <c r="D65" s="104">
        <v>2</v>
      </c>
      <c r="E65" s="105">
        <v>2</v>
      </c>
      <c r="F65" s="41"/>
      <c r="G65" s="41"/>
      <c r="H65" s="41"/>
      <c r="I65" s="41"/>
      <c r="J65" s="41"/>
      <c r="K65" s="41"/>
      <c r="L65" s="86"/>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10</v>
      </c>
      <c r="E69" s="108">
        <f>SUM(E62:E68)</f>
        <v>2</v>
      </c>
      <c r="F69" s="109">
        <f t="shared" ref="F69:I69" si="4">SUM(F62:F68)</f>
        <v>8</v>
      </c>
      <c r="G69" s="109">
        <f t="shared" si="4"/>
        <v>0</v>
      </c>
      <c r="H69" s="109">
        <f t="shared" si="4"/>
        <v>0</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1180"/>
      <c r="Q70" s="1180"/>
      <c r="R70" s="1180"/>
      <c r="S70" s="1180"/>
      <c r="T70" s="1180"/>
    </row>
    <row r="71" spans="1:20" ht="132" customHeight="1">
      <c r="A71" s="67"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c r="H73" s="40"/>
      <c r="I73" s="40"/>
      <c r="J73" s="41"/>
      <c r="K73" s="41"/>
      <c r="L73" s="41"/>
      <c r="M73" s="41"/>
      <c r="N73" s="41"/>
      <c r="O73" s="86"/>
    </row>
    <row r="74" spans="1:20">
      <c r="A74" s="2069"/>
      <c r="B74" s="2039"/>
      <c r="C74" s="74">
        <v>2016</v>
      </c>
      <c r="D74" s="128"/>
      <c r="E74" s="128"/>
      <c r="F74" s="128"/>
      <c r="G74" s="125">
        <f t="shared" ref="G74:G78" si="5">SUM(D74:F74)</f>
        <v>0</v>
      </c>
      <c r="H74" s="40"/>
      <c r="I74" s="40"/>
      <c r="J74" s="41"/>
      <c r="K74" s="41"/>
      <c r="L74" s="41"/>
      <c r="M74" s="41"/>
      <c r="N74" s="41"/>
      <c r="O74" s="86"/>
    </row>
    <row r="75" spans="1:20">
      <c r="A75" s="2069"/>
      <c r="B75" s="2039"/>
      <c r="C75" s="74">
        <v>2017</v>
      </c>
      <c r="D75" s="128"/>
      <c r="E75" s="128">
        <v>1</v>
      </c>
      <c r="F75" s="128"/>
      <c r="G75" s="125">
        <f t="shared" si="5"/>
        <v>1</v>
      </c>
      <c r="H75" s="40"/>
      <c r="I75" s="40"/>
      <c r="J75" s="41"/>
      <c r="K75" s="41"/>
      <c r="L75" s="41">
        <v>1</v>
      </c>
      <c r="M75" s="41"/>
      <c r="N75" s="41"/>
      <c r="O75" s="86"/>
    </row>
    <row r="76" spans="1:20">
      <c r="A76" s="2069"/>
      <c r="B76" s="2039"/>
      <c r="C76" s="74">
        <v>2018</v>
      </c>
      <c r="D76" s="128"/>
      <c r="E76" s="128"/>
      <c r="F76" s="128"/>
      <c r="G76" s="125">
        <f t="shared" si="5"/>
        <v>0</v>
      </c>
      <c r="H76" s="40"/>
      <c r="I76" s="40"/>
      <c r="J76" s="41"/>
      <c r="K76" s="41"/>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0</v>
      </c>
      <c r="E79" s="107">
        <f>SUM(E72:E78)</f>
        <v>1</v>
      </c>
      <c r="F79" s="107">
        <f>SUM(F72:F78)</f>
        <v>0</v>
      </c>
      <c r="G79" s="130">
        <f>SUM(G72:G78)</f>
        <v>1</v>
      </c>
      <c r="H79" s="131">
        <v>0</v>
      </c>
      <c r="I79" s="132">
        <f t="shared" ref="I79:O79" si="6">SUM(I72:I78)</f>
        <v>0</v>
      </c>
      <c r="J79" s="109">
        <f t="shared" si="6"/>
        <v>0</v>
      </c>
      <c r="K79" s="109">
        <f t="shared" si="6"/>
        <v>0</v>
      </c>
      <c r="L79" s="109">
        <f t="shared" si="6"/>
        <v>1</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180" customFormat="1" ht="128.25" customHeight="1">
      <c r="A84" s="140" t="s">
        <v>50</v>
      </c>
      <c r="B84" s="362" t="s">
        <v>51</v>
      </c>
      <c r="C84" s="142" t="s">
        <v>9</v>
      </c>
      <c r="D84" s="143" t="s">
        <v>52</v>
      </c>
      <c r="E84" s="144" t="s">
        <v>53</v>
      </c>
      <c r="F84" s="145" t="s">
        <v>54</v>
      </c>
      <c r="G84" s="145" t="s">
        <v>55</v>
      </c>
      <c r="H84" s="145" t="s">
        <v>56</v>
      </c>
      <c r="I84" s="145" t="s">
        <v>57</v>
      </c>
      <c r="J84" s="145" t="s">
        <v>58</v>
      </c>
      <c r="K84" s="146" t="s">
        <v>59</v>
      </c>
    </row>
    <row r="85" spans="1:16" ht="15" customHeight="1">
      <c r="A85" s="2175"/>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29.25"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501</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40">
        <v>1</v>
      </c>
      <c r="E100" s="41">
        <v>7</v>
      </c>
      <c r="F100" s="170"/>
      <c r="G100" s="171"/>
      <c r="H100" s="171"/>
      <c r="I100" s="171"/>
      <c r="J100" s="171"/>
      <c r="K100" s="171"/>
      <c r="L100" s="171"/>
      <c r="M100" s="172">
        <v>1</v>
      </c>
      <c r="N100" s="158"/>
      <c r="O100" s="158"/>
      <c r="P100" s="158"/>
    </row>
    <row r="101" spans="1:16" ht="16.5" customHeight="1">
      <c r="A101" s="2048"/>
      <c r="B101" s="2039"/>
      <c r="C101" s="103">
        <v>2017</v>
      </c>
      <c r="D101" s="40">
        <v>1</v>
      </c>
      <c r="E101" s="41">
        <v>4</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11</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178" t="s">
        <v>9</v>
      </c>
      <c r="D129" s="182" t="s">
        <v>76</v>
      </c>
      <c r="E129" s="183"/>
      <c r="F129" s="183"/>
      <c r="G129" s="184"/>
      <c r="H129" s="178"/>
      <c r="I129" s="178"/>
      <c r="J129" s="178"/>
      <c r="K129" s="178"/>
      <c r="L129" s="178"/>
      <c r="M129" s="178"/>
      <c r="N129" s="178"/>
    </row>
    <row r="130" spans="1:16" ht="77.25" customHeight="1">
      <c r="A130" s="2044"/>
      <c r="B130" s="2046"/>
      <c r="C130" s="1179"/>
      <c r="D130" s="159" t="s">
        <v>77</v>
      </c>
      <c r="E130" s="186" t="s">
        <v>78</v>
      </c>
      <c r="F130" s="160" t="s">
        <v>79</v>
      </c>
      <c r="G130" s="187" t="s">
        <v>13</v>
      </c>
      <c r="H130" s="178"/>
      <c r="I130" s="178"/>
      <c r="J130" s="178"/>
      <c r="K130" s="178"/>
      <c r="L130" s="178"/>
      <c r="M130" s="178"/>
      <c r="N130" s="178"/>
    </row>
    <row r="131" spans="1:16" ht="15" customHeight="1">
      <c r="A131" s="2025"/>
      <c r="B131" s="2068"/>
      <c r="C131" s="188">
        <v>2015</v>
      </c>
      <c r="D131" s="189"/>
      <c r="E131" s="190"/>
      <c r="F131" s="190"/>
      <c r="G131" s="191"/>
      <c r="H131" s="178"/>
      <c r="I131" s="178"/>
      <c r="J131" s="178"/>
      <c r="K131" s="178"/>
      <c r="L131" s="178"/>
      <c r="M131" s="178"/>
      <c r="N131" s="178"/>
    </row>
    <row r="132" spans="1:16">
      <c r="A132" s="2069"/>
      <c r="B132" s="2068"/>
      <c r="C132" s="103">
        <v>2016</v>
      </c>
      <c r="D132" s="40">
        <v>77</v>
      </c>
      <c r="E132" s="41"/>
      <c r="F132" s="41"/>
      <c r="G132" s="191">
        <f t="shared" ref="G132:G136" si="11">SUM(D132:F132)</f>
        <v>77</v>
      </c>
      <c r="H132" s="178"/>
      <c r="I132" s="178"/>
      <c r="J132" s="178"/>
      <c r="K132" s="178"/>
      <c r="L132" s="178"/>
      <c r="M132" s="178"/>
      <c r="N132" s="178"/>
    </row>
    <row r="133" spans="1:16">
      <c r="A133" s="2069"/>
      <c r="B133" s="2068"/>
      <c r="C133" s="103">
        <v>2017</v>
      </c>
      <c r="D133" s="40">
        <v>36</v>
      </c>
      <c r="E133" s="41"/>
      <c r="F133" s="41"/>
      <c r="G133" s="191">
        <f t="shared" si="11"/>
        <v>36</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113</v>
      </c>
      <c r="E137" s="132">
        <f t="shared" ref="E137:F137" si="12">SUM(E131:E136)</f>
        <v>0</v>
      </c>
      <c r="F137" s="132">
        <f t="shared" si="12"/>
        <v>0</v>
      </c>
      <c r="G137" s="192">
        <f>SUM(G131:G136)</f>
        <v>113</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159" t="s">
        <v>94</v>
      </c>
      <c r="B153" s="2074" t="s">
        <v>62</v>
      </c>
      <c r="C153" s="2081" t="s">
        <v>9</v>
      </c>
      <c r="D153" s="222" t="s">
        <v>95</v>
      </c>
      <c r="E153" s="222"/>
      <c r="F153" s="223"/>
      <c r="G153" s="223"/>
      <c r="H153" s="222" t="s">
        <v>96</v>
      </c>
      <c r="I153" s="222"/>
      <c r="J153" s="224"/>
      <c r="K153" s="1180"/>
      <c r="L153" s="1180"/>
      <c r="M153" s="1180"/>
      <c r="N153" s="1180"/>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1180"/>
      <c r="L154" s="1180"/>
      <c r="M154" s="1180"/>
      <c r="N154" s="1180"/>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180"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180"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8" t="s">
        <v>502</v>
      </c>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0"/>
      <c r="E179" s="41"/>
      <c r="F179" s="41"/>
      <c r="G179" s="278"/>
      <c r="H179" s="279"/>
      <c r="I179" s="105"/>
      <c r="J179" s="41"/>
      <c r="K179" s="41"/>
      <c r="L179" s="41"/>
      <c r="M179" s="41"/>
      <c r="N179" s="41"/>
      <c r="O179" s="86"/>
    </row>
    <row r="180" spans="1:15">
      <c r="A180" s="2048"/>
      <c r="B180" s="2039"/>
      <c r="C180" s="103">
        <v>2016</v>
      </c>
      <c r="D180" s="40">
        <v>9</v>
      </c>
      <c r="E180" s="41">
        <v>4</v>
      </c>
      <c r="F180" s="41">
        <v>2</v>
      </c>
      <c r="G180" s="278">
        <f t="shared" ref="G180:G184" si="19">SUM(D180:F180)</f>
        <v>15</v>
      </c>
      <c r="H180" s="279">
        <v>13</v>
      </c>
      <c r="I180" s="105"/>
      <c r="J180" s="41">
        <v>9</v>
      </c>
      <c r="K180" s="41"/>
      <c r="L180" s="41">
        <v>4</v>
      </c>
      <c r="M180" s="41">
        <v>2</v>
      </c>
      <c r="N180" s="41"/>
      <c r="O180" s="86"/>
    </row>
    <row r="181" spans="1:15">
      <c r="A181" s="2048"/>
      <c r="B181" s="2039"/>
      <c r="C181" s="103">
        <v>2017</v>
      </c>
      <c r="D181" s="40">
        <v>2</v>
      </c>
      <c r="E181" s="41">
        <v>1</v>
      </c>
      <c r="F181" s="41">
        <v>2</v>
      </c>
      <c r="G181" s="278">
        <f t="shared" si="19"/>
        <v>5</v>
      </c>
      <c r="H181" s="279">
        <v>2</v>
      </c>
      <c r="I181" s="105"/>
      <c r="J181" s="41">
        <v>3</v>
      </c>
      <c r="K181" s="41"/>
      <c r="L181" s="41"/>
      <c r="M181" s="41">
        <v>2</v>
      </c>
      <c r="N181" s="41"/>
      <c r="O181" s="86"/>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11</v>
      </c>
      <c r="E185" s="109">
        <f>SUM(E178:E184)</f>
        <v>5</v>
      </c>
      <c r="F185" s="109">
        <f>SUM(F178:F184)</f>
        <v>4</v>
      </c>
      <c r="G185" s="217">
        <f t="shared" ref="G185:O185" si="20">SUM(G178:G184)</f>
        <v>20</v>
      </c>
      <c r="H185" s="280">
        <f t="shared" si="20"/>
        <v>15</v>
      </c>
      <c r="I185" s="108">
        <f t="shared" si="20"/>
        <v>0</v>
      </c>
      <c r="J185" s="109">
        <f t="shared" si="20"/>
        <v>12</v>
      </c>
      <c r="K185" s="109">
        <f t="shared" si="20"/>
        <v>0</v>
      </c>
      <c r="L185" s="109">
        <f t="shared" si="20"/>
        <v>4</v>
      </c>
      <c r="M185" s="109">
        <f t="shared" si="20"/>
        <v>4</v>
      </c>
      <c r="N185" s="109">
        <f t="shared" si="20"/>
        <v>0</v>
      </c>
      <c r="O185" s="110">
        <f t="shared" si="20"/>
        <v>0</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26"/>
      <c r="B189" s="2127"/>
      <c r="C189" s="285">
        <v>2014</v>
      </c>
      <c r="D189" s="126"/>
      <c r="E189" s="102"/>
      <c r="F189" s="102"/>
      <c r="G189" s="286">
        <f>SUM(D189:F189)</f>
        <v>0</v>
      </c>
      <c r="H189" s="101"/>
      <c r="I189" s="102"/>
      <c r="J189" s="102"/>
      <c r="K189" s="102"/>
      <c r="L189" s="127"/>
    </row>
    <row r="190" spans="1:15">
      <c r="A190" s="2176"/>
      <c r="B190" s="2068"/>
      <c r="C190" s="74">
        <v>2015</v>
      </c>
      <c r="D190" s="40"/>
      <c r="E190" s="41"/>
      <c r="F190" s="41"/>
      <c r="G190" s="286"/>
      <c r="H190" s="105"/>
      <c r="I190" s="41"/>
      <c r="J190" s="41"/>
      <c r="K190" s="41"/>
      <c r="L190" s="86"/>
    </row>
    <row r="191" spans="1:15">
      <c r="A191" s="2176"/>
      <c r="B191" s="2068"/>
      <c r="C191" s="74">
        <v>2016</v>
      </c>
      <c r="D191" s="40">
        <v>402</v>
      </c>
      <c r="E191" s="41">
        <v>140</v>
      </c>
      <c r="F191" s="41">
        <v>25</v>
      </c>
      <c r="G191" s="286">
        <f t="shared" ref="G191:G195" si="21">SUM(D191:F191)</f>
        <v>567</v>
      </c>
      <c r="H191" s="105"/>
      <c r="I191" s="41">
        <v>55</v>
      </c>
      <c r="J191" s="41">
        <v>25</v>
      </c>
      <c r="K191" s="41">
        <v>487</v>
      </c>
      <c r="L191" s="86"/>
    </row>
    <row r="192" spans="1:15">
      <c r="A192" s="2176"/>
      <c r="B192" s="2068"/>
      <c r="C192" s="74">
        <v>2017</v>
      </c>
      <c r="D192" s="40">
        <v>40</v>
      </c>
      <c r="E192" s="41">
        <v>10</v>
      </c>
      <c r="F192" s="41">
        <v>65</v>
      </c>
      <c r="G192" s="286">
        <f t="shared" si="21"/>
        <v>115</v>
      </c>
      <c r="H192" s="105"/>
      <c r="I192" s="41">
        <v>40</v>
      </c>
      <c r="J192" s="41"/>
      <c r="K192" s="41">
        <v>75</v>
      </c>
      <c r="L192" s="86"/>
    </row>
    <row r="193" spans="1:14">
      <c r="A193" s="2176"/>
      <c r="B193" s="2068"/>
      <c r="C193" s="74">
        <v>2018</v>
      </c>
      <c r="D193" s="40"/>
      <c r="E193" s="41"/>
      <c r="F193" s="41"/>
      <c r="G193" s="286">
        <f t="shared" si="21"/>
        <v>0</v>
      </c>
      <c r="H193" s="105"/>
      <c r="I193" s="41"/>
      <c r="J193" s="41"/>
      <c r="K193" s="41"/>
      <c r="L193" s="86"/>
    </row>
    <row r="194" spans="1:14">
      <c r="A194" s="2176"/>
      <c r="B194" s="2068"/>
      <c r="C194" s="74">
        <v>2019</v>
      </c>
      <c r="D194" s="40"/>
      <c r="E194" s="41"/>
      <c r="F194" s="41"/>
      <c r="G194" s="286">
        <f t="shared" si="21"/>
        <v>0</v>
      </c>
      <c r="H194" s="105"/>
      <c r="I194" s="41"/>
      <c r="J194" s="41"/>
      <c r="K194" s="41"/>
      <c r="L194" s="86"/>
    </row>
    <row r="195" spans="1:14">
      <c r="A195" s="2176"/>
      <c r="B195" s="2068"/>
      <c r="C195" s="74">
        <v>2020</v>
      </c>
      <c r="D195" s="40"/>
      <c r="E195" s="41"/>
      <c r="F195" s="41"/>
      <c r="G195" s="286">
        <f t="shared" si="21"/>
        <v>0</v>
      </c>
      <c r="H195" s="105"/>
      <c r="I195" s="41"/>
      <c r="J195" s="41"/>
      <c r="K195" s="41"/>
      <c r="L195" s="86"/>
    </row>
    <row r="196" spans="1:14" ht="15.75" thickBot="1">
      <c r="A196" s="2129"/>
      <c r="B196" s="2071"/>
      <c r="C196" s="129" t="s">
        <v>13</v>
      </c>
      <c r="D196" s="132">
        <f t="shared" ref="D196:L196" si="22">SUM(D189:D195)</f>
        <v>442</v>
      </c>
      <c r="E196" s="109">
        <f t="shared" si="22"/>
        <v>150</v>
      </c>
      <c r="F196" s="109">
        <f t="shared" si="22"/>
        <v>90</v>
      </c>
      <c r="G196" s="290">
        <f t="shared" si="22"/>
        <v>682</v>
      </c>
      <c r="H196" s="108">
        <f t="shared" si="22"/>
        <v>0</v>
      </c>
      <c r="I196" s="109">
        <f t="shared" si="22"/>
        <v>95</v>
      </c>
      <c r="J196" s="109">
        <f t="shared" si="22"/>
        <v>25</v>
      </c>
      <c r="K196" s="109">
        <f t="shared" si="22"/>
        <v>562</v>
      </c>
      <c r="L196" s="110">
        <f t="shared" si="22"/>
        <v>0</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180" customFormat="1" ht="101.25" customHeight="1">
      <c r="A201" s="294"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16" t="s">
        <v>148</v>
      </c>
      <c r="B212" s="317" t="s">
        <v>149</v>
      </c>
      <c r="C212" s="318">
        <v>2014</v>
      </c>
      <c r="D212" s="319">
        <v>2015</v>
      </c>
      <c r="E212" s="319">
        <v>2016</v>
      </c>
      <c r="F212" s="319">
        <v>2017</v>
      </c>
      <c r="G212" s="319">
        <v>2018</v>
      </c>
      <c r="H212" s="319">
        <v>2019</v>
      </c>
      <c r="I212" s="320">
        <v>2020</v>
      </c>
    </row>
    <row r="213" spans="1:12" ht="15" customHeight="1">
      <c r="A213" t="s">
        <v>150</v>
      </c>
      <c r="B213" s="2177" t="s">
        <v>503</v>
      </c>
      <c r="C213" s="73"/>
      <c r="D213" s="573"/>
      <c r="E213" s="1978">
        <v>678805.6</v>
      </c>
      <c r="F213" s="455">
        <v>32372.14</v>
      </c>
      <c r="G213" s="455"/>
      <c r="H213" s="128"/>
      <c r="I213" s="327"/>
    </row>
    <row r="214" spans="1:12">
      <c r="A214" t="s">
        <v>153</v>
      </c>
      <c r="B214" s="2171"/>
      <c r="C214" s="73"/>
      <c r="D214" s="573"/>
      <c r="E214" s="128">
        <v>598978.98</v>
      </c>
      <c r="F214" s="455">
        <v>14220.34</v>
      </c>
      <c r="G214" s="455"/>
      <c r="H214" s="128"/>
      <c r="I214" s="327"/>
    </row>
    <row r="215" spans="1:12">
      <c r="A215" t="s">
        <v>155</v>
      </c>
      <c r="B215" s="2171"/>
      <c r="C215" s="73"/>
      <c r="D215" s="573"/>
      <c r="E215" s="455">
        <v>10000.01</v>
      </c>
      <c r="F215" s="455">
        <v>0</v>
      </c>
      <c r="G215" s="128"/>
      <c r="H215" s="128"/>
      <c r="I215" s="327"/>
    </row>
    <row r="216" spans="1:12">
      <c r="A216" t="s">
        <v>157</v>
      </c>
      <c r="B216" s="2171"/>
      <c r="C216" s="73"/>
      <c r="D216" s="573"/>
      <c r="E216" s="128">
        <v>15215.41</v>
      </c>
      <c r="F216" s="455">
        <v>5424.3</v>
      </c>
      <c r="G216" s="455"/>
      <c r="H216" s="128"/>
      <c r="I216" s="327"/>
    </row>
    <row r="217" spans="1:12">
      <c r="A217" t="s">
        <v>158</v>
      </c>
      <c r="B217" s="2171"/>
      <c r="C217" s="73"/>
      <c r="D217" s="573"/>
      <c r="E217" s="128">
        <v>54611.11</v>
      </c>
      <c r="F217" s="455">
        <v>12727.5</v>
      </c>
      <c r="G217" s="455"/>
      <c r="H217" s="128"/>
      <c r="I217" s="327"/>
    </row>
    <row r="218" spans="1:12" ht="30">
      <c r="A218" s="1180" t="s">
        <v>159</v>
      </c>
      <c r="B218" s="2171"/>
      <c r="C218" s="73"/>
      <c r="D218" s="573"/>
      <c r="E218" s="128">
        <v>219038.59</v>
      </c>
      <c r="F218" s="455">
        <v>102800.77</v>
      </c>
      <c r="G218" s="455"/>
      <c r="H218" s="128"/>
      <c r="I218" s="327"/>
    </row>
    <row r="219" spans="1:12" ht="67.5" customHeight="1" thickBot="1">
      <c r="A219" s="349"/>
      <c r="B219" s="2172"/>
      <c r="C219" s="45" t="s">
        <v>13</v>
      </c>
      <c r="D219" s="333"/>
      <c r="E219" s="333">
        <f t="shared" ref="E219:I219" si="24">SUM(E214:E218)</f>
        <v>897844.1</v>
      </c>
      <c r="F219" s="372">
        <f t="shared" si="24"/>
        <v>135172.91</v>
      </c>
      <c r="G219" s="372">
        <f t="shared" si="24"/>
        <v>0</v>
      </c>
      <c r="H219" s="333">
        <f t="shared" si="24"/>
        <v>0</v>
      </c>
      <c r="I219" s="333">
        <f t="shared" si="24"/>
        <v>0</v>
      </c>
    </row>
    <row r="221" spans="1:12">
      <c r="A221" s="1180"/>
    </row>
    <row r="222" spans="1:12">
      <c r="A222" s="1180"/>
    </row>
    <row r="224" spans="1:12">
      <c r="A224" t="s">
        <v>504</v>
      </c>
    </row>
    <row r="225" spans="1:7">
      <c r="F225" s="1172"/>
      <c r="G225" s="1172"/>
    </row>
    <row r="227" spans="1:7">
      <c r="A227" s="1180"/>
    </row>
    <row r="228" spans="1:7">
      <c r="F228" s="1172"/>
      <c r="G228" s="1172"/>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Y228"/>
  <sheetViews>
    <sheetView topLeftCell="D172" workbookViewId="0">
      <selection activeCell="I185" sqref="I185:O18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487</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488</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177"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489</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c r="H18" s="42"/>
      <c r="I18" s="41"/>
      <c r="J18" s="41"/>
      <c r="K18" s="41"/>
      <c r="L18" s="41"/>
      <c r="M18" s="41"/>
      <c r="N18" s="41"/>
      <c r="O18" s="43"/>
      <c r="P18" s="38"/>
      <c r="Q18" s="38"/>
      <c r="R18" s="38"/>
      <c r="S18" s="38"/>
      <c r="T18" s="38"/>
      <c r="U18" s="38"/>
      <c r="V18" s="38"/>
      <c r="W18" s="38"/>
      <c r="X18" s="38"/>
      <c r="Y18" s="38"/>
    </row>
    <row r="19" spans="1:25">
      <c r="A19" s="2069"/>
      <c r="B19" s="2068"/>
      <c r="C19" s="39">
        <v>2016</v>
      </c>
      <c r="D19" s="457">
        <v>40</v>
      </c>
      <c r="E19" s="459">
        <v>1</v>
      </c>
      <c r="F19" s="459"/>
      <c r="G19" s="35">
        <f t="shared" si="0"/>
        <v>41</v>
      </c>
      <c r="H19" s="458"/>
      <c r="I19" s="459">
        <v>2</v>
      </c>
      <c r="J19" s="459">
        <v>1</v>
      </c>
      <c r="K19" s="459">
        <v>2</v>
      </c>
      <c r="L19" s="459"/>
      <c r="M19" s="459"/>
      <c r="N19" s="459"/>
      <c r="O19" s="463">
        <v>36</v>
      </c>
      <c r="P19" s="38"/>
      <c r="Q19" s="38"/>
      <c r="R19" s="38"/>
      <c r="S19" s="38"/>
      <c r="T19" s="38"/>
      <c r="U19" s="38"/>
      <c r="V19" s="38"/>
      <c r="W19" s="38"/>
      <c r="X19" s="38"/>
      <c r="Y19" s="38"/>
    </row>
    <row r="20" spans="1:25">
      <c r="A20" s="2069"/>
      <c r="B20" s="2068"/>
      <c r="C20" s="39">
        <v>2017</v>
      </c>
      <c r="D20" s="40"/>
      <c r="E20" s="41">
        <v>1</v>
      </c>
      <c r="F20" s="41"/>
      <c r="G20" s="35">
        <f t="shared" si="0"/>
        <v>1</v>
      </c>
      <c r="H20" s="42">
        <v>1</v>
      </c>
      <c r="I20" s="41"/>
      <c r="J20" s="41"/>
      <c r="K20" s="41"/>
      <c r="L20" s="41"/>
      <c r="M20" s="41"/>
      <c r="N20" s="41"/>
      <c r="O20" s="43"/>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36.75" customHeight="1" thickBot="1">
      <c r="A24" s="2070"/>
      <c r="B24" s="2071"/>
      <c r="C24" s="45" t="s">
        <v>13</v>
      </c>
      <c r="D24" s="46">
        <f>SUM(D18:D23)</f>
        <v>40</v>
      </c>
      <c r="E24" s="47">
        <f>SUM(E17:E23)</f>
        <v>2</v>
      </c>
      <c r="F24" s="47">
        <f>SUM(F17:F23)</f>
        <v>0</v>
      </c>
      <c r="G24" s="48">
        <f>SUM(D24:F24)</f>
        <v>42</v>
      </c>
      <c r="H24" s="49">
        <f>SUM(H17:H23)</f>
        <v>1</v>
      </c>
      <c r="I24" s="50">
        <f>SUM(I17:I23)</f>
        <v>2</v>
      </c>
      <c r="J24" s="50">
        <f t="shared" ref="J24:N24" si="1">SUM(J17:J23)</f>
        <v>1</v>
      </c>
      <c r="K24" s="50">
        <f t="shared" si="1"/>
        <v>2</v>
      </c>
      <c r="L24" s="50">
        <f t="shared" si="1"/>
        <v>0</v>
      </c>
      <c r="M24" s="50">
        <f t="shared" si="1"/>
        <v>0</v>
      </c>
      <c r="N24" s="50">
        <f t="shared" si="1"/>
        <v>0</v>
      </c>
      <c r="O24" s="51">
        <f>SUM(O17:O23)</f>
        <v>36</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177"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490</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42"/>
      <c r="E29" s="41"/>
      <c r="F29" s="41"/>
      <c r="G29" s="59"/>
      <c r="H29" s="38"/>
      <c r="I29" s="38"/>
      <c r="J29" s="38"/>
      <c r="K29" s="38"/>
      <c r="L29" s="38"/>
      <c r="M29" s="38"/>
      <c r="N29" s="38"/>
      <c r="O29" s="38"/>
      <c r="P29" s="38"/>
      <c r="Q29" s="8"/>
    </row>
    <row r="30" spans="1:25">
      <c r="A30" s="2069"/>
      <c r="B30" s="2068"/>
      <c r="C30" s="60">
        <v>2016</v>
      </c>
      <c r="D30" s="458">
        <v>14345</v>
      </c>
      <c r="E30" s="459">
        <v>20040</v>
      </c>
      <c r="F30" s="459"/>
      <c r="G30" s="59">
        <f t="shared" ref="G30:G35" si="2">SUM(D30:F30)</f>
        <v>34385</v>
      </c>
      <c r="H30" s="38"/>
      <c r="I30" s="38"/>
      <c r="J30" s="38"/>
      <c r="K30" s="38"/>
      <c r="L30" s="38"/>
      <c r="M30" s="38"/>
      <c r="N30" s="38"/>
      <c r="O30" s="38"/>
      <c r="P30" s="38"/>
      <c r="Q30" s="8"/>
    </row>
    <row r="31" spans="1:25">
      <c r="A31" s="2069"/>
      <c r="B31" s="2068"/>
      <c r="C31" s="60">
        <v>2017</v>
      </c>
      <c r="D31" s="42"/>
      <c r="E31" s="41">
        <v>23120</v>
      </c>
      <c r="F31" s="41"/>
      <c r="G31" s="59">
        <f t="shared" si="2"/>
        <v>23120</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20.25" customHeight="1" thickBot="1">
      <c r="A35" s="2070"/>
      <c r="B35" s="2071"/>
      <c r="C35" s="62" t="s">
        <v>13</v>
      </c>
      <c r="D35" s="49">
        <f>SUM(D28:D34)</f>
        <v>14345</v>
      </c>
      <c r="E35" s="47">
        <f>SUM(E28:E34)</f>
        <v>43160</v>
      </c>
      <c r="F35" s="47">
        <f>SUM(F28:F34)</f>
        <v>0</v>
      </c>
      <c r="G35" s="51">
        <f t="shared" si="2"/>
        <v>57505</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457">
        <v>66322</v>
      </c>
      <c r="E42" s="1539">
        <v>29167</v>
      </c>
      <c r="F42" s="8"/>
      <c r="G42" s="38"/>
      <c r="H42" s="38"/>
    </row>
    <row r="43" spans="1:17">
      <c r="A43" s="2069"/>
      <c r="B43" s="2068"/>
      <c r="C43" s="74">
        <v>2017</v>
      </c>
      <c r="D43" s="40">
        <v>34122</v>
      </c>
      <c r="E43" s="39">
        <v>14627</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100444</v>
      </c>
      <c r="E47" s="76">
        <f>SUM(E40:E46)</f>
        <v>43794</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c r="E53" s="41"/>
      <c r="F53" s="41"/>
      <c r="G53" s="41"/>
      <c r="H53" s="41"/>
      <c r="I53" s="41"/>
      <c r="J53" s="41"/>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33" t="s">
        <v>491</v>
      </c>
      <c r="B62" s="2034"/>
      <c r="C62" s="99">
        <v>2014</v>
      </c>
      <c r="D62" s="100"/>
      <c r="E62" s="101"/>
      <c r="F62" s="102"/>
      <c r="G62" s="102"/>
      <c r="H62" s="102"/>
      <c r="I62" s="102"/>
      <c r="J62" s="102"/>
      <c r="K62" s="102"/>
      <c r="L62" s="37"/>
      <c r="M62" s="8"/>
      <c r="N62" s="8"/>
      <c r="O62" s="8"/>
    </row>
    <row r="63" spans="1:15">
      <c r="A63" s="2035"/>
      <c r="B63" s="2034"/>
      <c r="C63" s="103">
        <v>2015</v>
      </c>
      <c r="D63" s="104"/>
      <c r="E63" s="105"/>
      <c r="F63" s="41"/>
      <c r="G63" s="41"/>
      <c r="H63" s="41"/>
      <c r="I63" s="41"/>
      <c r="J63" s="41"/>
      <c r="K63" s="41"/>
      <c r="L63" s="86"/>
      <c r="M63" s="8"/>
      <c r="N63" s="8"/>
      <c r="O63" s="8"/>
    </row>
    <row r="64" spans="1:15">
      <c r="A64" s="2035"/>
      <c r="B64" s="2034"/>
      <c r="C64" s="103">
        <v>2016</v>
      </c>
      <c r="D64" s="461">
        <v>12</v>
      </c>
      <c r="E64" s="462"/>
      <c r="F64" s="459">
        <v>2</v>
      </c>
      <c r="G64" s="459"/>
      <c r="H64" s="459"/>
      <c r="I64" s="459"/>
      <c r="J64" s="459"/>
      <c r="K64" s="459"/>
      <c r="L64" s="463">
        <v>10</v>
      </c>
      <c r="M64" s="8"/>
      <c r="N64" s="8"/>
      <c r="O64" s="8"/>
    </row>
    <row r="65" spans="1:20">
      <c r="A65" s="2035"/>
      <c r="B65" s="2034"/>
      <c r="C65" s="103">
        <v>2017</v>
      </c>
      <c r="D65" s="104"/>
      <c r="E65" s="105"/>
      <c r="F65" s="41"/>
      <c r="G65" s="41"/>
      <c r="H65" s="41"/>
      <c r="I65" s="41"/>
      <c r="J65" s="41"/>
      <c r="K65" s="41"/>
      <c r="L65" s="86"/>
      <c r="M65" s="8"/>
      <c r="N65" s="8"/>
      <c r="O65" s="8"/>
    </row>
    <row r="66" spans="1:20">
      <c r="A66" s="2035"/>
      <c r="B66" s="2034"/>
      <c r="C66" s="103">
        <v>2018</v>
      </c>
      <c r="D66" s="104"/>
      <c r="E66" s="105"/>
      <c r="F66" s="41"/>
      <c r="G66" s="41"/>
      <c r="H66" s="41"/>
      <c r="I66" s="41"/>
      <c r="J66" s="41"/>
      <c r="K66" s="41"/>
      <c r="L66" s="86"/>
      <c r="M66" s="8"/>
      <c r="N66" s="8"/>
      <c r="O66" s="8"/>
    </row>
    <row r="67" spans="1:20" ht="17.25" customHeight="1">
      <c r="A67" s="2035"/>
      <c r="B67" s="2034"/>
      <c r="C67" s="103">
        <v>2019</v>
      </c>
      <c r="D67" s="104"/>
      <c r="E67" s="105"/>
      <c r="F67" s="41"/>
      <c r="G67" s="41"/>
      <c r="H67" s="41"/>
      <c r="I67" s="41"/>
      <c r="J67" s="41"/>
      <c r="K67" s="41"/>
      <c r="L67" s="86"/>
      <c r="M67" s="8"/>
      <c r="N67" s="8"/>
      <c r="O67" s="8"/>
    </row>
    <row r="68" spans="1:20" ht="16.5" customHeight="1">
      <c r="A68" s="2035"/>
      <c r="B68" s="2034"/>
      <c r="C68" s="103">
        <v>2020</v>
      </c>
      <c r="D68" s="104"/>
      <c r="E68" s="105"/>
      <c r="F68" s="41"/>
      <c r="G68" s="41"/>
      <c r="H68" s="41"/>
      <c r="I68" s="41"/>
      <c r="J68" s="41"/>
      <c r="K68" s="41"/>
      <c r="L68" s="86"/>
      <c r="M68" s="77"/>
      <c r="N68" s="77"/>
      <c r="O68" s="77"/>
    </row>
    <row r="69" spans="1:20" ht="18" customHeight="1" thickBot="1">
      <c r="A69" s="2036"/>
      <c r="B69" s="2037"/>
      <c r="C69" s="106" t="s">
        <v>13</v>
      </c>
      <c r="D69" s="107">
        <f>SUM(D62:D68)</f>
        <v>12</v>
      </c>
      <c r="E69" s="108">
        <f>SUM(E62:E68)</f>
        <v>0</v>
      </c>
      <c r="F69" s="109">
        <f t="shared" ref="F69:I69" si="4">SUM(F62:F68)</f>
        <v>2</v>
      </c>
      <c r="G69" s="109">
        <f t="shared" si="4"/>
        <v>0</v>
      </c>
      <c r="H69" s="109">
        <f t="shared" si="4"/>
        <v>0</v>
      </c>
      <c r="I69" s="109">
        <f t="shared" si="4"/>
        <v>0</v>
      </c>
      <c r="J69" s="109"/>
      <c r="K69" s="109">
        <f>SUM(K62:K68)</f>
        <v>0</v>
      </c>
      <c r="L69" s="110">
        <f>SUM(L62:L68)</f>
        <v>10</v>
      </c>
      <c r="M69" s="77"/>
      <c r="N69" s="77"/>
      <c r="O69" s="77"/>
    </row>
    <row r="70" spans="1:20" ht="20.25" customHeight="1" thickBot="1">
      <c r="A70" s="111"/>
      <c r="B70" s="112"/>
      <c r="C70" s="113"/>
      <c r="D70" s="114"/>
      <c r="E70" s="114"/>
      <c r="F70" s="114"/>
      <c r="G70" s="114"/>
      <c r="H70" s="113"/>
      <c r="I70" s="115"/>
      <c r="J70" s="115"/>
      <c r="K70" s="115"/>
      <c r="L70" s="115"/>
      <c r="M70" s="115"/>
      <c r="N70" s="115"/>
      <c r="O70" s="115"/>
      <c r="P70" s="1177"/>
      <c r="Q70" s="1177"/>
      <c r="R70" s="1177"/>
      <c r="S70" s="1177"/>
      <c r="T70" s="1177"/>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18" t="s">
        <v>492</v>
      </c>
      <c r="B72" s="2034"/>
      <c r="C72" s="73">
        <v>2014</v>
      </c>
      <c r="D72" s="124"/>
      <c r="E72" s="124"/>
      <c r="F72" s="124"/>
      <c r="G72" s="125">
        <f>SUM(D72:F72)</f>
        <v>0</v>
      </c>
      <c r="H72" s="33"/>
      <c r="I72" s="126"/>
      <c r="J72" s="102"/>
      <c r="K72" s="102"/>
      <c r="L72" s="102"/>
      <c r="M72" s="102"/>
      <c r="N72" s="102"/>
      <c r="O72" s="127"/>
    </row>
    <row r="73" spans="1:20">
      <c r="A73" s="2020"/>
      <c r="B73" s="2034"/>
      <c r="C73" s="74">
        <v>2015</v>
      </c>
      <c r="D73" s="1535"/>
      <c r="E73" s="1535"/>
      <c r="F73" s="1535"/>
      <c r="G73" s="125"/>
      <c r="H73" s="40"/>
      <c r="I73" s="40"/>
      <c r="J73" s="41"/>
      <c r="K73" s="41"/>
      <c r="L73" s="41"/>
      <c r="M73" s="41"/>
      <c r="N73" s="41"/>
      <c r="O73" s="86"/>
    </row>
    <row r="74" spans="1:20">
      <c r="A74" s="2020"/>
      <c r="B74" s="2034"/>
      <c r="C74" s="74">
        <v>2016</v>
      </c>
      <c r="D74" s="1499">
        <v>1</v>
      </c>
      <c r="E74" s="1499">
        <v>7</v>
      </c>
      <c r="F74" s="1499">
        <v>2</v>
      </c>
      <c r="G74" s="125">
        <f t="shared" ref="G74:G78" si="5">SUM(D74:F74)</f>
        <v>10</v>
      </c>
      <c r="H74" s="1491"/>
      <c r="I74" s="1491">
        <v>4</v>
      </c>
      <c r="J74" s="1492">
        <v>4</v>
      </c>
      <c r="K74" s="1492"/>
      <c r="L74" s="1492"/>
      <c r="M74" s="1492"/>
      <c r="N74" s="1492"/>
      <c r="O74" s="1497">
        <v>2</v>
      </c>
    </row>
    <row r="75" spans="1:20">
      <c r="A75" s="2020"/>
      <c r="B75" s="2034"/>
      <c r="C75" s="74">
        <v>2017</v>
      </c>
      <c r="D75" s="128"/>
      <c r="E75" s="128"/>
      <c r="F75" s="128"/>
      <c r="G75" s="125">
        <f t="shared" si="5"/>
        <v>0</v>
      </c>
      <c r="H75" s="40"/>
      <c r="I75" s="40"/>
      <c r="J75" s="41"/>
      <c r="K75" s="41"/>
      <c r="L75" s="41"/>
      <c r="M75" s="41"/>
      <c r="N75" s="41"/>
      <c r="O75" s="86"/>
    </row>
    <row r="76" spans="1:20">
      <c r="A76" s="2020"/>
      <c r="B76" s="2034"/>
      <c r="C76" s="74">
        <v>2018</v>
      </c>
      <c r="D76" s="128"/>
      <c r="E76" s="128"/>
      <c r="F76" s="128"/>
      <c r="G76" s="125">
        <f t="shared" si="5"/>
        <v>0</v>
      </c>
      <c r="H76" s="40"/>
      <c r="I76" s="40"/>
      <c r="J76" s="41"/>
      <c r="K76" s="41"/>
      <c r="L76" s="41"/>
      <c r="M76" s="41"/>
      <c r="N76" s="41"/>
      <c r="O76" s="86"/>
    </row>
    <row r="77" spans="1:20" ht="15.75" customHeight="1">
      <c r="A77" s="2020"/>
      <c r="B77" s="2034"/>
      <c r="C77" s="74">
        <v>2019</v>
      </c>
      <c r="D77" s="128"/>
      <c r="E77" s="128"/>
      <c r="F77" s="128"/>
      <c r="G77" s="125">
        <f t="shared" si="5"/>
        <v>0</v>
      </c>
      <c r="H77" s="40"/>
      <c r="I77" s="40"/>
      <c r="J77" s="41"/>
      <c r="K77" s="41"/>
      <c r="L77" s="41"/>
      <c r="M77" s="41"/>
      <c r="N77" s="41"/>
      <c r="O77" s="86"/>
    </row>
    <row r="78" spans="1:20" ht="17.25" customHeight="1">
      <c r="A78" s="2020"/>
      <c r="B78" s="2034"/>
      <c r="C78" s="74">
        <v>2020</v>
      </c>
      <c r="D78" s="128"/>
      <c r="E78" s="128"/>
      <c r="F78" s="128"/>
      <c r="G78" s="125">
        <f t="shared" si="5"/>
        <v>0</v>
      </c>
      <c r="H78" s="40"/>
      <c r="I78" s="40"/>
      <c r="J78" s="41"/>
      <c r="K78" s="41"/>
      <c r="L78" s="41"/>
      <c r="M78" s="41"/>
      <c r="N78" s="41"/>
      <c r="O78" s="86"/>
    </row>
    <row r="79" spans="1:20" ht="20.25" customHeight="1" thickBot="1">
      <c r="A79" s="2036"/>
      <c r="B79" s="2037"/>
      <c r="C79" s="129" t="s">
        <v>13</v>
      </c>
      <c r="D79" s="107">
        <f>SUM(D72:D78)</f>
        <v>1</v>
      </c>
      <c r="E79" s="107">
        <f>SUM(E72:E78)</f>
        <v>7</v>
      </c>
      <c r="F79" s="107">
        <f>SUM(F72:F78)</f>
        <v>2</v>
      </c>
      <c r="G79" s="130">
        <f>SUM(G72:G78)</f>
        <v>10</v>
      </c>
      <c r="H79" s="131">
        <v>0</v>
      </c>
      <c r="I79" s="132">
        <f t="shared" ref="I79:O79" si="6">SUM(I72:I78)</f>
        <v>4</v>
      </c>
      <c r="J79" s="109">
        <f t="shared" si="6"/>
        <v>4</v>
      </c>
      <c r="K79" s="109">
        <f t="shared" si="6"/>
        <v>0</v>
      </c>
      <c r="L79" s="109">
        <f t="shared" si="6"/>
        <v>0</v>
      </c>
      <c r="M79" s="109">
        <f t="shared" si="6"/>
        <v>0</v>
      </c>
      <c r="N79" s="109">
        <f t="shared" si="6"/>
        <v>0</v>
      </c>
      <c r="O79" s="110">
        <f t="shared" si="6"/>
        <v>2</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177"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c r="E87" s="105"/>
      <c r="F87" s="41"/>
      <c r="G87" s="41"/>
      <c r="H87" s="41"/>
      <c r="I87" s="41"/>
      <c r="J87" s="41"/>
      <c r="K87" s="86"/>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493</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40">
        <v>1</v>
      </c>
      <c r="E100" s="41">
        <v>6</v>
      </c>
      <c r="F100" s="170"/>
      <c r="G100" s="171"/>
      <c r="H100" s="171"/>
      <c r="I100" s="171"/>
      <c r="J100" s="171"/>
      <c r="K100" s="171"/>
      <c r="L100" s="171"/>
      <c r="M100" s="172">
        <v>1</v>
      </c>
      <c r="N100" s="158"/>
      <c r="O100" s="158"/>
      <c r="P100" s="158"/>
    </row>
    <row r="101" spans="1:16" ht="16.5" customHeight="1">
      <c r="A101" s="2048"/>
      <c r="B101" s="2039"/>
      <c r="C101" s="103">
        <v>2017</v>
      </c>
      <c r="D101" s="40">
        <v>1</v>
      </c>
      <c r="E101" s="41">
        <v>5</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11</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41"/>
      <c r="E111" s="170"/>
      <c r="F111" s="171"/>
      <c r="G111" s="171"/>
      <c r="H111" s="171"/>
      <c r="I111" s="171"/>
      <c r="J111" s="171"/>
      <c r="K111" s="171"/>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174" t="s">
        <v>9</v>
      </c>
      <c r="D129" s="182" t="s">
        <v>76</v>
      </c>
      <c r="E129" s="183"/>
      <c r="F129" s="183"/>
      <c r="G129" s="184"/>
      <c r="H129" s="178"/>
      <c r="I129" s="178"/>
      <c r="J129" s="178"/>
      <c r="K129" s="178"/>
      <c r="L129" s="178"/>
      <c r="M129" s="178"/>
      <c r="N129" s="178"/>
    </row>
    <row r="130" spans="1:16" ht="77.25" customHeight="1">
      <c r="A130" s="2044"/>
      <c r="B130" s="2046"/>
      <c r="C130" s="1175"/>
      <c r="D130" s="159" t="s">
        <v>77</v>
      </c>
      <c r="E130" s="186" t="s">
        <v>78</v>
      </c>
      <c r="F130" s="160" t="s">
        <v>79</v>
      </c>
      <c r="G130" s="187" t="s">
        <v>13</v>
      </c>
      <c r="H130" s="178"/>
      <c r="I130" s="178"/>
      <c r="J130" s="178"/>
      <c r="K130" s="178"/>
      <c r="L130" s="178"/>
      <c r="M130" s="178"/>
      <c r="N130" s="178"/>
    </row>
    <row r="131" spans="1:16" ht="15" customHeight="1">
      <c r="A131" s="2025" t="s">
        <v>494</v>
      </c>
      <c r="B131" s="2068"/>
      <c r="C131" s="99">
        <v>2015</v>
      </c>
      <c r="D131" s="33"/>
      <c r="E131" s="34"/>
      <c r="F131" s="34"/>
      <c r="G131" s="191"/>
      <c r="H131" s="178"/>
      <c r="I131" s="178"/>
      <c r="J131" s="178"/>
      <c r="K131" s="178"/>
      <c r="L131" s="178"/>
      <c r="M131" s="178"/>
      <c r="N131" s="178"/>
    </row>
    <row r="132" spans="1:16">
      <c r="A132" s="2069"/>
      <c r="B132" s="2068"/>
      <c r="C132" s="103">
        <v>2016</v>
      </c>
      <c r="D132" s="40">
        <v>78</v>
      </c>
      <c r="E132" s="41"/>
      <c r="F132" s="41"/>
      <c r="G132" s="191">
        <f t="shared" ref="G132:G136" si="11">SUM(D132:F132)</f>
        <v>78</v>
      </c>
      <c r="H132" s="178"/>
      <c r="I132" s="178"/>
      <c r="J132" s="178"/>
      <c r="K132" s="178"/>
      <c r="L132" s="178"/>
      <c r="M132" s="178"/>
      <c r="N132" s="178"/>
    </row>
    <row r="133" spans="1:16">
      <c r="A133" s="2069"/>
      <c r="B133" s="2068"/>
      <c r="C133" s="103">
        <v>2017</v>
      </c>
      <c r="D133" s="40">
        <v>64</v>
      </c>
      <c r="E133" s="41"/>
      <c r="F133" s="41"/>
      <c r="G133" s="191">
        <v>64</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142</v>
      </c>
      <c r="E137" s="132">
        <f t="shared" ref="E137:F137" si="12">SUM(E131:E136)</f>
        <v>0</v>
      </c>
      <c r="F137" s="132">
        <f t="shared" si="12"/>
        <v>0</v>
      </c>
      <c r="G137" s="192">
        <f>SUM(G131:G136)</f>
        <v>142</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1177"/>
      <c r="L153" s="1177"/>
      <c r="M153" s="1177"/>
      <c r="N153" s="1177"/>
      <c r="O153" s="158"/>
      <c r="P153" s="158"/>
    </row>
    <row r="154" spans="1:16" ht="49.5" customHeight="1">
      <c r="A154" s="2080"/>
      <c r="B154" s="2075"/>
      <c r="C154" s="2082"/>
      <c r="D154" s="225" t="s">
        <v>495</v>
      </c>
      <c r="E154" s="226" t="s">
        <v>98</v>
      </c>
      <c r="F154" s="227" t="s">
        <v>99</v>
      </c>
      <c r="G154" s="228" t="s">
        <v>100</v>
      </c>
      <c r="H154" s="225" t="s">
        <v>101</v>
      </c>
      <c r="I154" s="226" t="s">
        <v>102</v>
      </c>
      <c r="J154" s="229" t="s">
        <v>93</v>
      </c>
      <c r="K154" s="1177"/>
      <c r="L154" s="1177"/>
      <c r="M154" s="1177"/>
      <c r="N154" s="1177"/>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177"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177"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35" t="s">
        <v>496</v>
      </c>
      <c r="B178" s="2034"/>
      <c r="C178" s="99">
        <v>2014</v>
      </c>
      <c r="D178" s="33"/>
      <c r="E178" s="34"/>
      <c r="F178" s="34"/>
      <c r="G178" s="278">
        <f>SUM(D178:F178)</f>
        <v>0</v>
      </c>
      <c r="H178" s="148"/>
      <c r="I178" s="148"/>
      <c r="J178" s="34"/>
      <c r="K178" s="34"/>
      <c r="L178" s="34"/>
      <c r="M178" s="34"/>
      <c r="N178" s="34"/>
      <c r="O178" s="37"/>
    </row>
    <row r="179" spans="1:15">
      <c r="A179" s="2035"/>
      <c r="B179" s="2034"/>
      <c r="C179" s="103">
        <v>2015</v>
      </c>
      <c r="D179" s="40"/>
      <c r="E179" s="41"/>
      <c r="F179" s="41"/>
      <c r="G179" s="278">
        <f t="shared" ref="G179:G184" si="19">SUM(D179:F179)</f>
        <v>0</v>
      </c>
      <c r="H179" s="279"/>
      <c r="I179" s="105"/>
      <c r="J179" s="41"/>
      <c r="K179" s="41"/>
      <c r="L179" s="41"/>
      <c r="M179" s="41"/>
      <c r="N179" s="41"/>
      <c r="O179" s="86"/>
    </row>
    <row r="180" spans="1:15">
      <c r="A180" s="2035"/>
      <c r="B180" s="2034"/>
      <c r="C180" s="103">
        <v>2016</v>
      </c>
      <c r="D180" s="40">
        <v>10</v>
      </c>
      <c r="E180" s="41">
        <v>1</v>
      </c>
      <c r="F180" s="41">
        <v>0</v>
      </c>
      <c r="G180" s="278">
        <f t="shared" si="19"/>
        <v>11</v>
      </c>
      <c r="H180" s="279">
        <v>23</v>
      </c>
      <c r="I180" s="105"/>
      <c r="J180" s="41"/>
      <c r="K180" s="41">
        <v>2</v>
      </c>
      <c r="L180" s="41">
        <v>6</v>
      </c>
      <c r="M180" s="41"/>
      <c r="N180" s="41"/>
      <c r="O180" s="86">
        <v>3</v>
      </c>
    </row>
    <row r="181" spans="1:15">
      <c r="A181" s="2035"/>
      <c r="B181" s="2034"/>
      <c r="C181" s="103">
        <v>2017</v>
      </c>
      <c r="D181" s="40"/>
      <c r="E181" s="41"/>
      <c r="F181" s="41"/>
      <c r="G181" s="278">
        <f t="shared" si="19"/>
        <v>0</v>
      </c>
      <c r="H181" s="279"/>
      <c r="I181" s="105"/>
      <c r="J181" s="41"/>
      <c r="K181" s="41"/>
      <c r="L181" s="41"/>
      <c r="M181" s="41"/>
      <c r="N181" s="41"/>
      <c r="O181" s="86"/>
    </row>
    <row r="182" spans="1:15">
      <c r="A182" s="2035"/>
      <c r="B182" s="2034"/>
      <c r="C182" s="103">
        <v>2018</v>
      </c>
      <c r="D182" s="40"/>
      <c r="E182" s="41"/>
      <c r="F182" s="41"/>
      <c r="G182" s="278">
        <f t="shared" si="19"/>
        <v>0</v>
      </c>
      <c r="H182" s="279"/>
      <c r="I182" s="105"/>
      <c r="J182" s="41"/>
      <c r="K182" s="41"/>
      <c r="L182" s="41"/>
      <c r="M182" s="41"/>
      <c r="N182" s="41"/>
      <c r="O182" s="86"/>
    </row>
    <row r="183" spans="1:15">
      <c r="A183" s="2035"/>
      <c r="B183" s="2034"/>
      <c r="C183" s="103">
        <v>2019</v>
      </c>
      <c r="D183" s="40"/>
      <c r="E183" s="41"/>
      <c r="F183" s="41"/>
      <c r="G183" s="278">
        <f t="shared" si="19"/>
        <v>0</v>
      </c>
      <c r="H183" s="279"/>
      <c r="I183" s="105"/>
      <c r="J183" s="41"/>
      <c r="K183" s="41"/>
      <c r="L183" s="41"/>
      <c r="M183" s="41"/>
      <c r="N183" s="41"/>
      <c r="O183" s="86"/>
    </row>
    <row r="184" spans="1:15">
      <c r="A184" s="2035"/>
      <c r="B184" s="2034"/>
      <c r="C184" s="103">
        <v>2020</v>
      </c>
      <c r="D184" s="40"/>
      <c r="E184" s="41"/>
      <c r="F184" s="41"/>
      <c r="G184" s="278">
        <f t="shared" si="19"/>
        <v>0</v>
      </c>
      <c r="H184" s="279"/>
      <c r="I184" s="105"/>
      <c r="J184" s="41"/>
      <c r="K184" s="41"/>
      <c r="L184" s="41"/>
      <c r="M184" s="41"/>
      <c r="N184" s="41"/>
      <c r="O184" s="86"/>
    </row>
    <row r="185" spans="1:15" ht="45" customHeight="1" thickBot="1">
      <c r="A185" s="2182"/>
      <c r="B185" s="2037"/>
      <c r="C185" s="106" t="s">
        <v>13</v>
      </c>
      <c r="D185" s="132">
        <f>SUM(D178:D184)</f>
        <v>10</v>
      </c>
      <c r="E185" s="109">
        <f>SUM(E178:E184)</f>
        <v>1</v>
      </c>
      <c r="F185" s="109">
        <f>SUM(F178:F184)</f>
        <v>0</v>
      </c>
      <c r="G185" s="217">
        <f t="shared" ref="G185:O185" si="20">SUM(G178:G184)</f>
        <v>11</v>
      </c>
      <c r="H185" s="280">
        <f t="shared" si="20"/>
        <v>23</v>
      </c>
      <c r="I185" s="108">
        <f t="shared" si="20"/>
        <v>0</v>
      </c>
      <c r="J185" s="109">
        <f t="shared" si="20"/>
        <v>0</v>
      </c>
      <c r="K185" s="109">
        <f t="shared" si="20"/>
        <v>2</v>
      </c>
      <c r="L185" s="109">
        <f t="shared" si="20"/>
        <v>6</v>
      </c>
      <c r="M185" s="109">
        <f t="shared" si="20"/>
        <v>0</v>
      </c>
      <c r="N185" s="109">
        <f t="shared" si="20"/>
        <v>0</v>
      </c>
      <c r="O185" s="110">
        <f t="shared" si="20"/>
        <v>3</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178" t="s">
        <v>497</v>
      </c>
      <c r="B189" s="2179"/>
      <c r="C189" s="285">
        <v>2014</v>
      </c>
      <c r="D189" s="126"/>
      <c r="E189" s="102"/>
      <c r="F189" s="102"/>
      <c r="G189" s="286">
        <f>SUM(D189:F189)</f>
        <v>0</v>
      </c>
      <c r="H189" s="101"/>
      <c r="I189" s="102"/>
      <c r="J189" s="102"/>
      <c r="K189" s="102"/>
      <c r="L189" s="127"/>
    </row>
    <row r="190" spans="1:15">
      <c r="A190" s="2180"/>
      <c r="B190" s="2019"/>
      <c r="C190" s="74">
        <v>2015</v>
      </c>
      <c r="D190" s="40"/>
      <c r="E190" s="41"/>
      <c r="F190" s="41"/>
      <c r="G190" s="286">
        <f t="shared" ref="G190:G195" si="21">SUM(D190:F190)</f>
        <v>0</v>
      </c>
      <c r="H190" s="105"/>
      <c r="I190" s="41"/>
      <c r="J190" s="41"/>
      <c r="K190" s="41"/>
      <c r="L190" s="86"/>
    </row>
    <row r="191" spans="1:15">
      <c r="A191" s="2180"/>
      <c r="B191" s="2019"/>
      <c r="C191" s="74">
        <v>2016</v>
      </c>
      <c r="D191" s="457">
        <v>1208</v>
      </c>
      <c r="E191" s="459">
        <v>52</v>
      </c>
      <c r="F191" s="459"/>
      <c r="G191" s="286">
        <f t="shared" si="21"/>
        <v>1260</v>
      </c>
      <c r="H191" s="462"/>
      <c r="I191" s="459">
        <v>92</v>
      </c>
      <c r="J191" s="459"/>
      <c r="K191" s="459"/>
      <c r="L191" s="463">
        <v>1168</v>
      </c>
    </row>
    <row r="192" spans="1:15">
      <c r="A192" s="2180"/>
      <c r="B192" s="2019"/>
      <c r="C192" s="74">
        <v>2017</v>
      </c>
      <c r="D192" s="40"/>
      <c r="E192" s="41"/>
      <c r="F192" s="41"/>
      <c r="G192" s="286">
        <f t="shared" si="21"/>
        <v>0</v>
      </c>
      <c r="H192" s="105"/>
      <c r="I192" s="41"/>
      <c r="J192" s="41"/>
      <c r="K192" s="41"/>
      <c r="L192" s="86"/>
    </row>
    <row r="193" spans="1:14">
      <c r="A193" s="2180"/>
      <c r="B193" s="2019"/>
      <c r="C193" s="74">
        <v>2018</v>
      </c>
      <c r="D193" s="40"/>
      <c r="E193" s="41"/>
      <c r="F193" s="41"/>
      <c r="G193" s="286">
        <f t="shared" si="21"/>
        <v>0</v>
      </c>
      <c r="H193" s="105"/>
      <c r="I193" s="41"/>
      <c r="J193" s="41"/>
      <c r="K193" s="41"/>
      <c r="L193" s="86"/>
    </row>
    <row r="194" spans="1:14">
      <c r="A194" s="2180"/>
      <c r="B194" s="2019"/>
      <c r="C194" s="74">
        <v>2019</v>
      </c>
      <c r="D194" s="40"/>
      <c r="E194" s="41"/>
      <c r="F194" s="41"/>
      <c r="G194" s="286">
        <f t="shared" si="21"/>
        <v>0</v>
      </c>
      <c r="H194" s="105"/>
      <c r="I194" s="41"/>
      <c r="J194" s="41"/>
      <c r="K194" s="41"/>
      <c r="L194" s="86"/>
    </row>
    <row r="195" spans="1:14">
      <c r="A195" s="2180"/>
      <c r="B195" s="2019"/>
      <c r="C195" s="74">
        <v>2020</v>
      </c>
      <c r="D195" s="40"/>
      <c r="E195" s="41"/>
      <c r="F195" s="41"/>
      <c r="G195" s="286">
        <f t="shared" si="21"/>
        <v>0</v>
      </c>
      <c r="H195" s="105"/>
      <c r="I195" s="41"/>
      <c r="J195" s="41"/>
      <c r="K195" s="41"/>
      <c r="L195" s="86"/>
    </row>
    <row r="196" spans="1:14" ht="15.75" thickBot="1">
      <c r="A196" s="2181"/>
      <c r="B196" s="2022"/>
      <c r="C196" s="129" t="s">
        <v>13</v>
      </c>
      <c r="D196" s="132">
        <f t="shared" ref="D196:L196" si="22">SUM(D189:D195)</f>
        <v>1208</v>
      </c>
      <c r="E196" s="109">
        <f t="shared" si="22"/>
        <v>52</v>
      </c>
      <c r="F196" s="109">
        <f t="shared" si="22"/>
        <v>0</v>
      </c>
      <c r="G196" s="290">
        <f t="shared" si="22"/>
        <v>1260</v>
      </c>
      <c r="H196" s="108">
        <f t="shared" si="22"/>
        <v>0</v>
      </c>
      <c r="I196" s="109">
        <f t="shared" si="22"/>
        <v>92</v>
      </c>
      <c r="J196" s="109">
        <f t="shared" si="22"/>
        <v>0</v>
      </c>
      <c r="K196" s="109">
        <f t="shared" si="22"/>
        <v>0</v>
      </c>
      <c r="L196" s="110">
        <f t="shared" si="22"/>
        <v>1168</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177"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c r="K204" s="41"/>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498</v>
      </c>
      <c r="C213" s="73"/>
      <c r="D213" s="328"/>
      <c r="E213" s="1540">
        <f>SUM(E214:E217)</f>
        <v>750236.10000000009</v>
      </c>
      <c r="F213" s="328">
        <v>134342.28</v>
      </c>
      <c r="G213" s="128"/>
      <c r="H213" s="128"/>
      <c r="I213" s="327"/>
    </row>
    <row r="214" spans="1:12">
      <c r="A214" t="s">
        <v>153</v>
      </c>
      <c r="B214" s="2171"/>
      <c r="C214" s="73"/>
      <c r="D214" s="128"/>
      <c r="E214" s="1535">
        <v>256263.27</v>
      </c>
      <c r="F214" s="128">
        <v>134342.28</v>
      </c>
      <c r="G214" s="128"/>
      <c r="H214" s="128"/>
      <c r="I214" s="327"/>
    </row>
    <row r="215" spans="1:12">
      <c r="A215" t="s">
        <v>155</v>
      </c>
      <c r="B215" s="2171"/>
      <c r="C215" s="73"/>
      <c r="D215" s="128"/>
      <c r="E215" s="1535"/>
      <c r="F215" s="128"/>
      <c r="G215" s="128"/>
      <c r="H215" s="128"/>
      <c r="I215" s="327"/>
    </row>
    <row r="216" spans="1:12">
      <c r="A216" t="s">
        <v>157</v>
      </c>
      <c r="B216" s="2171"/>
      <c r="C216" s="73"/>
      <c r="D216" s="128"/>
      <c r="E216" s="1535">
        <v>210919.63</v>
      </c>
      <c r="F216" s="128"/>
      <c r="G216" s="128"/>
      <c r="H216" s="128"/>
      <c r="I216" s="327"/>
    </row>
    <row r="217" spans="1:12">
      <c r="A217" t="s">
        <v>158</v>
      </c>
      <c r="B217" s="2171"/>
      <c r="C217" s="73"/>
      <c r="D217" s="128"/>
      <c r="E217" s="1541">
        <v>283053.2</v>
      </c>
      <c r="F217" s="128"/>
      <c r="G217" s="128"/>
      <c r="H217" s="128"/>
      <c r="I217" s="327"/>
    </row>
    <row r="218" spans="1:12" ht="30">
      <c r="A218" s="1177" t="s">
        <v>159</v>
      </c>
      <c r="B218" s="2171"/>
      <c r="C218" s="73"/>
      <c r="D218" s="1535"/>
      <c r="E218" s="1535">
        <v>305032.98</v>
      </c>
      <c r="F218" s="128">
        <v>144923.39000000001</v>
      </c>
      <c r="G218" s="128"/>
      <c r="H218" s="128"/>
      <c r="I218" s="327"/>
    </row>
    <row r="219" spans="1:12" ht="67.5" customHeight="1" thickBot="1">
      <c r="A219" s="349"/>
      <c r="B219" s="2172"/>
      <c r="C219" s="45" t="s">
        <v>13</v>
      </c>
      <c r="D219" s="333"/>
      <c r="E219" s="333">
        <f t="shared" ref="E219:I219" si="24">SUM(E214:E218)</f>
        <v>1055269.08</v>
      </c>
      <c r="F219" s="333">
        <f>SUM(F213+F218)</f>
        <v>279265.67000000004</v>
      </c>
      <c r="G219" s="333">
        <f t="shared" si="24"/>
        <v>0</v>
      </c>
      <c r="H219" s="333">
        <f t="shared" si="24"/>
        <v>0</v>
      </c>
      <c r="I219" s="333">
        <f t="shared" si="24"/>
        <v>0</v>
      </c>
    </row>
    <row r="224" spans="1:12">
      <c r="D224" s="1535"/>
    </row>
    <row r="225" spans="1:8">
      <c r="D225" s="153"/>
      <c r="G225" s="1124"/>
      <c r="H225" s="1124"/>
    </row>
    <row r="226" spans="1:8">
      <c r="D226" s="153"/>
    </row>
    <row r="227" spans="1:8">
      <c r="A227" s="1177"/>
    </row>
    <row r="228" spans="1:8">
      <c r="F228" s="474"/>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Y227"/>
  <sheetViews>
    <sheetView topLeftCell="D169" workbookViewId="0">
      <selection activeCell="I185" sqref="I185:O185"/>
    </sheetView>
  </sheetViews>
  <sheetFormatPr defaultColWidth="8.85546875" defaultRowHeight="15"/>
  <cols>
    <col min="1" max="1" width="91" customWidth="1"/>
    <col min="2" max="2" width="49.1406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476</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177"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183" t="s">
        <v>477</v>
      </c>
      <c r="B17" s="2184"/>
      <c r="C17" s="32">
        <v>2014</v>
      </c>
      <c r="D17" s="1507"/>
      <c r="E17" s="1508"/>
      <c r="F17" s="1508"/>
      <c r="G17" s="1509">
        <f t="shared" ref="G17:G23" si="0">SUM(D17:F17)</f>
        <v>0</v>
      </c>
      <c r="H17" s="1510"/>
      <c r="I17" s="1508"/>
      <c r="J17" s="1508"/>
      <c r="K17" s="1508"/>
      <c r="L17" s="1508"/>
      <c r="M17" s="1508"/>
      <c r="N17" s="1508"/>
      <c r="O17" s="1511"/>
      <c r="P17" s="38"/>
      <c r="Q17" s="38"/>
      <c r="R17" s="38"/>
      <c r="S17" s="38"/>
      <c r="T17" s="38"/>
      <c r="U17" s="38"/>
      <c r="V17" s="38"/>
      <c r="W17" s="38"/>
      <c r="X17" s="38"/>
      <c r="Y17" s="38"/>
    </row>
    <row r="18" spans="1:25">
      <c r="A18" s="2183"/>
      <c r="B18" s="2184"/>
      <c r="C18" s="39">
        <v>2015</v>
      </c>
      <c r="D18" s="1512"/>
      <c r="E18" s="1513"/>
      <c r="F18" s="1513"/>
      <c r="G18" s="1509"/>
      <c r="H18" s="1514"/>
      <c r="I18" s="1483"/>
      <c r="J18" s="1483"/>
      <c r="K18" s="1483"/>
      <c r="L18" s="1483"/>
      <c r="M18" s="1483"/>
      <c r="N18" s="1483"/>
      <c r="O18" s="1515"/>
      <c r="P18" s="38"/>
      <c r="Q18" s="38"/>
      <c r="R18" s="38"/>
      <c r="S18" s="38"/>
      <c r="T18" s="38"/>
      <c r="U18" s="38"/>
      <c r="V18" s="38"/>
      <c r="W18" s="38"/>
      <c r="X18" s="38"/>
      <c r="Y18" s="38"/>
    </row>
    <row r="19" spans="1:25">
      <c r="A19" s="2183"/>
      <c r="B19" s="2184"/>
      <c r="C19" s="39">
        <v>2016</v>
      </c>
      <c r="D19" s="1516">
        <v>58</v>
      </c>
      <c r="E19" s="1517">
        <v>3</v>
      </c>
      <c r="F19" s="1517">
        <v>1</v>
      </c>
      <c r="G19" s="1509">
        <f t="shared" si="0"/>
        <v>62</v>
      </c>
      <c r="H19" s="335"/>
      <c r="I19" s="1482">
        <v>34</v>
      </c>
      <c r="J19" s="1482"/>
      <c r="K19" s="1482">
        <v>0</v>
      </c>
      <c r="L19" s="1482">
        <v>9</v>
      </c>
      <c r="M19" s="1482">
        <v>0</v>
      </c>
      <c r="N19" s="1482">
        <v>0</v>
      </c>
      <c r="O19" s="1518">
        <v>19</v>
      </c>
      <c r="P19" s="38"/>
      <c r="Q19" s="38"/>
      <c r="R19" s="38"/>
      <c r="S19" s="38"/>
      <c r="T19" s="38"/>
      <c r="U19" s="38"/>
      <c r="V19" s="38"/>
      <c r="W19" s="38"/>
      <c r="X19" s="38"/>
      <c r="Y19" s="38"/>
    </row>
    <row r="20" spans="1:25">
      <c r="A20" s="2183"/>
      <c r="B20" s="2184"/>
      <c r="C20" s="39">
        <v>2017</v>
      </c>
      <c r="D20" s="1516"/>
      <c r="E20" s="1517"/>
      <c r="F20" s="1517">
        <v>1</v>
      </c>
      <c r="G20" s="1509">
        <f t="shared" si="0"/>
        <v>1</v>
      </c>
      <c r="H20" s="335"/>
      <c r="I20" s="1482">
        <v>1</v>
      </c>
      <c r="J20" s="1482"/>
      <c r="K20" s="1482"/>
      <c r="L20" s="1482"/>
      <c r="M20" s="1482"/>
      <c r="N20" s="1482"/>
      <c r="O20" s="1518"/>
      <c r="P20" s="38"/>
      <c r="Q20" s="38"/>
      <c r="R20" s="38"/>
      <c r="S20" s="38"/>
      <c r="T20" s="38"/>
      <c r="U20" s="38"/>
      <c r="V20" s="38"/>
      <c r="W20" s="38"/>
      <c r="X20" s="38"/>
      <c r="Y20" s="38"/>
    </row>
    <row r="21" spans="1:25">
      <c r="A21" s="2183"/>
      <c r="B21" s="2184"/>
      <c r="C21" s="39">
        <v>2018</v>
      </c>
      <c r="D21" s="1516"/>
      <c r="E21" s="1517"/>
      <c r="F21" s="1517"/>
      <c r="G21" s="1509">
        <f t="shared" si="0"/>
        <v>0</v>
      </c>
      <c r="H21" s="335"/>
      <c r="I21" s="1482"/>
      <c r="J21" s="1482"/>
      <c r="K21" s="1482"/>
      <c r="L21" s="1482"/>
      <c r="M21" s="1482"/>
      <c r="N21" s="1482"/>
      <c r="O21" s="1518"/>
      <c r="P21" s="38"/>
      <c r="Q21" s="38"/>
      <c r="R21" s="38"/>
      <c r="S21" s="38"/>
      <c r="T21" s="38"/>
      <c r="U21" s="38"/>
      <c r="V21" s="38"/>
      <c r="W21" s="38"/>
      <c r="X21" s="38"/>
      <c r="Y21" s="38"/>
    </row>
    <row r="22" spans="1:25">
      <c r="A22" s="2183"/>
      <c r="B22" s="2184"/>
      <c r="C22" s="44">
        <v>2019</v>
      </c>
      <c r="D22" s="1516"/>
      <c r="E22" s="1517"/>
      <c r="F22" s="1517"/>
      <c r="G22" s="1509">
        <f>SUM(D22:F22)</f>
        <v>0</v>
      </c>
      <c r="H22" s="335"/>
      <c r="I22" s="1482"/>
      <c r="J22" s="1482"/>
      <c r="K22" s="1482"/>
      <c r="L22" s="1482"/>
      <c r="M22" s="1482"/>
      <c r="N22" s="1482"/>
      <c r="O22" s="1518"/>
      <c r="P22" s="38"/>
      <c r="Q22" s="38"/>
      <c r="R22" s="38"/>
      <c r="S22" s="38"/>
      <c r="T22" s="38"/>
      <c r="U22" s="38"/>
      <c r="V22" s="38"/>
      <c r="W22" s="38"/>
      <c r="X22" s="38"/>
      <c r="Y22" s="38"/>
    </row>
    <row r="23" spans="1:25">
      <c r="A23" s="2183"/>
      <c r="B23" s="2184"/>
      <c r="C23" s="39">
        <v>2020</v>
      </c>
      <c r="D23" s="1516"/>
      <c r="E23" s="1517"/>
      <c r="F23" s="1517"/>
      <c r="G23" s="1509">
        <f t="shared" si="0"/>
        <v>0</v>
      </c>
      <c r="H23" s="335"/>
      <c r="I23" s="1482"/>
      <c r="J23" s="1482"/>
      <c r="K23" s="1482"/>
      <c r="L23" s="1482"/>
      <c r="M23" s="1482"/>
      <c r="N23" s="1482"/>
      <c r="O23" s="1518"/>
      <c r="P23" s="38"/>
      <c r="Q23" s="38"/>
      <c r="R23" s="38"/>
      <c r="S23" s="38"/>
      <c r="T23" s="38"/>
      <c r="U23" s="38"/>
      <c r="V23" s="38"/>
      <c r="W23" s="38"/>
      <c r="X23" s="38"/>
      <c r="Y23" s="38"/>
    </row>
    <row r="24" spans="1:25" ht="39" customHeight="1" thickBot="1">
      <c r="A24" s="2185"/>
      <c r="B24" s="2186"/>
      <c r="C24" s="45" t="s">
        <v>13</v>
      </c>
      <c r="D24" s="1519">
        <f>SUM(D17:D23)</f>
        <v>58</v>
      </c>
      <c r="E24" s="1520">
        <f>SUM(E17:E23)</f>
        <v>3</v>
      </c>
      <c r="F24" s="1520">
        <f>SUM(F17:F23)</f>
        <v>2</v>
      </c>
      <c r="G24" s="1521">
        <f>SUM(D24:F24)</f>
        <v>63</v>
      </c>
      <c r="H24" s="337">
        <f>SUM(H17:H23)</f>
        <v>0</v>
      </c>
      <c r="I24" s="1522">
        <f>SUM(I17:I23)</f>
        <v>35</v>
      </c>
      <c r="J24" s="1522">
        <f t="shared" ref="J24:N24" si="1">SUM(J17:J23)</f>
        <v>0</v>
      </c>
      <c r="K24" s="1522">
        <f t="shared" si="1"/>
        <v>0</v>
      </c>
      <c r="L24" s="1522">
        <f t="shared" si="1"/>
        <v>9</v>
      </c>
      <c r="M24" s="1522">
        <f t="shared" si="1"/>
        <v>0</v>
      </c>
      <c r="N24" s="1522">
        <f t="shared" si="1"/>
        <v>0</v>
      </c>
      <c r="O24" s="339">
        <f>SUM(O17:O23)</f>
        <v>19</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177" customFormat="1" ht="55.5"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183" t="s">
        <v>478</v>
      </c>
      <c r="B28" s="2184"/>
      <c r="C28" s="58">
        <v>2014</v>
      </c>
      <c r="D28" s="36"/>
      <c r="E28" s="34"/>
      <c r="F28" s="34"/>
      <c r="G28" s="59">
        <f>SUM(D28:F28)</f>
        <v>0</v>
      </c>
      <c r="H28" s="38"/>
      <c r="I28" s="38"/>
      <c r="J28" s="38"/>
      <c r="K28" s="38"/>
      <c r="L28" s="38"/>
      <c r="M28" s="38"/>
      <c r="N28" s="38"/>
      <c r="O28" s="38"/>
      <c r="P28" s="38"/>
      <c r="Q28" s="8"/>
    </row>
    <row r="29" spans="1:25">
      <c r="A29" s="2183"/>
      <c r="B29" s="2184"/>
      <c r="C29" s="60">
        <v>2015</v>
      </c>
      <c r="D29" s="335"/>
      <c r="E29" s="1483"/>
      <c r="F29" s="41"/>
      <c r="G29" s="336">
        <f t="shared" ref="G29:G34" si="2">SUM(D29:F29)</f>
        <v>0</v>
      </c>
      <c r="H29" s="38"/>
      <c r="I29" s="38"/>
      <c r="J29" s="38"/>
      <c r="K29" s="38"/>
      <c r="L29" s="38"/>
      <c r="M29" s="38"/>
      <c r="N29" s="38"/>
      <c r="O29" s="38"/>
      <c r="P29" s="38"/>
      <c r="Q29" s="8"/>
    </row>
    <row r="30" spans="1:25">
      <c r="A30" s="2183"/>
      <c r="B30" s="2184"/>
      <c r="C30" s="60">
        <v>2016</v>
      </c>
      <c r="D30" s="335">
        <f>143+63+40+91+106+57+317+23+22+43+42+44+44+43+115+13+22+23+83+54+154+367</f>
        <v>1909</v>
      </c>
      <c r="E30" s="1483">
        <f>32000+50000+20000</f>
        <v>102000</v>
      </c>
      <c r="F30" s="1482">
        <v>400000</v>
      </c>
      <c r="G30" s="336">
        <f>D30+E30+F30</f>
        <v>503909</v>
      </c>
      <c r="H30" s="38"/>
      <c r="I30" s="38"/>
      <c r="J30" s="38"/>
      <c r="K30" s="38"/>
      <c r="L30" s="38"/>
      <c r="M30" s="38"/>
      <c r="N30" s="38"/>
      <c r="O30" s="38"/>
      <c r="P30" s="38"/>
      <c r="Q30" s="8"/>
    </row>
    <row r="31" spans="1:25">
      <c r="A31" s="2183"/>
      <c r="B31" s="2184"/>
      <c r="C31" s="60">
        <v>2017</v>
      </c>
      <c r="D31" s="335"/>
      <c r="E31" s="1482"/>
      <c r="F31" s="1482">
        <v>400000</v>
      </c>
      <c r="G31" s="336">
        <f t="shared" si="2"/>
        <v>400000</v>
      </c>
      <c r="H31" s="38"/>
      <c r="I31" s="38"/>
      <c r="J31" s="38"/>
      <c r="K31" s="38"/>
      <c r="L31" s="38"/>
      <c r="M31" s="38"/>
      <c r="N31" s="38"/>
      <c r="O31" s="38"/>
      <c r="P31" s="38"/>
      <c r="Q31" s="8"/>
    </row>
    <row r="32" spans="1:25">
      <c r="A32" s="2183"/>
      <c r="B32" s="2184"/>
      <c r="C32" s="60">
        <v>2018</v>
      </c>
      <c r="D32" s="335"/>
      <c r="E32" s="1482"/>
      <c r="F32" s="1482"/>
      <c r="G32" s="336">
        <f>SUM(D32:F32)</f>
        <v>0</v>
      </c>
      <c r="H32" s="38"/>
      <c r="I32" s="38"/>
      <c r="J32" s="38"/>
      <c r="K32" s="38"/>
      <c r="L32" s="38"/>
      <c r="M32" s="38"/>
      <c r="N32" s="38"/>
      <c r="O32" s="38"/>
      <c r="P32" s="38"/>
      <c r="Q32" s="8"/>
    </row>
    <row r="33" spans="1:17">
      <c r="A33" s="2183"/>
      <c r="B33" s="2184"/>
      <c r="C33" s="61">
        <v>2019</v>
      </c>
      <c r="D33" s="335"/>
      <c r="E33" s="1482"/>
      <c r="F33" s="1482"/>
      <c r="G33" s="336">
        <f t="shared" si="2"/>
        <v>0</v>
      </c>
      <c r="H33" s="38"/>
      <c r="I33" s="38"/>
      <c r="J33" s="38"/>
      <c r="K33" s="38"/>
      <c r="L33" s="38"/>
      <c r="M33" s="38"/>
      <c r="N33" s="38"/>
      <c r="O33" s="38"/>
      <c r="P33" s="38"/>
      <c r="Q33" s="8"/>
    </row>
    <row r="34" spans="1:17" ht="16.5" customHeight="1">
      <c r="A34" s="2183"/>
      <c r="B34" s="2184"/>
      <c r="C34" s="60">
        <v>2020</v>
      </c>
      <c r="D34" s="335"/>
      <c r="E34" s="1482"/>
      <c r="F34" s="1482"/>
      <c r="G34" s="336">
        <f t="shared" si="2"/>
        <v>0</v>
      </c>
      <c r="H34" s="38"/>
      <c r="I34" s="38"/>
      <c r="J34" s="38"/>
      <c r="K34" s="38"/>
      <c r="L34" s="38"/>
      <c r="M34" s="38"/>
      <c r="N34" s="38"/>
      <c r="O34" s="38"/>
      <c r="P34" s="38"/>
      <c r="Q34" s="8"/>
    </row>
    <row r="35" spans="1:17" ht="86.25" customHeight="1" thickBot="1">
      <c r="A35" s="2185"/>
      <c r="B35" s="2186"/>
      <c r="C35" s="62" t="s">
        <v>13</v>
      </c>
      <c r="D35" s="337">
        <f>SUM(D28:D34)</f>
        <v>1909</v>
      </c>
      <c r="E35" s="338">
        <f>SUM(E28:E34)</f>
        <v>102000</v>
      </c>
      <c r="F35" s="338">
        <f>SUM(F28:F34)</f>
        <v>800000</v>
      </c>
      <c r="G35" s="339">
        <f>D35+E35+F35</f>
        <v>903909</v>
      </c>
      <c r="H35" s="38"/>
      <c r="I35" s="1523"/>
      <c r="J35" s="38"/>
      <c r="K35" s="38"/>
      <c r="L35" s="38"/>
      <c r="M35" s="38"/>
      <c r="N35" s="38"/>
      <c r="O35" s="38"/>
      <c r="P35" s="38"/>
      <c r="Q35" s="8"/>
    </row>
    <row r="36" spans="1:17">
      <c r="A36" s="63"/>
      <c r="B36" s="63"/>
      <c r="C36" s="52"/>
      <c r="H36" s="8"/>
      <c r="I36" s="1524"/>
      <c r="J36" s="1524"/>
      <c r="K36" s="1524"/>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1525"/>
      <c r="E41" s="1526"/>
      <c r="F41" s="8"/>
      <c r="G41" s="38"/>
      <c r="H41" s="38"/>
    </row>
    <row r="42" spans="1:17">
      <c r="A42" s="2069"/>
      <c r="B42" s="2068"/>
      <c r="C42" s="74">
        <v>2016</v>
      </c>
      <c r="D42" s="1525">
        <v>34877</v>
      </c>
      <c r="E42" s="1526">
        <v>13201</v>
      </c>
      <c r="F42" s="8"/>
      <c r="G42" s="38"/>
      <c r="H42" s="38"/>
    </row>
    <row r="43" spans="1:17">
      <c r="A43" s="2069"/>
      <c r="B43" s="2068"/>
      <c r="C43" s="74">
        <v>2017</v>
      </c>
      <c r="D43" s="1525">
        <v>83596</v>
      </c>
      <c r="E43" s="1526">
        <v>8347</v>
      </c>
      <c r="F43" s="8"/>
      <c r="G43" s="38"/>
      <c r="H43" s="38"/>
    </row>
    <row r="44" spans="1:17">
      <c r="A44" s="2069"/>
      <c r="B44" s="2068"/>
      <c r="C44" s="74">
        <v>2018</v>
      </c>
      <c r="D44" s="434"/>
      <c r="E44" s="589"/>
      <c r="F44" s="8"/>
      <c r="G44" s="38"/>
      <c r="H44" s="38"/>
    </row>
    <row r="45" spans="1:17">
      <c r="A45" s="2069"/>
      <c r="B45" s="2068"/>
      <c r="C45" s="74">
        <v>2019</v>
      </c>
      <c r="D45" s="434"/>
      <c r="E45" s="589"/>
      <c r="F45" s="8"/>
      <c r="G45" s="38"/>
      <c r="H45" s="38"/>
    </row>
    <row r="46" spans="1:17">
      <c r="A46" s="2069"/>
      <c r="B46" s="2068"/>
      <c r="C46" s="74">
        <v>2020</v>
      </c>
      <c r="D46" s="434"/>
      <c r="E46" s="589"/>
      <c r="F46" s="8"/>
      <c r="G46" s="38"/>
      <c r="H46" s="38"/>
    </row>
    <row r="47" spans="1:17" ht="15.75" thickBot="1">
      <c r="A47" s="2070"/>
      <c r="B47" s="2071"/>
      <c r="C47" s="45" t="s">
        <v>13</v>
      </c>
      <c r="D47" s="344">
        <f>SUM(D40:D46)</f>
        <v>118473</v>
      </c>
      <c r="E47" s="345">
        <f>SUM(E40:E46)</f>
        <v>21548</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v>0</v>
      </c>
      <c r="E53" s="41">
        <v>0</v>
      </c>
      <c r="F53" s="41">
        <v>0</v>
      </c>
      <c r="G53" s="41">
        <v>0</v>
      </c>
      <c r="H53" s="41">
        <v>0</v>
      </c>
      <c r="I53" s="41">
        <v>0</v>
      </c>
      <c r="J53" s="41">
        <v>0</v>
      </c>
      <c r="K53" s="86">
        <v>0</v>
      </c>
    </row>
    <row r="54" spans="1:15">
      <c r="A54" s="2025"/>
      <c r="B54" s="2026"/>
      <c r="C54" s="74">
        <v>2017</v>
      </c>
      <c r="D54" s="40">
        <v>0</v>
      </c>
      <c r="E54" s="41">
        <v>0</v>
      </c>
      <c r="F54" s="41">
        <v>0</v>
      </c>
      <c r="G54" s="41">
        <v>0</v>
      </c>
      <c r="H54" s="41">
        <v>0</v>
      </c>
      <c r="I54" s="41">
        <v>0</v>
      </c>
      <c r="J54" s="41">
        <v>0</v>
      </c>
      <c r="K54" s="86">
        <v>0</v>
      </c>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187"/>
      <c r="B62" s="2189" t="s">
        <v>479</v>
      </c>
      <c r="C62" s="99">
        <v>2014</v>
      </c>
      <c r="D62" s="100"/>
      <c r="E62" s="101"/>
      <c r="F62" s="102"/>
      <c r="G62" s="102"/>
      <c r="H62" s="102"/>
      <c r="I62" s="102"/>
      <c r="J62" s="102"/>
      <c r="K62" s="102"/>
      <c r="L62" s="37"/>
      <c r="M62" s="8"/>
      <c r="N62" s="8"/>
      <c r="O62" s="8"/>
    </row>
    <row r="63" spans="1:15">
      <c r="A63" s="2187"/>
      <c r="B63" s="2187"/>
      <c r="C63" s="103">
        <v>2015</v>
      </c>
      <c r="D63" s="104"/>
      <c r="E63" s="105"/>
      <c r="F63" s="41"/>
      <c r="G63" s="41"/>
      <c r="H63" s="41"/>
      <c r="I63" s="41"/>
      <c r="J63" s="41"/>
      <c r="K63" s="41"/>
      <c r="L63" s="86"/>
      <c r="M63" s="8"/>
      <c r="N63" s="8"/>
      <c r="O63" s="8"/>
    </row>
    <row r="64" spans="1:15">
      <c r="A64" s="2187"/>
      <c r="B64" s="2187"/>
      <c r="C64" s="103">
        <v>2016</v>
      </c>
      <c r="D64" s="104">
        <v>2</v>
      </c>
      <c r="E64" s="105">
        <v>0</v>
      </c>
      <c r="F64" s="41">
        <v>0</v>
      </c>
      <c r="G64" s="41">
        <v>0</v>
      </c>
      <c r="H64" s="41">
        <v>0</v>
      </c>
      <c r="I64" s="41">
        <v>0</v>
      </c>
      <c r="J64" s="41">
        <v>0</v>
      </c>
      <c r="K64" s="41">
        <v>0</v>
      </c>
      <c r="L64" s="86">
        <f>1+1</f>
        <v>2</v>
      </c>
      <c r="M64" s="8"/>
      <c r="N64" s="8"/>
      <c r="O64" s="8"/>
    </row>
    <row r="65" spans="1:20">
      <c r="A65" s="2187"/>
      <c r="B65" s="2187"/>
      <c r="C65" s="103">
        <v>2017</v>
      </c>
      <c r="D65" s="104">
        <v>0</v>
      </c>
      <c r="E65" s="105">
        <v>0</v>
      </c>
      <c r="F65" s="41">
        <v>0</v>
      </c>
      <c r="G65" s="41">
        <v>0</v>
      </c>
      <c r="H65" s="41">
        <v>0</v>
      </c>
      <c r="I65" s="41">
        <v>0</v>
      </c>
      <c r="J65" s="41">
        <v>0</v>
      </c>
      <c r="K65" s="41">
        <v>0</v>
      </c>
      <c r="L65" s="86">
        <v>0</v>
      </c>
      <c r="M65" s="8"/>
      <c r="N65" s="8"/>
      <c r="O65" s="8"/>
    </row>
    <row r="66" spans="1:20">
      <c r="A66" s="2187"/>
      <c r="B66" s="2187"/>
      <c r="C66" s="103">
        <v>2018</v>
      </c>
      <c r="D66" s="104"/>
      <c r="E66" s="105"/>
      <c r="F66" s="41"/>
      <c r="G66" s="41"/>
      <c r="H66" s="41"/>
      <c r="I66" s="41"/>
      <c r="J66" s="41"/>
      <c r="K66" s="41"/>
      <c r="L66" s="86"/>
      <c r="M66" s="8"/>
      <c r="N66" s="8"/>
      <c r="O66" s="8"/>
    </row>
    <row r="67" spans="1:20" ht="17.25" customHeight="1">
      <c r="A67" s="2187"/>
      <c r="B67" s="2187"/>
      <c r="C67" s="103">
        <v>2019</v>
      </c>
      <c r="D67" s="104"/>
      <c r="E67" s="105"/>
      <c r="F67" s="41"/>
      <c r="G67" s="41"/>
      <c r="H67" s="41"/>
      <c r="I67" s="41"/>
      <c r="J67" s="41"/>
      <c r="K67" s="41"/>
      <c r="L67" s="86"/>
      <c r="M67" s="8"/>
      <c r="N67" s="8"/>
      <c r="O67" s="8"/>
    </row>
    <row r="68" spans="1:20" ht="16.5" customHeight="1">
      <c r="A68" s="2187"/>
      <c r="B68" s="2187"/>
      <c r="C68" s="103">
        <v>2020</v>
      </c>
      <c r="D68" s="104"/>
      <c r="E68" s="105"/>
      <c r="F68" s="41"/>
      <c r="G68" s="41"/>
      <c r="H68" s="41"/>
      <c r="I68" s="41"/>
      <c r="J68" s="41"/>
      <c r="K68" s="41"/>
      <c r="L68" s="86"/>
      <c r="M68" s="77"/>
      <c r="N68" s="77"/>
      <c r="O68" s="77"/>
    </row>
    <row r="69" spans="1:20" ht="18" customHeight="1" thickBot="1">
      <c r="A69" s="2188"/>
      <c r="B69" s="2188"/>
      <c r="C69" s="106" t="s">
        <v>13</v>
      </c>
      <c r="D69" s="107">
        <f>SUM(D62:D68)</f>
        <v>2</v>
      </c>
      <c r="E69" s="108">
        <f>SUM(E62:E68)</f>
        <v>0</v>
      </c>
      <c r="F69" s="109">
        <f t="shared" ref="F69:I69" si="4">SUM(F62:F68)</f>
        <v>0</v>
      </c>
      <c r="G69" s="109">
        <f t="shared" si="4"/>
        <v>0</v>
      </c>
      <c r="H69" s="109">
        <f t="shared" si="4"/>
        <v>0</v>
      </c>
      <c r="I69" s="109">
        <f t="shared" si="4"/>
        <v>0</v>
      </c>
      <c r="J69" s="109"/>
      <c r="K69" s="109">
        <f>SUM(K62:K68)</f>
        <v>0</v>
      </c>
      <c r="L69" s="110">
        <f>SUM(L62:L68)</f>
        <v>2</v>
      </c>
      <c r="M69" s="77"/>
      <c r="N69" s="77"/>
      <c r="O69" s="77"/>
    </row>
    <row r="70" spans="1:20" ht="20.25" customHeight="1" thickBot="1">
      <c r="A70" s="111"/>
      <c r="B70" s="112"/>
      <c r="C70" s="113"/>
      <c r="D70" s="114"/>
      <c r="E70" s="114"/>
      <c r="F70" s="114"/>
      <c r="G70" s="114"/>
      <c r="H70" s="113"/>
      <c r="I70" s="115"/>
      <c r="J70" s="115"/>
      <c r="K70" s="115"/>
      <c r="L70" s="115"/>
      <c r="M70" s="115"/>
      <c r="N70" s="115"/>
      <c r="O70" s="115"/>
      <c r="P70" s="1177"/>
      <c r="Q70" s="1177"/>
      <c r="R70" s="1177"/>
      <c r="S70" s="1177"/>
      <c r="T70" s="1177"/>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183" t="s">
        <v>480</v>
      </c>
      <c r="B72" s="2190"/>
      <c r="C72" s="73">
        <v>2014</v>
      </c>
      <c r="D72" s="124"/>
      <c r="E72" s="124"/>
      <c r="F72" s="124"/>
      <c r="G72" s="125">
        <f>SUM(D72:F72)</f>
        <v>0</v>
      </c>
      <c r="H72" s="33"/>
      <c r="I72" s="126"/>
      <c r="J72" s="102"/>
      <c r="K72" s="102"/>
      <c r="L72" s="102"/>
      <c r="M72" s="102"/>
      <c r="N72" s="102"/>
      <c r="O72" s="127"/>
    </row>
    <row r="73" spans="1:20">
      <c r="A73" s="2191"/>
      <c r="B73" s="2190"/>
      <c r="C73" s="74">
        <v>2015</v>
      </c>
      <c r="D73" s="128"/>
      <c r="E73" s="128"/>
      <c r="F73" s="128"/>
      <c r="G73" s="125">
        <f t="shared" ref="G73:G78" si="5">SUM(D73:F73)</f>
        <v>0</v>
      </c>
      <c r="H73" s="40"/>
      <c r="I73" s="1516"/>
      <c r="J73" s="1517"/>
      <c r="K73" s="1517"/>
      <c r="L73" s="1517"/>
      <c r="M73" s="1517"/>
      <c r="N73" s="1517"/>
      <c r="O73" s="1527"/>
    </row>
    <row r="74" spans="1:20">
      <c r="A74" s="2191"/>
      <c r="B74" s="2190"/>
      <c r="C74" s="74">
        <v>2016</v>
      </c>
      <c r="D74" s="128">
        <f>6+4+2</f>
        <v>12</v>
      </c>
      <c r="E74" s="128">
        <v>0</v>
      </c>
      <c r="F74" s="128">
        <v>0</v>
      </c>
      <c r="G74" s="125">
        <f t="shared" si="5"/>
        <v>12</v>
      </c>
      <c r="H74" s="40">
        <v>0</v>
      </c>
      <c r="I74" s="1516">
        <v>0</v>
      </c>
      <c r="J74" s="1517">
        <v>0</v>
      </c>
      <c r="K74" s="1517">
        <v>0</v>
      </c>
      <c r="L74" s="1517">
        <v>0</v>
      </c>
      <c r="M74" s="1517">
        <v>0</v>
      </c>
      <c r="N74" s="1517">
        <v>0</v>
      </c>
      <c r="O74" s="1527">
        <f>6+4+2</f>
        <v>12</v>
      </c>
    </row>
    <row r="75" spans="1:20">
      <c r="A75" s="2191"/>
      <c r="B75" s="2190"/>
      <c r="C75" s="74">
        <v>2017</v>
      </c>
      <c r="D75" s="128">
        <v>0</v>
      </c>
      <c r="E75" s="128">
        <v>0</v>
      </c>
      <c r="F75" s="128">
        <v>0</v>
      </c>
      <c r="G75" s="125">
        <f t="shared" si="5"/>
        <v>0</v>
      </c>
      <c r="H75" s="40">
        <v>0</v>
      </c>
      <c r="I75" s="1516">
        <v>0</v>
      </c>
      <c r="J75" s="1517">
        <v>0</v>
      </c>
      <c r="K75" s="1517">
        <v>0</v>
      </c>
      <c r="L75" s="1517">
        <v>0</v>
      </c>
      <c r="M75" s="1517">
        <v>0</v>
      </c>
      <c r="N75" s="1517">
        <v>0</v>
      </c>
      <c r="O75" s="1527">
        <v>0</v>
      </c>
    </row>
    <row r="76" spans="1:20">
      <c r="A76" s="2191"/>
      <c r="B76" s="2190"/>
      <c r="C76" s="74">
        <v>2018</v>
      </c>
      <c r="D76" s="128"/>
      <c r="E76" s="128"/>
      <c r="F76" s="128"/>
      <c r="G76" s="125">
        <f t="shared" si="5"/>
        <v>0</v>
      </c>
      <c r="H76" s="40"/>
      <c r="I76" s="1516"/>
      <c r="J76" s="1517"/>
      <c r="K76" s="1517"/>
      <c r="L76" s="1517"/>
      <c r="M76" s="1517"/>
      <c r="N76" s="1517"/>
      <c r="O76" s="1527"/>
    </row>
    <row r="77" spans="1:20" ht="15.75" customHeight="1">
      <c r="A77" s="2191"/>
      <c r="B77" s="2190"/>
      <c r="C77" s="74">
        <v>2019</v>
      </c>
      <c r="D77" s="128"/>
      <c r="E77" s="128"/>
      <c r="F77" s="128"/>
      <c r="G77" s="125">
        <f t="shared" si="5"/>
        <v>0</v>
      </c>
      <c r="H77" s="40"/>
      <c r="I77" s="1516"/>
      <c r="J77" s="1517"/>
      <c r="K77" s="1517"/>
      <c r="L77" s="1517"/>
      <c r="M77" s="1517"/>
      <c r="N77" s="1517"/>
      <c r="O77" s="1527"/>
    </row>
    <row r="78" spans="1:20" ht="17.25" customHeight="1">
      <c r="A78" s="2191"/>
      <c r="B78" s="2190"/>
      <c r="C78" s="74">
        <v>2020</v>
      </c>
      <c r="D78" s="128"/>
      <c r="E78" s="128"/>
      <c r="F78" s="128"/>
      <c r="G78" s="125">
        <f t="shared" si="5"/>
        <v>0</v>
      </c>
      <c r="H78" s="40"/>
      <c r="I78" s="1516"/>
      <c r="J78" s="1517"/>
      <c r="K78" s="1517"/>
      <c r="L78" s="1517"/>
      <c r="M78" s="1517"/>
      <c r="N78" s="1517"/>
      <c r="O78" s="1527"/>
    </row>
    <row r="79" spans="1:20" ht="20.25" customHeight="1" thickBot="1">
      <c r="A79" s="2192"/>
      <c r="B79" s="2193"/>
      <c r="C79" s="129" t="s">
        <v>13</v>
      </c>
      <c r="D79" s="107">
        <f>SUM(D72:D78)</f>
        <v>12</v>
      </c>
      <c r="E79" s="107">
        <f>SUM(E72:E78)</f>
        <v>0</v>
      </c>
      <c r="F79" s="107">
        <f>SUM(F72:F78)</f>
        <v>0</v>
      </c>
      <c r="G79" s="130">
        <f>SUM(G72:G78)</f>
        <v>12</v>
      </c>
      <c r="H79" s="131">
        <v>0</v>
      </c>
      <c r="I79" s="1528">
        <f t="shared" ref="I79:O79" si="6">SUM(I72:I78)</f>
        <v>0</v>
      </c>
      <c r="J79" s="1529">
        <f t="shared" si="6"/>
        <v>0</v>
      </c>
      <c r="K79" s="1529">
        <f t="shared" si="6"/>
        <v>0</v>
      </c>
      <c r="L79" s="1529">
        <f t="shared" si="6"/>
        <v>0</v>
      </c>
      <c r="M79" s="1529">
        <f t="shared" si="6"/>
        <v>0</v>
      </c>
      <c r="N79" s="1529">
        <f t="shared" si="6"/>
        <v>0</v>
      </c>
      <c r="O79" s="1530">
        <f t="shared" si="6"/>
        <v>12</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177"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38"/>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49">
        <v>0</v>
      </c>
      <c r="E87" s="105">
        <v>0</v>
      </c>
      <c r="F87" s="41">
        <v>0</v>
      </c>
      <c r="G87" s="41">
        <v>0</v>
      </c>
      <c r="H87" s="41">
        <v>0</v>
      </c>
      <c r="I87" s="41">
        <v>0</v>
      </c>
      <c r="J87" s="41">
        <v>0</v>
      </c>
      <c r="K87" s="86">
        <v>0</v>
      </c>
    </row>
    <row r="88" spans="1:16">
      <c r="A88" s="2040"/>
      <c r="B88" s="2039"/>
      <c r="C88" s="74">
        <v>2017</v>
      </c>
      <c r="D88" s="149">
        <v>0</v>
      </c>
      <c r="E88" s="105">
        <v>0</v>
      </c>
      <c r="F88" s="41">
        <v>0</v>
      </c>
      <c r="G88" s="41">
        <v>0</v>
      </c>
      <c r="H88" s="41">
        <v>0</v>
      </c>
      <c r="I88" s="41">
        <v>0</v>
      </c>
      <c r="J88" s="41">
        <v>0</v>
      </c>
      <c r="K88" s="86">
        <v>0</v>
      </c>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62"/>
      <c r="B98" s="2195" t="s">
        <v>481</v>
      </c>
      <c r="C98" s="99">
        <v>2014</v>
      </c>
      <c r="D98" s="33"/>
      <c r="E98" s="34"/>
      <c r="F98" s="167"/>
      <c r="G98" s="168"/>
      <c r="H98" s="168"/>
      <c r="I98" s="168"/>
      <c r="J98" s="168"/>
      <c r="K98" s="168"/>
      <c r="L98" s="168"/>
      <c r="M98" s="169"/>
      <c r="N98" s="158"/>
      <c r="O98" s="158"/>
      <c r="P98" s="158"/>
    </row>
    <row r="99" spans="1:16" ht="16.5" customHeight="1">
      <c r="A99" s="2062"/>
      <c r="B99" s="2196"/>
      <c r="C99" s="103">
        <v>2015</v>
      </c>
      <c r="D99" s="40"/>
      <c r="E99" s="41"/>
      <c r="F99" s="170"/>
      <c r="G99" s="171"/>
      <c r="H99" s="171"/>
      <c r="I99" s="171"/>
      <c r="J99" s="171"/>
      <c r="K99" s="171"/>
      <c r="L99" s="171"/>
      <c r="M99" s="253"/>
      <c r="N99" s="158"/>
      <c r="O99" s="158"/>
      <c r="P99" s="158"/>
    </row>
    <row r="100" spans="1:16" ht="16.5" customHeight="1">
      <c r="A100" s="2062"/>
      <c r="B100" s="2196"/>
      <c r="C100" s="103">
        <v>2016</v>
      </c>
      <c r="D100" s="40">
        <v>1</v>
      </c>
      <c r="E100" s="459">
        <v>7</v>
      </c>
      <c r="F100" s="170">
        <v>0</v>
      </c>
      <c r="G100" s="171">
        <v>0</v>
      </c>
      <c r="H100" s="171">
        <v>0</v>
      </c>
      <c r="I100" s="171">
        <v>0</v>
      </c>
      <c r="J100" s="171">
        <v>0</v>
      </c>
      <c r="K100" s="171">
        <v>0</v>
      </c>
      <c r="L100" s="171">
        <v>0</v>
      </c>
      <c r="M100" s="253">
        <v>1</v>
      </c>
      <c r="N100" s="158"/>
      <c r="O100" s="158"/>
      <c r="P100" s="158"/>
    </row>
    <row r="101" spans="1:16" ht="16.5" customHeight="1">
      <c r="A101" s="2062"/>
      <c r="B101" s="2196"/>
      <c r="C101" s="103">
        <v>2017</v>
      </c>
      <c r="D101" s="40">
        <v>2</v>
      </c>
      <c r="E101" s="41">
        <v>5</v>
      </c>
      <c r="F101" s="170">
        <v>0</v>
      </c>
      <c r="G101" s="171">
        <v>0</v>
      </c>
      <c r="H101" s="171">
        <v>0</v>
      </c>
      <c r="I101" s="171">
        <v>0</v>
      </c>
      <c r="J101" s="171">
        <v>0</v>
      </c>
      <c r="K101" s="171">
        <v>0</v>
      </c>
      <c r="L101" s="171">
        <v>0</v>
      </c>
      <c r="M101" s="172">
        <v>2</v>
      </c>
      <c r="N101" s="158"/>
      <c r="O101" s="158"/>
      <c r="P101" s="158"/>
    </row>
    <row r="102" spans="1:16" ht="15.75" customHeight="1">
      <c r="A102" s="2062"/>
      <c r="B102" s="2196"/>
      <c r="C102" s="103">
        <v>2018</v>
      </c>
      <c r="D102" s="40"/>
      <c r="E102" s="41"/>
      <c r="F102" s="170"/>
      <c r="G102" s="171"/>
      <c r="H102" s="171"/>
      <c r="I102" s="171"/>
      <c r="J102" s="171"/>
      <c r="K102" s="171"/>
      <c r="L102" s="171"/>
      <c r="M102" s="172"/>
      <c r="N102" s="158"/>
      <c r="O102" s="158"/>
      <c r="P102" s="158"/>
    </row>
    <row r="103" spans="1:16" ht="14.25" customHeight="1">
      <c r="A103" s="2062"/>
      <c r="B103" s="2196"/>
      <c r="C103" s="103">
        <v>2019</v>
      </c>
      <c r="D103" s="40"/>
      <c r="E103" s="41"/>
      <c r="F103" s="170"/>
      <c r="G103" s="171"/>
      <c r="H103" s="171"/>
      <c r="I103" s="171"/>
      <c r="J103" s="171"/>
      <c r="K103" s="171"/>
      <c r="L103" s="171"/>
      <c r="M103" s="172"/>
      <c r="N103" s="158"/>
      <c r="O103" s="158"/>
      <c r="P103" s="158"/>
    </row>
    <row r="104" spans="1:16" ht="14.25" customHeight="1">
      <c r="A104" s="2062"/>
      <c r="B104" s="2196"/>
      <c r="C104" s="103">
        <v>2020</v>
      </c>
      <c r="D104" s="40"/>
      <c r="E104" s="41"/>
      <c r="F104" s="170"/>
      <c r="G104" s="171"/>
      <c r="H104" s="171"/>
      <c r="I104" s="171"/>
      <c r="J104" s="171"/>
      <c r="K104" s="171"/>
      <c r="L104" s="171"/>
      <c r="M104" s="172"/>
      <c r="N104" s="158"/>
      <c r="O104" s="158"/>
      <c r="P104" s="158"/>
    </row>
    <row r="105" spans="1:16" ht="37.5" customHeight="1" thickBot="1">
      <c r="A105" s="2194"/>
      <c r="B105" s="2197"/>
      <c r="C105" s="106" t="s">
        <v>13</v>
      </c>
      <c r="D105" s="132">
        <f>SUM(D98:D104)</f>
        <v>3</v>
      </c>
      <c r="E105" s="109">
        <f t="shared" ref="E105:K105" si="8">SUM(E98:E104)</f>
        <v>12</v>
      </c>
      <c r="F105" s="173">
        <f t="shared" si="8"/>
        <v>0</v>
      </c>
      <c r="G105" s="174">
        <f t="shared" si="8"/>
        <v>0</v>
      </c>
      <c r="H105" s="174">
        <f t="shared" si="8"/>
        <v>0</v>
      </c>
      <c r="I105" s="174">
        <f>SUM(I98:I104)</f>
        <v>0</v>
      </c>
      <c r="J105" s="174">
        <f t="shared" si="8"/>
        <v>0</v>
      </c>
      <c r="K105" s="174">
        <f t="shared" si="8"/>
        <v>0</v>
      </c>
      <c r="L105" s="174">
        <f>SUM(L98:L104)</f>
        <v>0</v>
      </c>
      <c r="M105" s="175">
        <f>SUM(M98:M104)</f>
        <v>3</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62"/>
      <c r="B109" s="2198"/>
      <c r="C109" s="99">
        <v>2014</v>
      </c>
      <c r="D109" s="34"/>
      <c r="E109" s="167"/>
      <c r="F109" s="168"/>
      <c r="G109" s="168"/>
      <c r="H109" s="168"/>
      <c r="I109" s="168"/>
      <c r="J109" s="168"/>
      <c r="K109" s="168"/>
      <c r="L109" s="169"/>
      <c r="M109" s="178"/>
      <c r="N109" s="178"/>
    </row>
    <row r="110" spans="1:16">
      <c r="A110" s="2062"/>
      <c r="B110" s="2198"/>
      <c r="C110" s="103">
        <v>2015</v>
      </c>
      <c r="D110" s="41"/>
      <c r="E110" s="170"/>
      <c r="F110" s="171"/>
      <c r="G110" s="171"/>
      <c r="H110" s="171"/>
      <c r="I110" s="171"/>
      <c r="J110" s="171"/>
      <c r="K110" s="171"/>
      <c r="L110" s="172"/>
      <c r="M110" s="178"/>
      <c r="N110" s="178"/>
    </row>
    <row r="111" spans="1:16">
      <c r="A111" s="2062"/>
      <c r="B111" s="2198"/>
      <c r="C111" s="103">
        <v>2016</v>
      </c>
      <c r="D111" s="190"/>
      <c r="E111" s="170">
        <v>0</v>
      </c>
      <c r="F111" s="171">
        <v>0</v>
      </c>
      <c r="G111" s="171">
        <v>0</v>
      </c>
      <c r="H111" s="171">
        <v>0</v>
      </c>
      <c r="I111" s="171">
        <v>0</v>
      </c>
      <c r="J111" s="171">
        <v>0</v>
      </c>
      <c r="K111" s="171">
        <v>0</v>
      </c>
      <c r="L111" s="1531">
        <v>0</v>
      </c>
      <c r="M111" s="178"/>
      <c r="N111" s="178"/>
    </row>
    <row r="112" spans="1:16">
      <c r="A112" s="2062"/>
      <c r="B112" s="2198"/>
      <c r="C112" s="103">
        <v>2017</v>
      </c>
      <c r="D112" s="41"/>
      <c r="E112" s="170">
        <v>0</v>
      </c>
      <c r="F112" s="171">
        <v>0</v>
      </c>
      <c r="G112" s="171">
        <v>0</v>
      </c>
      <c r="H112" s="171">
        <v>0</v>
      </c>
      <c r="I112" s="171">
        <v>0</v>
      </c>
      <c r="J112" s="171">
        <v>0</v>
      </c>
      <c r="K112" s="171">
        <v>0</v>
      </c>
      <c r="L112" s="172">
        <v>0</v>
      </c>
      <c r="M112" s="178"/>
      <c r="N112" s="178"/>
    </row>
    <row r="113" spans="1:14">
      <c r="A113" s="2062"/>
      <c r="B113" s="2198"/>
      <c r="C113" s="103">
        <v>2018</v>
      </c>
      <c r="D113" s="41"/>
      <c r="E113" s="170"/>
      <c r="F113" s="171"/>
      <c r="G113" s="171"/>
      <c r="H113" s="171"/>
      <c r="I113" s="171"/>
      <c r="J113" s="171"/>
      <c r="K113" s="171"/>
      <c r="L113" s="172"/>
      <c r="M113" s="178"/>
      <c r="N113" s="178"/>
    </row>
    <row r="114" spans="1:14">
      <c r="A114" s="2062"/>
      <c r="B114" s="2198"/>
      <c r="C114" s="103">
        <v>2019</v>
      </c>
      <c r="D114" s="41"/>
      <c r="E114" s="170"/>
      <c r="F114" s="171"/>
      <c r="G114" s="171"/>
      <c r="H114" s="171"/>
      <c r="I114" s="171"/>
      <c r="J114" s="171"/>
      <c r="K114" s="171"/>
      <c r="L114" s="172"/>
      <c r="M114" s="178"/>
      <c r="N114" s="178"/>
    </row>
    <row r="115" spans="1:14">
      <c r="A115" s="2062"/>
      <c r="B115" s="2198"/>
      <c r="C115" s="103">
        <v>2020</v>
      </c>
      <c r="D115" s="41"/>
      <c r="E115" s="170"/>
      <c r="F115" s="171"/>
      <c r="G115" s="171"/>
      <c r="H115" s="171"/>
      <c r="I115" s="171"/>
      <c r="J115" s="171"/>
      <c r="K115" s="171"/>
      <c r="L115" s="172"/>
      <c r="M115" s="178"/>
      <c r="N115" s="178"/>
    </row>
    <row r="116" spans="1:14" ht="25.5" customHeight="1" thickBot="1">
      <c r="A116" s="2194"/>
      <c r="B116" s="2199"/>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v>0</v>
      </c>
      <c r="E122" s="170">
        <v>0</v>
      </c>
      <c r="F122" s="171">
        <v>0</v>
      </c>
      <c r="G122" s="171">
        <v>0</v>
      </c>
      <c r="H122" s="171">
        <v>0</v>
      </c>
      <c r="I122" s="171">
        <v>0</v>
      </c>
      <c r="J122" s="171">
        <v>0</v>
      </c>
      <c r="K122" s="171">
        <v>0</v>
      </c>
      <c r="L122" s="172">
        <v>0</v>
      </c>
      <c r="M122" s="178"/>
      <c r="N122" s="178"/>
    </row>
    <row r="123" spans="1:14">
      <c r="A123" s="2048"/>
      <c r="B123" s="2039"/>
      <c r="C123" s="103">
        <v>2017</v>
      </c>
      <c r="D123" s="41">
        <v>0</v>
      </c>
      <c r="E123" s="170">
        <v>0</v>
      </c>
      <c r="F123" s="171">
        <v>0</v>
      </c>
      <c r="G123" s="171">
        <v>0</v>
      </c>
      <c r="H123" s="171">
        <v>0</v>
      </c>
      <c r="I123" s="171">
        <v>0</v>
      </c>
      <c r="J123" s="171">
        <v>0</v>
      </c>
      <c r="K123" s="171">
        <v>0</v>
      </c>
      <c r="L123" s="172">
        <v>0</v>
      </c>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174" t="s">
        <v>9</v>
      </c>
      <c r="D129" s="182" t="s">
        <v>76</v>
      </c>
      <c r="E129" s="183"/>
      <c r="F129" s="183"/>
      <c r="G129" s="184"/>
      <c r="H129" s="178"/>
      <c r="I129" s="178"/>
      <c r="J129" s="178"/>
      <c r="K129" s="178"/>
      <c r="L129" s="178"/>
      <c r="M129" s="178"/>
      <c r="N129" s="178"/>
    </row>
    <row r="130" spans="1:16" ht="77.25" customHeight="1">
      <c r="A130" s="2044"/>
      <c r="B130" s="2046"/>
      <c r="C130" s="1175"/>
      <c r="D130" s="159" t="s">
        <v>77</v>
      </c>
      <c r="E130" s="186" t="s">
        <v>78</v>
      </c>
      <c r="F130" s="160" t="s">
        <v>79</v>
      </c>
      <c r="G130" s="187" t="s">
        <v>13</v>
      </c>
      <c r="H130" s="178"/>
      <c r="I130" s="178"/>
      <c r="J130" s="178"/>
      <c r="K130" s="178"/>
      <c r="L130" s="178"/>
      <c r="M130" s="178"/>
      <c r="N130" s="178"/>
    </row>
    <row r="131" spans="1:16" ht="15" customHeight="1">
      <c r="A131" s="2200"/>
      <c r="B131" s="2203" t="s">
        <v>482</v>
      </c>
      <c r="C131" s="99">
        <v>2015</v>
      </c>
      <c r="D131" s="33"/>
      <c r="E131" s="34"/>
      <c r="F131" s="34"/>
      <c r="G131" s="191">
        <f t="shared" ref="G131:G136" si="11">SUM(D131:F131)</f>
        <v>0</v>
      </c>
      <c r="H131" s="178"/>
      <c r="I131" s="178"/>
      <c r="J131" s="178"/>
      <c r="K131" s="178"/>
      <c r="L131" s="178"/>
      <c r="M131" s="178"/>
      <c r="N131" s="178"/>
    </row>
    <row r="132" spans="1:16">
      <c r="A132" s="2201"/>
      <c r="B132" s="2204"/>
      <c r="C132" s="103">
        <v>2016</v>
      </c>
      <c r="D132" s="189">
        <f>35+9+12+16</f>
        <v>72</v>
      </c>
      <c r="E132" s="41">
        <v>0</v>
      </c>
      <c r="F132" s="41">
        <v>0</v>
      </c>
      <c r="G132" s="191">
        <f t="shared" si="11"/>
        <v>72</v>
      </c>
      <c r="H132" s="178"/>
      <c r="I132" s="178" t="s">
        <v>483</v>
      </c>
      <c r="J132" s="178"/>
      <c r="K132" s="178"/>
      <c r="L132" s="178"/>
      <c r="M132" s="178"/>
      <c r="N132" s="178"/>
    </row>
    <row r="133" spans="1:16">
      <c r="A133" s="2201"/>
      <c r="B133" s="2204"/>
      <c r="C133" s="103">
        <v>2017</v>
      </c>
      <c r="D133" s="40">
        <f>38+73+11</f>
        <v>122</v>
      </c>
      <c r="E133" s="41"/>
      <c r="F133" s="41"/>
      <c r="G133" s="191">
        <f t="shared" si="11"/>
        <v>122</v>
      </c>
      <c r="H133" s="178"/>
      <c r="I133" s="178"/>
      <c r="J133" s="178"/>
      <c r="K133" s="178"/>
      <c r="L133" s="178"/>
      <c r="M133" s="178"/>
      <c r="N133" s="178"/>
    </row>
    <row r="134" spans="1:16">
      <c r="A134" s="2201"/>
      <c r="B134" s="2204"/>
      <c r="C134" s="103">
        <v>2018</v>
      </c>
      <c r="D134" s="40"/>
      <c r="E134" s="41"/>
      <c r="F134" s="41"/>
      <c r="G134" s="191">
        <f t="shared" si="11"/>
        <v>0</v>
      </c>
      <c r="H134" s="178"/>
      <c r="I134" s="178"/>
      <c r="J134" s="178"/>
      <c r="K134" s="178"/>
      <c r="L134" s="178"/>
      <c r="M134" s="178"/>
      <c r="N134" s="178"/>
    </row>
    <row r="135" spans="1:16">
      <c r="A135" s="2201"/>
      <c r="B135" s="2204"/>
      <c r="C135" s="103">
        <v>2019</v>
      </c>
      <c r="D135" s="40"/>
      <c r="E135" s="41"/>
      <c r="F135" s="41"/>
      <c r="G135" s="191">
        <f t="shared" si="11"/>
        <v>0</v>
      </c>
      <c r="H135" s="178"/>
      <c r="I135" s="178"/>
      <c r="J135" s="178"/>
      <c r="K135" s="178"/>
      <c r="L135" s="178"/>
      <c r="M135" s="178"/>
      <c r="N135" s="178"/>
    </row>
    <row r="136" spans="1:16">
      <c r="A136" s="2201"/>
      <c r="B136" s="2204"/>
      <c r="C136" s="103">
        <v>2020</v>
      </c>
      <c r="D136" s="40"/>
      <c r="E136" s="41"/>
      <c r="F136" s="41"/>
      <c r="G136" s="191">
        <f t="shared" si="11"/>
        <v>0</v>
      </c>
      <c r="H136" s="178"/>
      <c r="I136" s="178"/>
      <c r="J136" s="178"/>
      <c r="K136" s="178"/>
      <c r="L136" s="178"/>
      <c r="M136" s="178"/>
      <c r="N136" s="178"/>
    </row>
    <row r="137" spans="1:16" ht="48.75" customHeight="1" thickBot="1">
      <c r="A137" s="2202"/>
      <c r="B137" s="2205"/>
      <c r="C137" s="106" t="s">
        <v>13</v>
      </c>
      <c r="D137" s="132">
        <f>SUM(D131:D136)</f>
        <v>194</v>
      </c>
      <c r="E137" s="132">
        <f t="shared" ref="E137:F137" si="12">SUM(E131:E136)</f>
        <v>0</v>
      </c>
      <c r="F137" s="132">
        <f t="shared" si="12"/>
        <v>0</v>
      </c>
      <c r="G137" s="192">
        <f>SUM(G131:G136)</f>
        <v>194</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v>0</v>
      </c>
      <c r="E146" s="40">
        <v>0</v>
      </c>
      <c r="F146" s="41">
        <v>0</v>
      </c>
      <c r="G146" s="171">
        <v>0</v>
      </c>
      <c r="H146" s="171">
        <v>0</v>
      </c>
      <c r="I146" s="210">
        <f t="shared" si="13"/>
        <v>0</v>
      </c>
      <c r="J146" s="214">
        <v>0</v>
      </c>
      <c r="K146" s="215">
        <v>0</v>
      </c>
      <c r="L146" s="214">
        <v>0</v>
      </c>
      <c r="M146" s="215">
        <v>0</v>
      </c>
      <c r="N146" s="216">
        <v>0</v>
      </c>
      <c r="O146" s="158"/>
      <c r="P146" s="158"/>
    </row>
    <row r="147" spans="1:16" ht="17.25" customHeight="1">
      <c r="A147" s="2048"/>
      <c r="B147" s="2039"/>
      <c r="C147" s="103">
        <v>2017</v>
      </c>
      <c r="D147" s="40">
        <v>0</v>
      </c>
      <c r="E147" s="40">
        <v>0</v>
      </c>
      <c r="F147" s="41">
        <v>0</v>
      </c>
      <c r="G147" s="171">
        <v>0</v>
      </c>
      <c r="H147" s="171">
        <v>0</v>
      </c>
      <c r="I147" s="210">
        <f t="shared" si="13"/>
        <v>0</v>
      </c>
      <c r="J147" s="214">
        <v>0</v>
      </c>
      <c r="K147" s="215">
        <v>0</v>
      </c>
      <c r="L147" s="214">
        <v>0</v>
      </c>
      <c r="M147" s="215">
        <v>0</v>
      </c>
      <c r="N147" s="216">
        <v>0</v>
      </c>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1177"/>
      <c r="L153" s="1177"/>
      <c r="M153" s="1177"/>
      <c r="N153" s="1177"/>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1177"/>
      <c r="L154" s="1177"/>
      <c r="M154" s="1177"/>
      <c r="N154" s="1177"/>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v>0</v>
      </c>
      <c r="E157" s="171">
        <v>0</v>
      </c>
      <c r="F157" s="215">
        <v>0</v>
      </c>
      <c r="G157" s="210">
        <f t="shared" si="15"/>
        <v>0</v>
      </c>
      <c r="H157" s="214">
        <v>0</v>
      </c>
      <c r="I157" s="171">
        <v>0</v>
      </c>
      <c r="J157" s="172">
        <v>0</v>
      </c>
      <c r="O157" s="158"/>
      <c r="P157" s="158"/>
    </row>
    <row r="158" spans="1:16" ht="15" customHeight="1">
      <c r="A158" s="2048"/>
      <c r="B158" s="2039"/>
      <c r="C158" s="231">
        <v>2017</v>
      </c>
      <c r="D158" s="214">
        <v>0</v>
      </c>
      <c r="E158" s="171">
        <v>0</v>
      </c>
      <c r="F158" s="215">
        <v>0</v>
      </c>
      <c r="G158" s="210">
        <v>0</v>
      </c>
      <c r="H158" s="214">
        <v>0</v>
      </c>
      <c r="I158" s="171">
        <v>0</v>
      </c>
      <c r="J158" s="172">
        <v>0</v>
      </c>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v>0</v>
      </c>
      <c r="E167" s="252">
        <v>0</v>
      </c>
      <c r="F167" s="252">
        <v>0</v>
      </c>
      <c r="G167" s="252">
        <v>0</v>
      </c>
      <c r="H167" s="252">
        <v>0</v>
      </c>
      <c r="I167" s="253">
        <v>0</v>
      </c>
      <c r="J167" s="477">
        <f t="shared" si="17"/>
        <v>0</v>
      </c>
      <c r="K167" s="255">
        <f t="shared" si="17"/>
        <v>0</v>
      </c>
    </row>
    <row r="168" spans="1:18">
      <c r="A168" s="2095"/>
      <c r="B168" s="2026"/>
      <c r="C168" s="251">
        <v>2017</v>
      </c>
      <c r="D168" s="252">
        <v>0</v>
      </c>
      <c r="E168" s="158">
        <v>0</v>
      </c>
      <c r="F168" s="252">
        <v>0</v>
      </c>
      <c r="G168" s="252">
        <v>0</v>
      </c>
      <c r="H168" s="252">
        <v>0</v>
      </c>
      <c r="I168" s="253">
        <v>0</v>
      </c>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177"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177"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1532"/>
      <c r="B178" s="2210" t="s">
        <v>484</v>
      </c>
      <c r="C178" s="99">
        <v>2014</v>
      </c>
      <c r="D178" s="33"/>
      <c r="E178" s="34"/>
      <c r="F178" s="34"/>
      <c r="G178" s="278">
        <f>SUM(D178:F178)</f>
        <v>0</v>
      </c>
      <c r="H178" s="148"/>
      <c r="I178" s="148"/>
      <c r="J178" s="34"/>
      <c r="K178" s="34"/>
      <c r="L178" s="34"/>
      <c r="M178" s="34"/>
      <c r="N178" s="34"/>
      <c r="O178" s="37"/>
    </row>
    <row r="179" spans="1:15">
      <c r="A179" s="1532"/>
      <c r="B179" s="2211"/>
      <c r="C179" s="103">
        <v>2015</v>
      </c>
      <c r="D179" s="40"/>
      <c r="E179" s="41"/>
      <c r="F179" s="41"/>
      <c r="G179" s="278">
        <f t="shared" ref="G179:G184" si="19">SUM(D179:F179)</f>
        <v>0</v>
      </c>
      <c r="H179" s="279"/>
      <c r="I179" s="105"/>
      <c r="J179" s="41"/>
      <c r="K179" s="41"/>
      <c r="L179" s="41"/>
      <c r="M179" s="41"/>
      <c r="N179" s="41"/>
      <c r="O179" s="86"/>
    </row>
    <row r="180" spans="1:15">
      <c r="A180" s="1532"/>
      <c r="B180" s="2211"/>
      <c r="C180" s="103">
        <v>2016</v>
      </c>
      <c r="D180" s="40">
        <v>48</v>
      </c>
      <c r="E180" s="41">
        <v>2</v>
      </c>
      <c r="F180" s="41">
        <v>0</v>
      </c>
      <c r="G180" s="278">
        <f t="shared" si="19"/>
        <v>50</v>
      </c>
      <c r="H180" s="279">
        <v>50</v>
      </c>
      <c r="I180" s="105">
        <v>0</v>
      </c>
      <c r="J180" s="41">
        <v>44</v>
      </c>
      <c r="K180" s="41">
        <v>0</v>
      </c>
      <c r="L180" s="41">
        <v>0</v>
      </c>
      <c r="M180" s="1517">
        <v>6</v>
      </c>
      <c r="N180" s="1517">
        <v>0</v>
      </c>
      <c r="O180" s="1527">
        <v>0</v>
      </c>
    </row>
    <row r="181" spans="1:15">
      <c r="A181" s="1532"/>
      <c r="B181" s="2211"/>
      <c r="C181" s="103">
        <v>2017</v>
      </c>
      <c r="D181" s="40">
        <v>10</v>
      </c>
      <c r="E181" s="41">
        <v>0</v>
      </c>
      <c r="F181" s="41">
        <v>0</v>
      </c>
      <c r="G181" s="278">
        <f t="shared" si="19"/>
        <v>10</v>
      </c>
      <c r="H181" s="279">
        <v>9</v>
      </c>
      <c r="I181" s="105">
        <v>0</v>
      </c>
      <c r="J181" s="41">
        <v>0</v>
      </c>
      <c r="K181" s="41">
        <v>0</v>
      </c>
      <c r="L181" s="41">
        <v>5</v>
      </c>
      <c r="M181" s="1517">
        <v>4</v>
      </c>
      <c r="N181" s="1517">
        <v>0</v>
      </c>
      <c r="O181" s="1527">
        <v>1</v>
      </c>
    </row>
    <row r="182" spans="1:15">
      <c r="A182" s="1532"/>
      <c r="B182" s="2211"/>
      <c r="C182" s="103">
        <v>2018</v>
      </c>
      <c r="D182" s="40"/>
      <c r="E182" s="41"/>
      <c r="F182" s="41"/>
      <c r="G182" s="278">
        <f t="shared" si="19"/>
        <v>0</v>
      </c>
      <c r="H182" s="279"/>
      <c r="I182" s="105"/>
      <c r="J182" s="41"/>
      <c r="K182" s="41"/>
      <c r="L182" s="41"/>
      <c r="M182" s="1517"/>
      <c r="N182" s="1517"/>
      <c r="O182" s="1527"/>
    </row>
    <row r="183" spans="1:15">
      <c r="A183" s="1532"/>
      <c r="B183" s="2211"/>
      <c r="C183" s="103">
        <v>2019</v>
      </c>
      <c r="D183" s="40"/>
      <c r="E183" s="41"/>
      <c r="F183" s="41"/>
      <c r="G183" s="278">
        <f t="shared" si="19"/>
        <v>0</v>
      </c>
      <c r="H183" s="279"/>
      <c r="I183" s="105"/>
      <c r="J183" s="41"/>
      <c r="K183" s="41"/>
      <c r="L183" s="41"/>
      <c r="M183" s="1517"/>
      <c r="N183" s="1517"/>
      <c r="O183" s="1527"/>
    </row>
    <row r="184" spans="1:15">
      <c r="A184" s="1532"/>
      <c r="B184" s="2211"/>
      <c r="C184" s="103">
        <v>2020</v>
      </c>
      <c r="D184" s="40"/>
      <c r="E184" s="41"/>
      <c r="F184" s="41"/>
      <c r="G184" s="278">
        <f t="shared" si="19"/>
        <v>0</v>
      </c>
      <c r="H184" s="279"/>
      <c r="I184" s="105"/>
      <c r="J184" s="41"/>
      <c r="K184" s="41"/>
      <c r="L184" s="41"/>
      <c r="M184" s="1517"/>
      <c r="N184" s="1517"/>
      <c r="O184" s="1527"/>
    </row>
    <row r="185" spans="1:15" ht="87.75" customHeight="1" thickBot="1">
      <c r="A185" s="1176"/>
      <c r="B185" s="2212"/>
      <c r="C185" s="106" t="s">
        <v>13</v>
      </c>
      <c r="D185" s="132">
        <f>SUM(D178:D184)</f>
        <v>58</v>
      </c>
      <c r="E185" s="109">
        <f>SUM(E178:E184)</f>
        <v>2</v>
      </c>
      <c r="F185" s="109">
        <f>SUM(F178:F184)</f>
        <v>0</v>
      </c>
      <c r="G185" s="217">
        <f t="shared" ref="G185:O185" si="20">SUM(G178:G184)</f>
        <v>60</v>
      </c>
      <c r="H185" s="280">
        <f t="shared" si="20"/>
        <v>59</v>
      </c>
      <c r="I185" s="108">
        <f t="shared" si="20"/>
        <v>0</v>
      </c>
      <c r="J185" s="109">
        <f t="shared" si="20"/>
        <v>44</v>
      </c>
      <c r="K185" s="109">
        <f t="shared" si="20"/>
        <v>0</v>
      </c>
      <c r="L185" s="109">
        <f t="shared" si="20"/>
        <v>5</v>
      </c>
      <c r="M185" s="1529">
        <f t="shared" si="20"/>
        <v>10</v>
      </c>
      <c r="N185" s="1529">
        <f t="shared" si="20"/>
        <v>0</v>
      </c>
      <c r="O185" s="1530">
        <f t="shared" si="20"/>
        <v>1</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1533"/>
      <c r="B189" s="2206" t="s">
        <v>485</v>
      </c>
      <c r="C189" s="285">
        <v>2014</v>
      </c>
      <c r="D189" s="126"/>
      <c r="E189" s="102"/>
      <c r="F189" s="102"/>
      <c r="G189" s="286">
        <f>SUM(D189:F189)</f>
        <v>0</v>
      </c>
      <c r="H189" s="101"/>
      <c r="I189" s="102"/>
      <c r="J189" s="102"/>
      <c r="K189" s="102"/>
      <c r="L189" s="127"/>
    </row>
    <row r="190" spans="1:15">
      <c r="A190" s="958"/>
      <c r="B190" s="2190"/>
      <c r="C190" s="74">
        <v>2015</v>
      </c>
      <c r="D190" s="457"/>
      <c r="E190" s="41"/>
      <c r="F190" s="41"/>
      <c r="G190" s="286">
        <f t="shared" ref="G190:G195" si="21">SUM(D190:F190)</f>
        <v>0</v>
      </c>
      <c r="H190" s="105"/>
      <c r="I190" s="459"/>
      <c r="J190" s="41"/>
      <c r="K190" s="41"/>
      <c r="L190" s="463"/>
    </row>
    <row r="191" spans="1:15">
      <c r="A191" s="958"/>
      <c r="B191" s="2190"/>
      <c r="C191" s="74">
        <v>2016</v>
      </c>
      <c r="D191" s="40">
        <f>961+622+83</f>
        <v>1666</v>
      </c>
      <c r="E191" s="41">
        <v>54</v>
      </c>
      <c r="F191" s="41">
        <v>0</v>
      </c>
      <c r="G191" s="286">
        <f t="shared" si="21"/>
        <v>1720</v>
      </c>
      <c r="H191" s="105">
        <v>0</v>
      </c>
      <c r="I191" s="41">
        <v>357</v>
      </c>
      <c r="J191" s="41">
        <v>0</v>
      </c>
      <c r="K191" s="41">
        <v>0</v>
      </c>
      <c r="L191" s="86">
        <f>1309+54</f>
        <v>1363</v>
      </c>
    </row>
    <row r="192" spans="1:15">
      <c r="A192" s="958"/>
      <c r="B192" s="2190"/>
      <c r="C192" s="74">
        <v>2017</v>
      </c>
      <c r="D192" s="40">
        <v>469</v>
      </c>
      <c r="E192" s="41">
        <v>0</v>
      </c>
      <c r="F192" s="41">
        <v>0</v>
      </c>
      <c r="G192" s="286">
        <f t="shared" si="21"/>
        <v>469</v>
      </c>
      <c r="H192" s="105">
        <v>0</v>
      </c>
      <c r="I192" s="41">
        <v>223</v>
      </c>
      <c r="J192" s="41">
        <v>0</v>
      </c>
      <c r="K192" s="41">
        <v>0</v>
      </c>
      <c r="L192" s="86">
        <v>246</v>
      </c>
    </row>
    <row r="193" spans="1:14">
      <c r="A193" s="958"/>
      <c r="B193" s="2190"/>
      <c r="C193" s="74">
        <v>2018</v>
      </c>
      <c r="D193" s="40"/>
      <c r="E193" s="41"/>
      <c r="F193" s="41"/>
      <c r="G193" s="286">
        <f t="shared" si="21"/>
        <v>0</v>
      </c>
      <c r="H193" s="105"/>
      <c r="I193" s="41"/>
      <c r="J193" s="41"/>
      <c r="K193" s="41"/>
      <c r="L193" s="86"/>
    </row>
    <row r="194" spans="1:14">
      <c r="A194" s="958"/>
      <c r="B194" s="2190"/>
      <c r="C194" s="74">
        <v>2019</v>
      </c>
      <c r="D194" s="40"/>
      <c r="E194" s="41"/>
      <c r="F194" s="41"/>
      <c r="G194" s="286">
        <f t="shared" si="21"/>
        <v>0</v>
      </c>
      <c r="H194" s="105"/>
      <c r="I194" s="41"/>
      <c r="J194" s="41"/>
      <c r="K194" s="41"/>
      <c r="L194" s="86"/>
    </row>
    <row r="195" spans="1:14">
      <c r="A195" s="958"/>
      <c r="B195" s="2190"/>
      <c r="C195" s="74">
        <v>2020</v>
      </c>
      <c r="D195" s="40"/>
      <c r="E195" s="41"/>
      <c r="F195" s="41"/>
      <c r="G195" s="286">
        <f t="shared" si="21"/>
        <v>0</v>
      </c>
      <c r="H195" s="105"/>
      <c r="I195" s="41"/>
      <c r="J195" s="41"/>
      <c r="K195" s="41"/>
      <c r="L195" s="86"/>
    </row>
    <row r="196" spans="1:14" ht="52.5" customHeight="1" thickBot="1">
      <c r="A196" s="959"/>
      <c r="B196" s="2193"/>
      <c r="C196" s="129" t="s">
        <v>13</v>
      </c>
      <c r="D196" s="132">
        <f t="shared" ref="D196:L196" si="22">SUM(D189:D195)</f>
        <v>2135</v>
      </c>
      <c r="E196" s="109">
        <f t="shared" si="22"/>
        <v>54</v>
      </c>
      <c r="F196" s="109">
        <f t="shared" si="22"/>
        <v>0</v>
      </c>
      <c r="G196" s="290">
        <f t="shared" si="22"/>
        <v>2189</v>
      </c>
      <c r="H196" s="108">
        <f t="shared" si="22"/>
        <v>0</v>
      </c>
      <c r="I196" s="109">
        <f t="shared" si="22"/>
        <v>580</v>
      </c>
      <c r="J196" s="109">
        <f t="shared" si="22"/>
        <v>0</v>
      </c>
      <c r="K196" s="109">
        <f t="shared" si="22"/>
        <v>0</v>
      </c>
      <c r="L196" s="110">
        <f t="shared" si="22"/>
        <v>1609</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177"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v>0</v>
      </c>
      <c r="E204" s="41">
        <v>0</v>
      </c>
      <c r="F204" s="41">
        <v>0</v>
      </c>
      <c r="G204" s="39">
        <v>0</v>
      </c>
      <c r="H204" s="306">
        <v>0</v>
      </c>
      <c r="I204" s="307">
        <v>0</v>
      </c>
      <c r="J204" s="308">
        <v>0</v>
      </c>
      <c r="K204" s="41">
        <v>0</v>
      </c>
      <c r="L204" s="86">
        <v>0</v>
      </c>
    </row>
    <row r="205" spans="1:14">
      <c r="A205" s="2069"/>
      <c r="B205" s="2068"/>
      <c r="C205" s="74">
        <v>2017</v>
      </c>
      <c r="D205" s="40">
        <v>0</v>
      </c>
      <c r="E205" s="41">
        <v>0</v>
      </c>
      <c r="F205" s="41">
        <v>0</v>
      </c>
      <c r="G205" s="39">
        <v>0</v>
      </c>
      <c r="H205" s="306">
        <v>0</v>
      </c>
      <c r="I205" s="307">
        <v>0</v>
      </c>
      <c r="J205" s="308">
        <v>0</v>
      </c>
      <c r="K205" s="41">
        <v>0</v>
      </c>
      <c r="L205" s="86">
        <v>0</v>
      </c>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18.75">
      <c r="A212" s="368" t="s">
        <v>148</v>
      </c>
      <c r="B212" s="317" t="s">
        <v>149</v>
      </c>
      <c r="C212" s="318">
        <v>2014</v>
      </c>
      <c r="D212" s="319">
        <v>2015</v>
      </c>
      <c r="E212" s="319">
        <v>2016</v>
      </c>
      <c r="F212" s="319">
        <v>2017</v>
      </c>
      <c r="G212" s="319">
        <v>2018</v>
      </c>
      <c r="H212" s="319">
        <v>2019</v>
      </c>
      <c r="I212" s="320">
        <v>2020</v>
      </c>
    </row>
    <row r="213" spans="1:12" ht="15" customHeight="1">
      <c r="A213" t="s">
        <v>150</v>
      </c>
      <c r="B213" s="2207" t="s">
        <v>486</v>
      </c>
      <c r="C213" s="73"/>
      <c r="D213" s="326"/>
      <c r="E213" s="326">
        <f>E214+E216+E217+E215</f>
        <v>990796.49</v>
      </c>
      <c r="F213" s="1534">
        <f>F214+F215+F216+F217</f>
        <v>222302.24</v>
      </c>
      <c r="G213" s="128"/>
      <c r="H213" s="128"/>
      <c r="I213" s="327"/>
    </row>
    <row r="214" spans="1:12">
      <c r="A214" t="s">
        <v>153</v>
      </c>
      <c r="B214" s="2208"/>
      <c r="C214" s="73"/>
      <c r="D214" s="326"/>
      <c r="E214" s="348">
        <f>694673.63-58990.8-79999.2-24846</f>
        <v>530837.63</v>
      </c>
      <c r="F214" s="1535">
        <v>204936.74</v>
      </c>
      <c r="G214" s="128"/>
      <c r="H214" s="128"/>
      <c r="I214" s="327"/>
    </row>
    <row r="215" spans="1:12">
      <c r="A215" t="s">
        <v>155</v>
      </c>
      <c r="B215" s="2208"/>
      <c r="C215" s="73"/>
      <c r="D215" s="326"/>
      <c r="E215" s="348">
        <v>0</v>
      </c>
      <c r="F215" s="1536">
        <v>0</v>
      </c>
      <c r="G215" s="128"/>
      <c r="H215" s="128"/>
      <c r="I215" s="327"/>
    </row>
    <row r="216" spans="1:12">
      <c r="A216" t="s">
        <v>157</v>
      </c>
      <c r="B216" s="2208"/>
      <c r="C216" s="73"/>
      <c r="D216" s="326"/>
      <c r="E216" s="1536">
        <f>47881.05+58990.8+79999.2+24846</f>
        <v>211717.05</v>
      </c>
      <c r="F216" s="1536">
        <v>0</v>
      </c>
      <c r="G216" s="128"/>
      <c r="H216" s="128"/>
      <c r="I216" s="327"/>
    </row>
    <row r="217" spans="1:12">
      <c r="A217" t="s">
        <v>158</v>
      </c>
      <c r="B217" s="2208"/>
      <c r="C217" s="73"/>
      <c r="D217" s="326"/>
      <c r="E217" s="348">
        <v>248241.81</v>
      </c>
      <c r="F217" s="1535">
        <v>17365.5</v>
      </c>
      <c r="G217" s="128"/>
      <c r="H217" s="128"/>
      <c r="I217" s="327"/>
    </row>
    <row r="218" spans="1:12" ht="30">
      <c r="A218" s="1177" t="s">
        <v>159</v>
      </c>
      <c r="B218" s="2208"/>
      <c r="C218" s="73"/>
      <c r="D218" s="326"/>
      <c r="E218" s="1537">
        <v>448805.73</v>
      </c>
      <c r="F218" s="1535">
        <f>183909.21+5443</f>
        <v>189352.21</v>
      </c>
      <c r="G218" s="128"/>
      <c r="H218" s="128"/>
      <c r="I218" s="327"/>
    </row>
    <row r="219" spans="1:12" ht="15.75" thickBot="1">
      <c r="A219" s="349"/>
      <c r="B219" s="2209"/>
      <c r="C219" s="45" t="s">
        <v>13</v>
      </c>
      <c r="D219" s="1538">
        <f>SUM(D214:D218)</f>
        <v>0</v>
      </c>
      <c r="E219" s="1538">
        <f>SUM(E214:E218)</f>
        <v>1439602.22</v>
      </c>
      <c r="F219" s="333">
        <f t="shared" ref="F219:I219" si="24">SUM(F214:F218)</f>
        <v>411654.44999999995</v>
      </c>
      <c r="G219" s="333">
        <f t="shared" si="24"/>
        <v>0</v>
      </c>
      <c r="H219" s="333">
        <f t="shared" si="24"/>
        <v>0</v>
      </c>
      <c r="I219" s="333">
        <f t="shared" si="24"/>
        <v>0</v>
      </c>
    </row>
    <row r="223" spans="1:12">
      <c r="E223" s="325"/>
    </row>
    <row r="227" spans="1:1">
      <c r="A227" s="1177"/>
    </row>
  </sheetData>
  <mergeCells count="60">
    <mergeCell ref="B189:B196"/>
    <mergeCell ref="A202:B209"/>
    <mergeCell ref="B213:B219"/>
    <mergeCell ref="B178:B185"/>
    <mergeCell ref="A187:A188"/>
    <mergeCell ref="B187:B188"/>
    <mergeCell ref="C187:C188"/>
    <mergeCell ref="D187:G187"/>
    <mergeCell ref="H187:L187"/>
    <mergeCell ref="A155:B162"/>
    <mergeCell ref="A165:B172"/>
    <mergeCell ref="A176:A177"/>
    <mergeCell ref="B176:B177"/>
    <mergeCell ref="C176:C177"/>
    <mergeCell ref="I176:O176"/>
    <mergeCell ref="C142:C143"/>
    <mergeCell ref="J142:N142"/>
    <mergeCell ref="A144:B151"/>
    <mergeCell ref="A153:A154"/>
    <mergeCell ref="B153:B154"/>
    <mergeCell ref="C153:C154"/>
    <mergeCell ref="A142:A143"/>
    <mergeCell ref="B142:B143"/>
    <mergeCell ref="A120:B127"/>
    <mergeCell ref="A129:A130"/>
    <mergeCell ref="B129:B130"/>
    <mergeCell ref="A131:A137"/>
    <mergeCell ref="B131:B13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A62:A69"/>
    <mergeCell ref="B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Y369"/>
  <sheetViews>
    <sheetView topLeftCell="E172" workbookViewId="0">
      <selection activeCell="I185" sqref="I185:O18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464</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177" customFormat="1" ht="150"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15" customHeight="1">
      <c r="A17" s="2025" t="s">
        <v>465</v>
      </c>
      <c r="B17" s="206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69"/>
      <c r="B18" s="2068"/>
      <c r="C18" s="39">
        <v>2015</v>
      </c>
      <c r="D18" s="40"/>
      <c r="E18" s="41"/>
      <c r="F18" s="41"/>
      <c r="G18" s="35">
        <f>SUM(D18:F18)</f>
        <v>0</v>
      </c>
      <c r="H18" s="42"/>
      <c r="I18" s="459"/>
      <c r="J18" s="459"/>
      <c r="K18" s="459"/>
      <c r="L18" s="459"/>
      <c r="M18" s="459"/>
      <c r="N18" s="459"/>
      <c r="O18" s="463"/>
      <c r="P18" s="38"/>
      <c r="Q18" s="38"/>
      <c r="R18" s="38"/>
      <c r="S18" s="38"/>
      <c r="T18" s="38"/>
      <c r="U18" s="38"/>
      <c r="V18" s="38"/>
      <c r="W18" s="38"/>
      <c r="X18" s="38"/>
      <c r="Y18" s="38"/>
    </row>
    <row r="19" spans="1:25">
      <c r="A19" s="2069"/>
      <c r="B19" s="2068"/>
      <c r="C19" s="39">
        <v>2016</v>
      </c>
      <c r="D19" s="1491">
        <v>26</v>
      </c>
      <c r="E19" s="1492">
        <v>12</v>
      </c>
      <c r="F19" s="1492">
        <v>7</v>
      </c>
      <c r="G19" s="35">
        <f t="shared" si="0"/>
        <v>45</v>
      </c>
      <c r="H19" s="395"/>
      <c r="I19" s="382">
        <v>17</v>
      </c>
      <c r="J19" s="382">
        <v>7</v>
      </c>
      <c r="K19" s="382">
        <v>13</v>
      </c>
      <c r="L19" s="382"/>
      <c r="M19" s="382">
        <v>6</v>
      </c>
      <c r="N19" s="382"/>
      <c r="O19" s="571">
        <v>2</v>
      </c>
      <c r="P19" s="38"/>
      <c r="Q19" s="38"/>
      <c r="R19" s="38"/>
      <c r="S19" s="38"/>
      <c r="T19" s="38"/>
      <c r="U19" s="38"/>
      <c r="V19" s="38"/>
      <c r="W19" s="38"/>
      <c r="X19" s="38"/>
      <c r="Y19" s="38"/>
    </row>
    <row r="20" spans="1:25">
      <c r="A20" s="2069"/>
      <c r="B20" s="2068"/>
      <c r="C20" s="39">
        <v>2017</v>
      </c>
      <c r="D20" s="40">
        <v>0</v>
      </c>
      <c r="E20" s="41">
        <v>1</v>
      </c>
      <c r="F20" s="41">
        <v>1</v>
      </c>
      <c r="G20" s="35">
        <f t="shared" si="0"/>
        <v>2</v>
      </c>
      <c r="H20" s="42"/>
      <c r="I20" s="1493">
        <v>2</v>
      </c>
      <c r="J20" s="1494"/>
      <c r="K20" s="1494"/>
      <c r="L20" s="1494"/>
      <c r="M20" s="1494"/>
      <c r="N20" s="1494"/>
      <c r="O20" s="1495"/>
      <c r="P20" s="38"/>
      <c r="Q20" s="38"/>
      <c r="R20" s="38"/>
      <c r="S20" s="38"/>
      <c r="T20" s="38"/>
      <c r="U20" s="38"/>
      <c r="V20" s="38"/>
      <c r="W20" s="38"/>
      <c r="X20" s="38"/>
      <c r="Y20" s="38"/>
    </row>
    <row r="21" spans="1:25">
      <c r="A21" s="2069"/>
      <c r="B21" s="2068"/>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c r="A22" s="2069"/>
      <c r="B22" s="2068"/>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c r="A23" s="2069"/>
      <c r="B23" s="2068"/>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69.599999999999994" customHeight="1" thickBot="1">
      <c r="A24" s="2070"/>
      <c r="B24" s="2071"/>
      <c r="C24" s="45" t="s">
        <v>13</v>
      </c>
      <c r="D24" s="46">
        <f>SUM(D17:D23)</f>
        <v>26</v>
      </c>
      <c r="E24" s="47">
        <f>SUM(E17:E23)</f>
        <v>13</v>
      </c>
      <c r="F24" s="47">
        <f>SUM(F17:F23)</f>
        <v>8</v>
      </c>
      <c r="G24" s="48">
        <f>SUM(D24:F24)</f>
        <v>47</v>
      </c>
      <c r="H24" s="49">
        <f>SUM(H17:H23)</f>
        <v>0</v>
      </c>
      <c r="I24" s="50">
        <f>SUM(I17:I23)</f>
        <v>19</v>
      </c>
      <c r="J24" s="50">
        <f t="shared" ref="J24:N24" si="1">SUM(J17:J23)</f>
        <v>7</v>
      </c>
      <c r="K24" s="50">
        <f t="shared" si="1"/>
        <v>13</v>
      </c>
      <c r="L24" s="50">
        <f t="shared" si="1"/>
        <v>0</v>
      </c>
      <c r="M24" s="50">
        <f t="shared" si="1"/>
        <v>6</v>
      </c>
      <c r="N24" s="50">
        <f t="shared" si="1"/>
        <v>0</v>
      </c>
      <c r="O24" s="51">
        <f>SUM(O17:O23)</f>
        <v>2</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177" customFormat="1" ht="93" customHeight="1">
      <c r="A27" s="498" t="s">
        <v>23</v>
      </c>
      <c r="B27" s="21" t="s">
        <v>8</v>
      </c>
      <c r="C27" s="55" t="s">
        <v>9</v>
      </c>
      <c r="D27" s="56" t="s">
        <v>10</v>
      </c>
      <c r="E27" s="24" t="s">
        <v>11</v>
      </c>
      <c r="F27" s="24" t="s">
        <v>12</v>
      </c>
      <c r="G27" s="57" t="s">
        <v>13</v>
      </c>
      <c r="H27" s="30"/>
      <c r="I27" s="30"/>
      <c r="J27" s="30"/>
      <c r="K27" s="30"/>
      <c r="L27" s="30"/>
      <c r="M27" s="30"/>
      <c r="N27" s="30"/>
      <c r="O27" s="30"/>
      <c r="P27" s="30"/>
      <c r="Q27" s="19"/>
    </row>
    <row r="28" spans="1:25" ht="15" customHeight="1">
      <c r="A28" s="2025" t="s">
        <v>466</v>
      </c>
      <c r="B28" s="2068"/>
      <c r="C28" s="58">
        <v>2014</v>
      </c>
      <c r="D28" s="36"/>
      <c r="E28" s="34"/>
      <c r="F28" s="34"/>
      <c r="G28" s="59">
        <f>SUM(D28:F28)</f>
        <v>0</v>
      </c>
      <c r="H28" s="38"/>
      <c r="I28" s="38"/>
      <c r="J28" s="38"/>
      <c r="K28" s="38"/>
      <c r="L28" s="38"/>
      <c r="M28" s="38"/>
      <c r="N28" s="38"/>
      <c r="O28" s="38"/>
      <c r="P28" s="38"/>
      <c r="Q28" s="8"/>
    </row>
    <row r="29" spans="1:25">
      <c r="A29" s="2069"/>
      <c r="B29" s="2068"/>
      <c r="C29" s="60">
        <v>2015</v>
      </c>
      <c r="D29" s="383"/>
      <c r="E29" s="41"/>
      <c r="F29" s="41"/>
      <c r="G29" s="59">
        <f t="shared" ref="G29:G35" si="2">SUM(D29:F29)</f>
        <v>0</v>
      </c>
      <c r="H29" s="38"/>
      <c r="I29" s="38"/>
      <c r="J29" s="38"/>
      <c r="K29" s="38"/>
      <c r="L29" s="38"/>
      <c r="M29" s="38"/>
      <c r="N29" s="38"/>
      <c r="O29" s="38"/>
      <c r="P29" s="38"/>
      <c r="Q29" s="8"/>
    </row>
    <row r="30" spans="1:25">
      <c r="A30" s="2069"/>
      <c r="B30" s="2068"/>
      <c r="C30" s="60">
        <v>2016</v>
      </c>
      <c r="D30" s="383">
        <v>13131</v>
      </c>
      <c r="E30" s="382">
        <v>123748</v>
      </c>
      <c r="F30" s="382">
        <v>90424</v>
      </c>
      <c r="G30" s="59">
        <f t="shared" si="2"/>
        <v>227303</v>
      </c>
      <c r="H30" s="38"/>
      <c r="I30" s="38"/>
      <c r="J30" s="38"/>
      <c r="K30" s="38"/>
      <c r="L30" s="38"/>
      <c r="M30" s="38"/>
      <c r="N30" s="38"/>
      <c r="O30" s="38"/>
      <c r="P30" s="38"/>
      <c r="Q30" s="8"/>
    </row>
    <row r="31" spans="1:25">
      <c r="A31" s="2069"/>
      <c r="B31" s="2068"/>
      <c r="C31" s="60">
        <v>2017</v>
      </c>
      <c r="D31" s="42">
        <v>0</v>
      </c>
      <c r="E31" s="41">
        <v>30000</v>
      </c>
      <c r="F31" s="41">
        <v>20000</v>
      </c>
      <c r="G31" s="59">
        <f t="shared" si="2"/>
        <v>50000</v>
      </c>
      <c r="H31" s="38"/>
      <c r="I31" s="38"/>
      <c r="J31" s="38"/>
      <c r="K31" s="38"/>
      <c r="L31" s="38"/>
      <c r="M31" s="38"/>
      <c r="N31" s="38"/>
      <c r="O31" s="38"/>
      <c r="P31" s="38"/>
      <c r="Q31" s="8"/>
    </row>
    <row r="32" spans="1:25">
      <c r="A32" s="2069"/>
      <c r="B32" s="2068"/>
      <c r="C32" s="60">
        <v>2018</v>
      </c>
      <c r="D32" s="42"/>
      <c r="E32" s="41"/>
      <c r="F32" s="41"/>
      <c r="G32" s="59">
        <f>SUM(D32:F32)</f>
        <v>0</v>
      </c>
      <c r="H32" s="38"/>
      <c r="I32" s="38"/>
      <c r="J32" s="38"/>
      <c r="K32" s="38"/>
      <c r="L32" s="38"/>
      <c r="M32" s="38"/>
      <c r="N32" s="38"/>
      <c r="O32" s="38"/>
      <c r="P32" s="38"/>
      <c r="Q32" s="8"/>
    </row>
    <row r="33" spans="1:17">
      <c r="A33" s="2069"/>
      <c r="B33" s="2068"/>
      <c r="C33" s="61">
        <v>2019</v>
      </c>
      <c r="D33" s="42"/>
      <c r="E33" s="41"/>
      <c r="F33" s="41"/>
      <c r="G33" s="59">
        <f t="shared" si="2"/>
        <v>0</v>
      </c>
      <c r="H33" s="38"/>
      <c r="I33" s="38"/>
      <c r="J33" s="38"/>
      <c r="K33" s="38"/>
      <c r="L33" s="38"/>
      <c r="M33" s="38"/>
      <c r="N33" s="38"/>
      <c r="O33" s="38"/>
      <c r="P33" s="38"/>
      <c r="Q33" s="8"/>
    </row>
    <row r="34" spans="1:17">
      <c r="A34" s="2069"/>
      <c r="B34" s="2068"/>
      <c r="C34" s="60">
        <v>2020</v>
      </c>
      <c r="D34" s="42"/>
      <c r="E34" s="41"/>
      <c r="F34" s="41"/>
      <c r="G34" s="59">
        <f t="shared" si="2"/>
        <v>0</v>
      </c>
      <c r="H34" s="38"/>
      <c r="I34" s="38"/>
      <c r="J34" s="38"/>
      <c r="K34" s="38"/>
      <c r="L34" s="38"/>
      <c r="M34" s="38"/>
      <c r="N34" s="38"/>
      <c r="O34" s="38"/>
      <c r="P34" s="38"/>
      <c r="Q34" s="8"/>
    </row>
    <row r="35" spans="1:17" ht="94.5" customHeight="1" thickBot="1">
      <c r="A35" s="2070"/>
      <c r="B35" s="2071"/>
      <c r="C35" s="62" t="s">
        <v>13</v>
      </c>
      <c r="D35" s="49">
        <f>SUM(D28:D34)</f>
        <v>13131</v>
      </c>
      <c r="E35" s="47">
        <f>SUM(E28:E34)</f>
        <v>153748</v>
      </c>
      <c r="F35" s="47">
        <f>SUM(F28:F34)</f>
        <v>110424</v>
      </c>
      <c r="G35" s="51">
        <f t="shared" si="2"/>
        <v>277303</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025"/>
      <c r="B40" s="2068"/>
      <c r="C40" s="73">
        <v>2014</v>
      </c>
      <c r="D40" s="33"/>
      <c r="E40" s="32"/>
      <c r="F40" s="8"/>
      <c r="G40" s="38"/>
      <c r="H40" s="38"/>
    </row>
    <row r="41" spans="1:17">
      <c r="A41" s="2069"/>
      <c r="B41" s="2068"/>
      <c r="C41" s="74">
        <v>2015</v>
      </c>
      <c r="D41" s="40"/>
      <c r="E41" s="39"/>
      <c r="F41" s="8"/>
      <c r="G41" s="38"/>
      <c r="H41" s="38"/>
    </row>
    <row r="42" spans="1:17">
      <c r="A42" s="2069"/>
      <c r="B42" s="2068"/>
      <c r="C42" s="74">
        <v>2016</v>
      </c>
      <c r="D42" s="381">
        <v>24267</v>
      </c>
      <c r="E42" s="380">
        <v>13971</v>
      </c>
      <c r="F42" s="8"/>
      <c r="G42" s="38"/>
      <c r="H42" s="38"/>
    </row>
    <row r="43" spans="1:17">
      <c r="A43" s="2069"/>
      <c r="B43" s="2068"/>
      <c r="C43" s="74">
        <v>2017</v>
      </c>
      <c r="D43" s="40">
        <v>15406</v>
      </c>
      <c r="E43" s="39">
        <v>7654</v>
      </c>
      <c r="F43" s="8"/>
      <c r="G43" s="38"/>
      <c r="H43" s="38"/>
    </row>
    <row r="44" spans="1:17">
      <c r="A44" s="2069"/>
      <c r="B44" s="2068"/>
      <c r="C44" s="74">
        <v>2018</v>
      </c>
      <c r="D44" s="40"/>
      <c r="E44" s="39"/>
      <c r="F44" s="8"/>
      <c r="G44" s="38"/>
      <c r="H44" s="38"/>
    </row>
    <row r="45" spans="1:17">
      <c r="A45" s="2069"/>
      <c r="B45" s="2068"/>
      <c r="C45" s="74">
        <v>2019</v>
      </c>
      <c r="D45" s="40"/>
      <c r="E45" s="39"/>
      <c r="F45" s="8"/>
      <c r="G45" s="38"/>
      <c r="H45" s="38"/>
    </row>
    <row r="46" spans="1:17">
      <c r="A46" s="2069"/>
      <c r="B46" s="2068"/>
      <c r="C46" s="74">
        <v>2020</v>
      </c>
      <c r="D46" s="40"/>
      <c r="E46" s="39"/>
      <c r="F46" s="8"/>
      <c r="G46" s="38"/>
      <c r="H46" s="38"/>
    </row>
    <row r="47" spans="1:17" ht="15.75" thickBot="1">
      <c r="A47" s="2070"/>
      <c r="B47" s="2071"/>
      <c r="C47" s="45" t="s">
        <v>13</v>
      </c>
      <c r="D47" s="46">
        <f>SUM(D40:D46)</f>
        <v>39673</v>
      </c>
      <c r="E47" s="76">
        <f>SUM(E40:E46)</f>
        <v>21625</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t="s">
        <v>467</v>
      </c>
      <c r="B50" s="2024"/>
      <c r="C50" s="85" t="s">
        <v>40</v>
      </c>
      <c r="D50" s="33"/>
      <c r="E50" s="34"/>
      <c r="F50" s="34"/>
      <c r="G50" s="34"/>
      <c r="H50" s="34"/>
      <c r="I50" s="34"/>
      <c r="J50" s="34"/>
      <c r="K50" s="37"/>
    </row>
    <row r="51" spans="1:15" ht="15" customHeight="1">
      <c r="A51" s="2025"/>
      <c r="B51" s="2026"/>
      <c r="C51" s="74">
        <v>2014</v>
      </c>
      <c r="D51" s="40"/>
      <c r="E51" s="41"/>
      <c r="F51" s="41"/>
      <c r="G51" s="41"/>
      <c r="H51" s="41"/>
      <c r="I51" s="41"/>
      <c r="J51" s="41"/>
      <c r="K51" s="86"/>
    </row>
    <row r="52" spans="1:15">
      <c r="A52" s="2025"/>
      <c r="B52" s="2026"/>
      <c r="C52" s="74">
        <v>2015</v>
      </c>
      <c r="D52" s="40"/>
      <c r="E52" s="41"/>
      <c r="F52" s="41"/>
      <c r="G52" s="41"/>
      <c r="H52" s="41"/>
      <c r="I52" s="41"/>
      <c r="J52" s="41"/>
      <c r="K52" s="86"/>
    </row>
    <row r="53" spans="1:15">
      <c r="A53" s="2025"/>
      <c r="B53" s="2026"/>
      <c r="C53" s="74">
        <v>2016</v>
      </c>
      <c r="D53" s="40">
        <v>1</v>
      </c>
      <c r="E53" s="41">
        <v>1</v>
      </c>
      <c r="F53" s="41"/>
      <c r="G53" s="41">
        <v>10127</v>
      </c>
      <c r="H53" s="41"/>
      <c r="I53" s="41"/>
      <c r="J53" s="41">
        <v>231</v>
      </c>
      <c r="K53" s="86"/>
    </row>
    <row r="54" spans="1:15">
      <c r="A54" s="2025"/>
      <c r="B54" s="2026"/>
      <c r="C54" s="74">
        <v>2017</v>
      </c>
      <c r="D54" s="40"/>
      <c r="E54" s="41"/>
      <c r="F54" s="41"/>
      <c r="G54" s="41"/>
      <c r="H54" s="41"/>
      <c r="I54" s="41"/>
      <c r="J54" s="41"/>
      <c r="K54" s="86"/>
    </row>
    <row r="55" spans="1:15">
      <c r="A55" s="2025"/>
      <c r="B55" s="2026"/>
      <c r="C55" s="74">
        <v>2018</v>
      </c>
      <c r="D55" s="40"/>
      <c r="E55" s="41"/>
      <c r="F55" s="41"/>
      <c r="G55" s="41"/>
      <c r="H55" s="41"/>
      <c r="I55" s="41"/>
      <c r="J55" s="41"/>
      <c r="K55" s="86"/>
    </row>
    <row r="56" spans="1:15">
      <c r="A56" s="2025"/>
      <c r="B56" s="2026"/>
      <c r="C56" s="74">
        <v>2019</v>
      </c>
      <c r="D56" s="40"/>
      <c r="E56" s="41"/>
      <c r="F56" s="41"/>
      <c r="G56" s="41"/>
      <c r="H56" s="41"/>
      <c r="I56" s="41"/>
      <c r="J56" s="41"/>
      <c r="K56" s="86"/>
    </row>
    <row r="57" spans="1:15">
      <c r="A57" s="2025"/>
      <c r="B57" s="2026"/>
      <c r="C57" s="74">
        <v>2020</v>
      </c>
      <c r="D57" s="40"/>
      <c r="E57" s="41"/>
      <c r="F57" s="41"/>
      <c r="G57" s="41"/>
      <c r="H57" s="41"/>
      <c r="I57" s="41"/>
      <c r="J57" s="41"/>
      <c r="K57" s="87"/>
    </row>
    <row r="58" spans="1:15" ht="20.25" customHeight="1" thickBot="1">
      <c r="A58" s="2027"/>
      <c r="B58" s="2028"/>
      <c r="C58" s="45" t="s">
        <v>13</v>
      </c>
      <c r="D58" s="46">
        <f>SUM(D51:D57)</f>
        <v>1</v>
      </c>
      <c r="E58" s="47">
        <f>SUM(E51:E57)</f>
        <v>1</v>
      </c>
      <c r="F58" s="47">
        <f>SUM(F51:F57)</f>
        <v>0</v>
      </c>
      <c r="G58" s="47">
        <f>SUM(G51:G57)</f>
        <v>10127</v>
      </c>
      <c r="H58" s="47">
        <f>SUM(H51:H57)</f>
        <v>0</v>
      </c>
      <c r="I58" s="47">
        <f t="shared" ref="I58" si="3">SUM(I51:I57)</f>
        <v>0</v>
      </c>
      <c r="J58" s="47">
        <f>SUM(J51:J57)</f>
        <v>231</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32.7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047" t="s">
        <v>468</v>
      </c>
      <c r="B62" s="2039"/>
      <c r="C62" s="99">
        <v>2014</v>
      </c>
      <c r="D62" s="100"/>
      <c r="E62" s="101"/>
      <c r="F62" s="102"/>
      <c r="G62" s="102"/>
      <c r="H62" s="102"/>
      <c r="I62" s="102"/>
      <c r="J62" s="102"/>
      <c r="K62" s="102"/>
      <c r="L62" s="37"/>
      <c r="M62" s="8"/>
      <c r="N62" s="8"/>
      <c r="O62" s="8"/>
    </row>
    <row r="63" spans="1:15">
      <c r="A63" s="2048"/>
      <c r="B63" s="2039"/>
      <c r="C63" s="103">
        <v>2015</v>
      </c>
      <c r="D63" s="104"/>
      <c r="E63" s="105"/>
      <c r="F63" s="41"/>
      <c r="G63" s="41"/>
      <c r="H63" s="41"/>
      <c r="I63" s="41"/>
      <c r="J63" s="41"/>
      <c r="K63" s="41"/>
      <c r="L63" s="86"/>
      <c r="M63" s="8"/>
      <c r="N63" s="8"/>
      <c r="O63" s="8"/>
    </row>
    <row r="64" spans="1:15">
      <c r="A64" s="2048"/>
      <c r="B64" s="2039"/>
      <c r="C64" s="103">
        <v>2016</v>
      </c>
      <c r="D64" s="1492">
        <f>19+35+10+2</f>
        <v>66</v>
      </c>
      <c r="E64" s="1496"/>
      <c r="F64" s="1492">
        <v>5</v>
      </c>
      <c r="G64" s="459">
        <v>5</v>
      </c>
      <c r="H64" s="459">
        <v>7</v>
      </c>
      <c r="I64" s="459"/>
      <c r="J64" s="459"/>
      <c r="K64" s="459"/>
      <c r="L64" s="1497">
        <f>2+35+10+2</f>
        <v>49</v>
      </c>
      <c r="M64" s="8"/>
      <c r="N64" s="8"/>
      <c r="O64" s="8"/>
    </row>
    <row r="65" spans="1:20">
      <c r="A65" s="2048"/>
      <c r="B65" s="2039"/>
      <c r="C65" s="103">
        <v>2017</v>
      </c>
      <c r="D65" s="104">
        <f>6+6</f>
        <v>12</v>
      </c>
      <c r="E65" s="105"/>
      <c r="F65" s="41"/>
      <c r="G65" s="41"/>
      <c r="H65" s="41"/>
      <c r="I65" s="41"/>
      <c r="J65" s="41"/>
      <c r="K65" s="41"/>
      <c r="L65" s="86">
        <f>6+6</f>
        <v>12</v>
      </c>
      <c r="M65" s="8"/>
      <c r="N65" s="8"/>
      <c r="O65" s="8"/>
    </row>
    <row r="66" spans="1:20">
      <c r="A66" s="2048"/>
      <c r="B66" s="2039"/>
      <c r="C66" s="103">
        <v>2018</v>
      </c>
      <c r="D66" s="104"/>
      <c r="E66" s="105"/>
      <c r="F66" s="41"/>
      <c r="G66" s="41"/>
      <c r="H66" s="41"/>
      <c r="I66" s="41"/>
      <c r="J66" s="41"/>
      <c r="K66" s="41"/>
      <c r="L66" s="86"/>
      <c r="M66" s="8"/>
      <c r="N66" s="8"/>
      <c r="O66" s="8"/>
    </row>
    <row r="67" spans="1:20" ht="17.25" customHeight="1">
      <c r="A67" s="2048"/>
      <c r="B67" s="2039"/>
      <c r="C67" s="103">
        <v>2019</v>
      </c>
      <c r="D67" s="104"/>
      <c r="E67" s="105"/>
      <c r="F67" s="41"/>
      <c r="G67" s="41"/>
      <c r="H67" s="41"/>
      <c r="I67" s="41"/>
      <c r="J67" s="41"/>
      <c r="K67" s="41"/>
      <c r="L67" s="86"/>
      <c r="M67" s="8"/>
      <c r="N67" s="8"/>
      <c r="O67" s="8"/>
    </row>
    <row r="68" spans="1:20" ht="16.5" customHeight="1">
      <c r="A68" s="2048"/>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78</v>
      </c>
      <c r="E69" s="108">
        <f>SUM(E62:E68)</f>
        <v>0</v>
      </c>
      <c r="F69" s="109">
        <f t="shared" ref="F69:I69" si="4">SUM(F62:F68)</f>
        <v>5</v>
      </c>
      <c r="G69" s="109">
        <f t="shared" si="4"/>
        <v>5</v>
      </c>
      <c r="H69" s="109">
        <f t="shared" si="4"/>
        <v>7</v>
      </c>
      <c r="I69" s="109">
        <f t="shared" si="4"/>
        <v>0</v>
      </c>
      <c r="J69" s="109"/>
      <c r="K69" s="109">
        <f>SUM(K62:K68)</f>
        <v>0</v>
      </c>
      <c r="L69" s="110">
        <f>SUM(L62:L68)</f>
        <v>61</v>
      </c>
      <c r="M69" s="77"/>
      <c r="N69" s="77"/>
      <c r="O69" s="77"/>
    </row>
    <row r="70" spans="1:20" ht="20.25" customHeight="1" thickBot="1">
      <c r="A70" s="111"/>
      <c r="B70" s="112"/>
      <c r="C70" s="113"/>
      <c r="D70" s="114"/>
      <c r="E70" s="114"/>
      <c r="F70" s="114"/>
      <c r="G70" s="114"/>
      <c r="H70" s="113"/>
      <c r="I70" s="115"/>
      <c r="J70" s="115"/>
      <c r="K70" s="115"/>
      <c r="L70" s="115"/>
      <c r="M70" s="115"/>
      <c r="N70" s="115"/>
      <c r="O70" s="115"/>
      <c r="P70" s="1177"/>
      <c r="Q70" s="1177"/>
      <c r="R70" s="1177"/>
      <c r="S70" s="1177"/>
      <c r="T70" s="1177"/>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025" t="s">
        <v>469</v>
      </c>
      <c r="B72" s="2039"/>
      <c r="C72" s="73">
        <v>2014</v>
      </c>
      <c r="D72" s="124"/>
      <c r="E72" s="124"/>
      <c r="F72" s="124"/>
      <c r="G72" s="125">
        <f>SUM(D72:F72)</f>
        <v>0</v>
      </c>
      <c r="H72" s="33"/>
      <c r="I72" s="126"/>
      <c r="J72" s="102"/>
      <c r="K72" s="102"/>
      <c r="L72" s="102"/>
      <c r="M72" s="102"/>
      <c r="N72" s="102"/>
      <c r="O72" s="127"/>
    </row>
    <row r="73" spans="1:20">
      <c r="A73" s="2069"/>
      <c r="B73" s="2039"/>
      <c r="C73" s="74">
        <v>2015</v>
      </c>
      <c r="D73" s="128"/>
      <c r="E73" s="128"/>
      <c r="F73" s="128"/>
      <c r="G73" s="125">
        <f t="shared" ref="G73:G78" si="5">SUM(D73:F73)</f>
        <v>0</v>
      </c>
      <c r="H73" s="40"/>
      <c r="I73" s="40"/>
      <c r="J73" s="41"/>
      <c r="K73" s="41"/>
      <c r="L73" s="41"/>
      <c r="M73" s="41"/>
      <c r="N73" s="41"/>
      <c r="O73" s="86"/>
    </row>
    <row r="74" spans="1:20">
      <c r="A74" s="2069"/>
      <c r="B74" s="2039"/>
      <c r="C74" s="74">
        <v>2016</v>
      </c>
      <c r="D74" s="128">
        <v>25</v>
      </c>
      <c r="E74" s="1498">
        <v>8</v>
      </c>
      <c r="F74" s="1499"/>
      <c r="G74" s="125">
        <f t="shared" si="5"/>
        <v>33</v>
      </c>
      <c r="H74" s="40"/>
      <c r="I74" s="381">
        <v>4</v>
      </c>
      <c r="J74" s="41">
        <v>3</v>
      </c>
      <c r="K74" s="41">
        <f>5+6</f>
        <v>11</v>
      </c>
      <c r="L74" s="41"/>
      <c r="M74" s="41"/>
      <c r="N74" s="41"/>
      <c r="O74" s="1497">
        <v>15</v>
      </c>
    </row>
    <row r="75" spans="1:20">
      <c r="A75" s="2069"/>
      <c r="B75" s="2039"/>
      <c r="C75" s="74">
        <v>2017</v>
      </c>
      <c r="D75" s="128"/>
      <c r="E75" s="128">
        <v>2</v>
      </c>
      <c r="F75" s="128"/>
      <c r="G75" s="125">
        <f t="shared" si="5"/>
        <v>2</v>
      </c>
      <c r="H75" s="40"/>
      <c r="I75" s="40">
        <v>2</v>
      </c>
      <c r="J75" s="41"/>
      <c r="K75" s="41"/>
      <c r="L75" s="41"/>
      <c r="M75" s="41"/>
      <c r="N75" s="41"/>
      <c r="O75" s="86"/>
    </row>
    <row r="76" spans="1:20">
      <c r="A76" s="2069"/>
      <c r="B76" s="2039"/>
      <c r="C76" s="74">
        <v>2018</v>
      </c>
      <c r="D76" s="128"/>
      <c r="E76" s="128"/>
      <c r="F76" s="128"/>
      <c r="G76" s="125">
        <f t="shared" si="5"/>
        <v>0</v>
      </c>
      <c r="H76" s="40"/>
      <c r="I76" s="40"/>
      <c r="J76" s="41"/>
      <c r="K76" s="41"/>
      <c r="L76" s="41"/>
      <c r="M76" s="41"/>
      <c r="N76" s="41"/>
      <c r="O76" s="86"/>
    </row>
    <row r="77" spans="1:20" ht="15.75" customHeight="1">
      <c r="A77" s="2069"/>
      <c r="B77" s="2039"/>
      <c r="C77" s="74">
        <v>2019</v>
      </c>
      <c r="D77" s="128"/>
      <c r="E77" s="128"/>
      <c r="F77" s="128"/>
      <c r="G77" s="125">
        <f t="shared" si="5"/>
        <v>0</v>
      </c>
      <c r="H77" s="40"/>
      <c r="I77" s="40"/>
      <c r="J77" s="41"/>
      <c r="K77" s="41"/>
      <c r="L77" s="41"/>
      <c r="M77" s="41"/>
      <c r="N77" s="41"/>
      <c r="O77" s="86"/>
    </row>
    <row r="78" spans="1:20" ht="17.25" customHeight="1">
      <c r="A78" s="206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25</v>
      </c>
      <c r="E79" s="107">
        <f>SUM(E72:E78)</f>
        <v>10</v>
      </c>
      <c r="F79" s="107">
        <f>SUM(F72:F78)</f>
        <v>0</v>
      </c>
      <c r="G79" s="130">
        <f>SUM(G72:G78)</f>
        <v>35</v>
      </c>
      <c r="H79" s="131">
        <v>0</v>
      </c>
      <c r="I79" s="132">
        <f t="shared" ref="I79:O79" si="6">SUM(I72:I78)</f>
        <v>6</v>
      </c>
      <c r="J79" s="109">
        <f t="shared" si="6"/>
        <v>3</v>
      </c>
      <c r="K79" s="109">
        <f t="shared" si="6"/>
        <v>11</v>
      </c>
      <c r="L79" s="109">
        <f t="shared" si="6"/>
        <v>0</v>
      </c>
      <c r="M79" s="109">
        <f t="shared" si="6"/>
        <v>0</v>
      </c>
      <c r="N79" s="109">
        <f t="shared" si="6"/>
        <v>0</v>
      </c>
      <c r="O79" s="110">
        <f t="shared" si="6"/>
        <v>15</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177" customFormat="1" ht="128.25"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040"/>
      <c r="B85" s="2039"/>
      <c r="C85" s="73">
        <v>2014</v>
      </c>
      <c r="D85" s="147"/>
      <c r="E85" s="148"/>
      <c r="F85" s="34"/>
      <c r="G85" s="34"/>
      <c r="H85" s="34"/>
      <c r="I85" s="34"/>
      <c r="J85" s="34"/>
      <c r="K85" s="37"/>
    </row>
    <row r="86" spans="1:16">
      <c r="A86" s="2040"/>
      <c r="B86" s="2039"/>
      <c r="C86" s="74">
        <v>2015</v>
      </c>
      <c r="D86" s="149"/>
      <c r="E86" s="105"/>
      <c r="F86" s="41"/>
      <c r="G86" s="41"/>
      <c r="H86" s="41"/>
      <c r="I86" s="41"/>
      <c r="J86" s="41"/>
      <c r="K86" s="86"/>
    </row>
    <row r="87" spans="1:16">
      <c r="A87" s="2040"/>
      <c r="B87" s="2039"/>
      <c r="C87" s="74">
        <v>2016</v>
      </c>
      <c r="D87" s="1500"/>
      <c r="E87" s="105"/>
      <c r="F87" s="41"/>
      <c r="G87" s="382"/>
      <c r="H87" s="382"/>
      <c r="I87" s="382"/>
      <c r="J87" s="384"/>
      <c r="K87" s="408"/>
    </row>
    <row r="88" spans="1:16">
      <c r="A88" s="2040"/>
      <c r="B88" s="2039"/>
      <c r="C88" s="74">
        <v>2017</v>
      </c>
      <c r="D88" s="149"/>
      <c r="E88" s="105"/>
      <c r="F88" s="41"/>
      <c r="G88" s="41"/>
      <c r="H88" s="41"/>
      <c r="I88" s="41"/>
      <c r="J88" s="41"/>
      <c r="K88" s="86"/>
    </row>
    <row r="89" spans="1:16">
      <c r="A89" s="2040"/>
      <c r="B89" s="2039"/>
      <c r="C89" s="74">
        <v>2018</v>
      </c>
      <c r="D89" s="149"/>
      <c r="E89" s="105"/>
      <c r="F89" s="41"/>
      <c r="G89" s="41"/>
      <c r="H89" s="41"/>
      <c r="I89" s="41"/>
      <c r="J89" s="41"/>
      <c r="K89" s="86"/>
    </row>
    <row r="90" spans="1:16">
      <c r="A90" s="2040"/>
      <c r="B90" s="2039"/>
      <c r="C90" s="74">
        <v>2019</v>
      </c>
      <c r="D90" s="149"/>
      <c r="E90" s="105"/>
      <c r="F90" s="41"/>
      <c r="G90" s="41"/>
      <c r="H90" s="41"/>
      <c r="I90" s="41"/>
      <c r="J90" s="41"/>
      <c r="K90" s="86"/>
    </row>
    <row r="91" spans="1:16">
      <c r="A91" s="2040"/>
      <c r="B91" s="2039"/>
      <c r="C91" s="74">
        <v>2020</v>
      </c>
      <c r="D91" s="149"/>
      <c r="E91" s="105"/>
      <c r="F91" s="41"/>
      <c r="G91" s="41"/>
      <c r="H91" s="41"/>
      <c r="I91" s="41"/>
      <c r="J91" s="41"/>
      <c r="K91" s="86"/>
    </row>
    <row r="92" spans="1:16" ht="18" customHeight="1" thickBot="1">
      <c r="A92" s="2041"/>
      <c r="B92" s="2042"/>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047" t="s">
        <v>470</v>
      </c>
      <c r="B98" s="2039"/>
      <c r="C98" s="99">
        <v>2014</v>
      </c>
      <c r="D98" s="33"/>
      <c r="E98" s="34"/>
      <c r="F98" s="167"/>
      <c r="G98" s="168"/>
      <c r="H98" s="168"/>
      <c r="I98" s="168"/>
      <c r="J98" s="168"/>
      <c r="K98" s="168"/>
      <c r="L98" s="168"/>
      <c r="M98" s="169"/>
      <c r="N98" s="158"/>
      <c r="O98" s="158"/>
      <c r="P98" s="158"/>
    </row>
    <row r="99" spans="1:16" ht="16.5" customHeight="1">
      <c r="A99" s="2048"/>
      <c r="B99" s="2039"/>
      <c r="C99" s="103">
        <v>2015</v>
      </c>
      <c r="D99" s="40"/>
      <c r="E99" s="41"/>
      <c r="F99" s="170"/>
      <c r="G99" s="171"/>
      <c r="H99" s="171"/>
      <c r="I99" s="171"/>
      <c r="J99" s="171"/>
      <c r="K99" s="171"/>
      <c r="L99" s="171"/>
      <c r="M99" s="172"/>
      <c r="N99" s="158"/>
      <c r="O99" s="158"/>
      <c r="P99" s="158"/>
    </row>
    <row r="100" spans="1:16" ht="16.5" customHeight="1">
      <c r="A100" s="2048"/>
      <c r="B100" s="2039"/>
      <c r="C100" s="103">
        <v>2016</v>
      </c>
      <c r="D100" s="381">
        <v>1</v>
      </c>
      <c r="E100" s="1492">
        <v>7</v>
      </c>
      <c r="F100" s="170"/>
      <c r="G100" s="171"/>
      <c r="H100" s="171"/>
      <c r="I100" s="171"/>
      <c r="J100" s="171"/>
      <c r="K100" s="171"/>
      <c r="L100" s="171"/>
      <c r="M100" s="172">
        <v>1</v>
      </c>
      <c r="N100" s="158"/>
      <c r="O100" s="158"/>
      <c r="P100" s="158"/>
    </row>
    <row r="101" spans="1:16" ht="16.5" customHeight="1">
      <c r="A101" s="2048"/>
      <c r="B101" s="2039"/>
      <c r="C101" s="103">
        <v>2017</v>
      </c>
      <c r="D101" s="40">
        <v>1</v>
      </c>
      <c r="E101" s="41">
        <v>3</v>
      </c>
      <c r="F101" s="170"/>
      <c r="G101" s="171"/>
      <c r="H101" s="171"/>
      <c r="I101" s="171"/>
      <c r="J101" s="171"/>
      <c r="K101" s="171"/>
      <c r="L101" s="171"/>
      <c r="M101" s="172">
        <v>1</v>
      </c>
      <c r="N101" s="158"/>
      <c r="O101" s="158"/>
      <c r="P101" s="158"/>
    </row>
    <row r="102" spans="1:16" ht="15.75" customHeight="1">
      <c r="A102" s="2048"/>
      <c r="B102" s="2039"/>
      <c r="C102" s="103">
        <v>2018</v>
      </c>
      <c r="D102" s="40"/>
      <c r="E102" s="41"/>
      <c r="F102" s="170"/>
      <c r="G102" s="171"/>
      <c r="H102" s="171"/>
      <c r="I102" s="171"/>
      <c r="J102" s="171"/>
      <c r="K102" s="171"/>
      <c r="L102" s="171"/>
      <c r="M102" s="172"/>
      <c r="N102" s="158"/>
      <c r="O102" s="158"/>
      <c r="P102" s="158"/>
    </row>
    <row r="103" spans="1:16" ht="14.25" customHeight="1">
      <c r="A103" s="2048"/>
      <c r="B103" s="2039"/>
      <c r="C103" s="103">
        <v>2019</v>
      </c>
      <c r="D103" s="40"/>
      <c r="E103" s="41"/>
      <c r="F103" s="170"/>
      <c r="G103" s="171"/>
      <c r="H103" s="171"/>
      <c r="I103" s="171"/>
      <c r="J103" s="171"/>
      <c r="K103" s="171"/>
      <c r="L103" s="171"/>
      <c r="M103" s="172"/>
      <c r="N103" s="158"/>
      <c r="O103" s="158"/>
      <c r="P103" s="158"/>
    </row>
    <row r="104" spans="1:16" ht="14.25" customHeight="1">
      <c r="A104" s="2048"/>
      <c r="B104" s="2039"/>
      <c r="C104" s="103">
        <v>2020</v>
      </c>
      <c r="D104" s="40"/>
      <c r="E104" s="41"/>
      <c r="F104" s="170"/>
      <c r="G104" s="171"/>
      <c r="H104" s="171"/>
      <c r="I104" s="171"/>
      <c r="J104" s="171"/>
      <c r="K104" s="171"/>
      <c r="L104" s="171"/>
      <c r="M104" s="172"/>
      <c r="N104" s="158"/>
      <c r="O104" s="158"/>
      <c r="P104" s="158"/>
    </row>
    <row r="105" spans="1:16" ht="19.5" customHeight="1" thickBot="1">
      <c r="A105" s="2049"/>
      <c r="B105" s="2042"/>
      <c r="C105" s="106" t="s">
        <v>13</v>
      </c>
      <c r="D105" s="132">
        <f>SUM(D98:D104)</f>
        <v>2</v>
      </c>
      <c r="E105" s="109">
        <f t="shared" ref="E105:K105" si="8">SUM(E98:E104)</f>
        <v>10</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047"/>
      <c r="B109" s="2039"/>
      <c r="C109" s="99">
        <v>2014</v>
      </c>
      <c r="D109" s="34"/>
      <c r="E109" s="167"/>
      <c r="F109" s="168"/>
      <c r="G109" s="168"/>
      <c r="H109" s="168"/>
      <c r="I109" s="168"/>
      <c r="J109" s="168"/>
      <c r="K109" s="168"/>
      <c r="L109" s="169"/>
      <c r="M109" s="178"/>
      <c r="N109" s="178"/>
    </row>
    <row r="110" spans="1:16">
      <c r="A110" s="2048"/>
      <c r="B110" s="2039"/>
      <c r="C110" s="103">
        <v>2015</v>
      </c>
      <c r="D110" s="41"/>
      <c r="E110" s="170"/>
      <c r="F110" s="171"/>
      <c r="G110" s="171"/>
      <c r="H110" s="171"/>
      <c r="I110" s="171"/>
      <c r="J110" s="171"/>
      <c r="K110" s="171"/>
      <c r="L110" s="172"/>
      <c r="M110" s="178"/>
      <c r="N110" s="178"/>
    </row>
    <row r="111" spans="1:16">
      <c r="A111" s="2048"/>
      <c r="B111" s="2039"/>
      <c r="C111" s="103">
        <v>2016</v>
      </c>
      <c r="D111" s="382"/>
      <c r="E111" s="407"/>
      <c r="F111" s="382"/>
      <c r="G111" s="382"/>
      <c r="H111" s="382"/>
      <c r="I111" s="382"/>
      <c r="J111" s="382"/>
      <c r="K111" s="382"/>
      <c r="L111" s="172"/>
      <c r="M111" s="178"/>
      <c r="N111" s="178"/>
    </row>
    <row r="112" spans="1:16">
      <c r="A112" s="2048"/>
      <c r="B112" s="2039"/>
      <c r="C112" s="103">
        <v>2017</v>
      </c>
      <c r="D112" s="41"/>
      <c r="E112" s="170"/>
      <c r="F112" s="171"/>
      <c r="G112" s="171"/>
      <c r="H112" s="171"/>
      <c r="I112" s="171"/>
      <c r="J112" s="171"/>
      <c r="K112" s="171"/>
      <c r="L112" s="172"/>
      <c r="M112" s="178"/>
      <c r="N112" s="178"/>
    </row>
    <row r="113" spans="1:14">
      <c r="A113" s="2048"/>
      <c r="B113" s="2039"/>
      <c r="C113" s="103">
        <v>2018</v>
      </c>
      <c r="D113" s="41"/>
      <c r="E113" s="170"/>
      <c r="F113" s="171"/>
      <c r="G113" s="171"/>
      <c r="H113" s="171"/>
      <c r="I113" s="171"/>
      <c r="J113" s="171"/>
      <c r="K113" s="171"/>
      <c r="L113" s="172"/>
      <c r="M113" s="178"/>
      <c r="N113" s="178"/>
    </row>
    <row r="114" spans="1:14">
      <c r="A114" s="2048"/>
      <c r="B114" s="2039"/>
      <c r="C114" s="103">
        <v>2019</v>
      </c>
      <c r="D114" s="41"/>
      <c r="E114" s="170"/>
      <c r="F114" s="171"/>
      <c r="G114" s="171"/>
      <c r="H114" s="171"/>
      <c r="I114" s="171"/>
      <c r="J114" s="171"/>
      <c r="K114" s="171"/>
      <c r="L114" s="172"/>
      <c r="M114" s="178"/>
      <c r="N114" s="178"/>
    </row>
    <row r="115" spans="1:14">
      <c r="A115" s="2048"/>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0</v>
      </c>
      <c r="E116" s="173">
        <f t="shared" si="9"/>
        <v>0</v>
      </c>
      <c r="F116" s="174">
        <f t="shared" si="9"/>
        <v>0</v>
      </c>
      <c r="G116" s="174">
        <f t="shared" si="9"/>
        <v>0</v>
      </c>
      <c r="H116" s="174">
        <f t="shared" si="9"/>
        <v>0</v>
      </c>
      <c r="I116" s="174">
        <f t="shared" si="9"/>
        <v>0</v>
      </c>
      <c r="J116" s="174"/>
      <c r="K116" s="174">
        <f>SUM(K109:K115)</f>
        <v>0</v>
      </c>
      <c r="L116" s="175">
        <f>SUM(L109:L115)</f>
        <v>0</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047"/>
      <c r="B120" s="2039"/>
      <c r="C120" s="99">
        <v>2014</v>
      </c>
      <c r="D120" s="34"/>
      <c r="E120" s="167"/>
      <c r="F120" s="168"/>
      <c r="G120" s="168"/>
      <c r="H120" s="168"/>
      <c r="I120" s="168"/>
      <c r="J120" s="168"/>
      <c r="K120" s="168"/>
      <c r="L120" s="169"/>
      <c r="M120" s="178"/>
      <c r="N120" s="178"/>
    </row>
    <row r="121" spans="1:14">
      <c r="A121" s="2048"/>
      <c r="B121" s="2039"/>
      <c r="C121" s="103">
        <v>2015</v>
      </c>
      <c r="D121" s="41"/>
      <c r="E121" s="170"/>
      <c r="F121" s="171"/>
      <c r="G121" s="171"/>
      <c r="H121" s="171"/>
      <c r="I121" s="171"/>
      <c r="J121" s="171"/>
      <c r="K121" s="171"/>
      <c r="L121" s="172"/>
      <c r="M121" s="178"/>
      <c r="N121" s="178"/>
    </row>
    <row r="122" spans="1:14">
      <c r="A122" s="2048"/>
      <c r="B122" s="2039"/>
      <c r="C122" s="103">
        <v>2016</v>
      </c>
      <c r="D122" s="41"/>
      <c r="E122" s="170"/>
      <c r="F122" s="171"/>
      <c r="G122" s="171"/>
      <c r="H122" s="171"/>
      <c r="I122" s="171"/>
      <c r="J122" s="171"/>
      <c r="K122" s="171"/>
      <c r="L122" s="172"/>
      <c r="M122" s="178"/>
      <c r="N122" s="178"/>
    </row>
    <row r="123" spans="1:14">
      <c r="A123" s="2048"/>
      <c r="B123" s="2039"/>
      <c r="C123" s="103">
        <v>2017</v>
      </c>
      <c r="D123" s="41"/>
      <c r="E123" s="170"/>
      <c r="F123" s="171"/>
      <c r="G123" s="171"/>
      <c r="H123" s="171"/>
      <c r="I123" s="171"/>
      <c r="J123" s="171"/>
      <c r="K123" s="171"/>
      <c r="L123" s="172"/>
      <c r="M123" s="178"/>
      <c r="N123" s="178"/>
    </row>
    <row r="124" spans="1:14">
      <c r="A124" s="2048"/>
      <c r="B124" s="2039"/>
      <c r="C124" s="103">
        <v>2018</v>
      </c>
      <c r="D124" s="41"/>
      <c r="E124" s="170"/>
      <c r="F124" s="171"/>
      <c r="G124" s="171"/>
      <c r="H124" s="171"/>
      <c r="I124" s="171"/>
      <c r="J124" s="171"/>
      <c r="K124" s="171"/>
      <c r="L124" s="172"/>
      <c r="M124" s="178"/>
      <c r="N124" s="178"/>
    </row>
    <row r="125" spans="1:14">
      <c r="A125" s="2048"/>
      <c r="B125" s="2039"/>
      <c r="C125" s="103">
        <v>2019</v>
      </c>
      <c r="D125" s="41"/>
      <c r="E125" s="170"/>
      <c r="F125" s="171"/>
      <c r="G125" s="171"/>
      <c r="H125" s="171"/>
      <c r="I125" s="171"/>
      <c r="J125" s="171"/>
      <c r="K125" s="171"/>
      <c r="L125" s="172"/>
      <c r="M125" s="178"/>
      <c r="N125" s="178"/>
    </row>
    <row r="126" spans="1:14">
      <c r="A126" s="2048"/>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174" t="s">
        <v>9</v>
      </c>
      <c r="D129" s="182" t="s">
        <v>76</v>
      </c>
      <c r="E129" s="183"/>
      <c r="F129" s="183"/>
      <c r="G129" s="184"/>
      <c r="H129" s="178"/>
      <c r="I129" s="178"/>
      <c r="J129" s="178"/>
      <c r="K129" s="178"/>
      <c r="L129" s="178"/>
      <c r="M129" s="178"/>
      <c r="N129" s="178"/>
    </row>
    <row r="130" spans="1:16" ht="77.25" customHeight="1">
      <c r="A130" s="2044"/>
      <c r="B130" s="2046"/>
      <c r="C130" s="1175"/>
      <c r="D130" s="159" t="s">
        <v>77</v>
      </c>
      <c r="E130" s="186" t="s">
        <v>78</v>
      </c>
      <c r="F130" s="160" t="s">
        <v>79</v>
      </c>
      <c r="G130" s="187" t="s">
        <v>13</v>
      </c>
      <c r="H130" s="178"/>
      <c r="I130" s="178"/>
      <c r="J130" s="178"/>
      <c r="K130" s="178"/>
      <c r="L130" s="178"/>
      <c r="M130" s="178"/>
      <c r="N130" s="178"/>
    </row>
    <row r="131" spans="1:16" ht="15" customHeight="1">
      <c r="A131" s="2025" t="s">
        <v>471</v>
      </c>
      <c r="B131" s="2068"/>
      <c r="C131" s="1501">
        <v>2015</v>
      </c>
      <c r="D131" s="1491"/>
      <c r="E131" s="1492"/>
      <c r="F131" s="1492"/>
      <c r="G131" s="191">
        <f t="shared" ref="G131:G136" si="11">SUM(D131:F131)</f>
        <v>0</v>
      </c>
      <c r="H131" s="178"/>
      <c r="I131" s="178"/>
      <c r="J131" s="178"/>
      <c r="K131" s="178"/>
      <c r="L131" s="178"/>
      <c r="M131" s="178"/>
      <c r="N131" s="178"/>
    </row>
    <row r="132" spans="1:16">
      <c r="A132" s="2069"/>
      <c r="B132" s="2068"/>
      <c r="C132" s="103">
        <v>2016</v>
      </c>
      <c r="D132" s="1491">
        <v>65</v>
      </c>
      <c r="E132" s="384"/>
      <c r="F132" s="41"/>
      <c r="G132" s="191">
        <f t="shared" si="11"/>
        <v>65</v>
      </c>
      <c r="H132" s="178"/>
      <c r="I132" s="178"/>
      <c r="J132" s="178"/>
      <c r="K132" s="178"/>
      <c r="L132" s="178"/>
      <c r="M132" s="178"/>
      <c r="N132" s="178"/>
    </row>
    <row r="133" spans="1:16">
      <c r="A133" s="2069"/>
      <c r="B133" s="2068"/>
      <c r="C133" s="103">
        <v>2017</v>
      </c>
      <c r="D133" s="40">
        <f>9+7+8</f>
        <v>24</v>
      </c>
      <c r="E133" s="41"/>
      <c r="F133" s="41"/>
      <c r="G133" s="191">
        <f t="shared" si="11"/>
        <v>24</v>
      </c>
      <c r="H133" s="178"/>
      <c r="I133" s="178"/>
      <c r="J133" s="178"/>
      <c r="K133" s="178"/>
      <c r="L133" s="178"/>
      <c r="M133" s="178"/>
      <c r="N133" s="178"/>
    </row>
    <row r="134" spans="1:16">
      <c r="A134" s="2069"/>
      <c r="B134" s="2068"/>
      <c r="C134" s="103">
        <v>2018</v>
      </c>
      <c r="D134" s="40"/>
      <c r="E134" s="41"/>
      <c r="F134" s="41"/>
      <c r="G134" s="191">
        <f t="shared" si="11"/>
        <v>0</v>
      </c>
      <c r="H134" s="178"/>
      <c r="I134" s="178"/>
      <c r="J134" s="178"/>
      <c r="K134" s="178"/>
      <c r="L134" s="178"/>
      <c r="M134" s="178"/>
      <c r="N134" s="178"/>
    </row>
    <row r="135" spans="1:16">
      <c r="A135" s="2069"/>
      <c r="B135" s="2068"/>
      <c r="C135" s="103">
        <v>2019</v>
      </c>
      <c r="D135" s="40"/>
      <c r="E135" s="41"/>
      <c r="F135" s="41"/>
      <c r="G135" s="191">
        <f t="shared" si="11"/>
        <v>0</v>
      </c>
      <c r="H135" s="178"/>
      <c r="I135" s="178"/>
      <c r="J135" s="178"/>
      <c r="K135" s="178"/>
      <c r="L135" s="178"/>
      <c r="M135" s="178"/>
      <c r="N135" s="178"/>
    </row>
    <row r="136" spans="1:16">
      <c r="A136" s="2069"/>
      <c r="B136" s="2068"/>
      <c r="C136" s="103">
        <v>2020</v>
      </c>
      <c r="D136" s="40"/>
      <c r="E136" s="41"/>
      <c r="F136" s="41"/>
      <c r="G136" s="191">
        <f t="shared" si="11"/>
        <v>0</v>
      </c>
      <c r="H136" s="178"/>
      <c r="I136" s="178"/>
      <c r="J136" s="178"/>
      <c r="K136" s="178"/>
      <c r="L136" s="178"/>
      <c r="M136" s="178"/>
      <c r="N136" s="178"/>
    </row>
    <row r="137" spans="1:16" ht="17.25" customHeight="1" thickBot="1">
      <c r="A137" s="2070"/>
      <c r="B137" s="2071"/>
      <c r="C137" s="106" t="s">
        <v>13</v>
      </c>
      <c r="D137" s="132">
        <f>SUM(D131:D136)</f>
        <v>89</v>
      </c>
      <c r="E137" s="132">
        <f t="shared" ref="E137:F137" si="12">SUM(E131:E136)</f>
        <v>0</v>
      </c>
      <c r="F137" s="132">
        <f t="shared" si="12"/>
        <v>0</v>
      </c>
      <c r="G137" s="192">
        <f>SUM(G131:G136)</f>
        <v>89</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047"/>
      <c r="B144" s="2039"/>
      <c r="C144" s="99">
        <v>2014</v>
      </c>
      <c r="D144" s="33"/>
      <c r="E144" s="33"/>
      <c r="F144" s="34"/>
      <c r="G144" s="168"/>
      <c r="H144" s="168"/>
      <c r="I144" s="210">
        <f>D144+F144+G144+H144</f>
        <v>0</v>
      </c>
      <c r="J144" s="211"/>
      <c r="K144" s="212"/>
      <c r="L144" s="211"/>
      <c r="M144" s="212"/>
      <c r="N144" s="213"/>
      <c r="O144" s="158"/>
      <c r="P144" s="158"/>
    </row>
    <row r="145" spans="1:16" ht="19.5" customHeight="1">
      <c r="A145" s="2048"/>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048"/>
      <c r="B146" s="2039"/>
      <c r="C146" s="103">
        <v>2016</v>
      </c>
      <c r="D146" s="40"/>
      <c r="E146" s="40"/>
      <c r="F146" s="41"/>
      <c r="G146" s="171"/>
      <c r="H146" s="171"/>
      <c r="I146" s="210">
        <f t="shared" si="13"/>
        <v>0</v>
      </c>
      <c r="J146" s="214"/>
      <c r="K146" s="215"/>
      <c r="L146" s="214"/>
      <c r="M146" s="215"/>
      <c r="N146" s="216"/>
      <c r="O146" s="158"/>
      <c r="P146" s="158"/>
    </row>
    <row r="147" spans="1:16" ht="17.25" customHeight="1">
      <c r="A147" s="2048"/>
      <c r="B147" s="2039"/>
      <c r="C147" s="103">
        <v>2017</v>
      </c>
      <c r="D147" s="40"/>
      <c r="E147" s="40"/>
      <c r="F147" s="41"/>
      <c r="G147" s="171"/>
      <c r="H147" s="171"/>
      <c r="I147" s="210">
        <f t="shared" si="13"/>
        <v>0</v>
      </c>
      <c r="J147" s="214"/>
      <c r="K147" s="215"/>
      <c r="L147" s="214"/>
      <c r="M147" s="215"/>
      <c r="N147" s="216"/>
      <c r="O147" s="158"/>
      <c r="P147" s="158"/>
    </row>
    <row r="148" spans="1:16" ht="19.5" customHeight="1">
      <c r="A148" s="2048"/>
      <c r="B148" s="2039"/>
      <c r="C148" s="103">
        <v>2018</v>
      </c>
      <c r="D148" s="40"/>
      <c r="E148" s="40"/>
      <c r="F148" s="41"/>
      <c r="G148" s="171"/>
      <c r="H148" s="171"/>
      <c r="I148" s="210">
        <f t="shared" si="13"/>
        <v>0</v>
      </c>
      <c r="J148" s="214"/>
      <c r="K148" s="215"/>
      <c r="L148" s="214"/>
      <c r="M148" s="215"/>
      <c r="N148" s="216"/>
      <c r="O148" s="158"/>
      <c r="P148" s="158"/>
    </row>
    <row r="149" spans="1:16" ht="19.5" customHeight="1">
      <c r="A149" s="2048"/>
      <c r="B149" s="2039"/>
      <c r="C149" s="103">
        <v>2019</v>
      </c>
      <c r="D149" s="40"/>
      <c r="E149" s="40"/>
      <c r="F149" s="41"/>
      <c r="G149" s="171"/>
      <c r="H149" s="171"/>
      <c r="I149" s="210">
        <f t="shared" si="13"/>
        <v>0</v>
      </c>
      <c r="J149" s="214"/>
      <c r="K149" s="215"/>
      <c r="L149" s="214"/>
      <c r="M149" s="215"/>
      <c r="N149" s="216"/>
      <c r="O149" s="158"/>
      <c r="P149" s="158"/>
    </row>
    <row r="150" spans="1:16" ht="18.75" customHeight="1">
      <c r="A150" s="2048"/>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1177"/>
      <c r="L153" s="1177"/>
      <c r="M153" s="1177"/>
      <c r="N153" s="1177"/>
      <c r="O153" s="158"/>
      <c r="P153" s="158"/>
    </row>
    <row r="154" spans="1:16" ht="49.5" customHeight="1">
      <c r="A154" s="2080"/>
      <c r="B154" s="2075"/>
      <c r="C154" s="2082"/>
      <c r="D154" s="225" t="s">
        <v>97</v>
      </c>
      <c r="E154" s="226" t="s">
        <v>98</v>
      </c>
      <c r="F154" s="227" t="s">
        <v>99</v>
      </c>
      <c r="G154" s="228" t="s">
        <v>100</v>
      </c>
      <c r="H154" s="225" t="s">
        <v>101</v>
      </c>
      <c r="I154" s="226" t="s">
        <v>102</v>
      </c>
      <c r="J154" s="229" t="s">
        <v>93</v>
      </c>
      <c r="K154" s="1177"/>
      <c r="L154" s="1177"/>
      <c r="M154" s="1177"/>
      <c r="N154" s="1177"/>
      <c r="O154" s="158"/>
      <c r="P154" s="158"/>
    </row>
    <row r="155" spans="1:16" ht="18.75" customHeight="1">
      <c r="A155" s="2047"/>
      <c r="B155" s="2039"/>
      <c r="C155" s="230">
        <v>2014</v>
      </c>
      <c r="D155" s="211"/>
      <c r="E155" s="168"/>
      <c r="F155" s="212"/>
      <c r="G155" s="210">
        <f>SUM(D155:F155)</f>
        <v>0</v>
      </c>
      <c r="H155" s="211"/>
      <c r="I155" s="168"/>
      <c r="J155" s="169"/>
      <c r="O155" s="158"/>
      <c r="P155" s="158"/>
    </row>
    <row r="156" spans="1:16" ht="19.5" customHeight="1">
      <c r="A156" s="2048"/>
      <c r="B156" s="2039"/>
      <c r="C156" s="231">
        <v>2015</v>
      </c>
      <c r="D156" s="214"/>
      <c r="E156" s="171"/>
      <c r="F156" s="215"/>
      <c r="G156" s="210">
        <f t="shared" ref="G156:G161" si="15">SUM(D156:F156)</f>
        <v>0</v>
      </c>
      <c r="H156" s="214"/>
      <c r="I156" s="171"/>
      <c r="J156" s="172"/>
      <c r="O156" s="158"/>
      <c r="P156" s="158"/>
    </row>
    <row r="157" spans="1:16" ht="17.25" customHeight="1">
      <c r="A157" s="2048"/>
      <c r="B157" s="2039"/>
      <c r="C157" s="231">
        <v>2016</v>
      </c>
      <c r="D157" s="214"/>
      <c r="E157" s="171"/>
      <c r="F157" s="215"/>
      <c r="G157" s="210">
        <f t="shared" si="15"/>
        <v>0</v>
      </c>
      <c r="H157" s="214"/>
      <c r="I157" s="171"/>
      <c r="J157" s="172"/>
      <c r="O157" s="158"/>
      <c r="P157" s="158"/>
    </row>
    <row r="158" spans="1:16" ht="15" customHeight="1">
      <c r="A158" s="2048"/>
      <c r="B158" s="2039"/>
      <c r="C158" s="231">
        <v>2017</v>
      </c>
      <c r="D158" s="214"/>
      <c r="E158" s="171"/>
      <c r="F158" s="215"/>
      <c r="G158" s="210">
        <f t="shared" si="15"/>
        <v>0</v>
      </c>
      <c r="H158" s="214"/>
      <c r="I158" s="171"/>
      <c r="J158" s="172"/>
      <c r="O158" s="158"/>
      <c r="P158" s="158"/>
    </row>
    <row r="159" spans="1:16" ht="19.5" customHeight="1">
      <c r="A159" s="2048"/>
      <c r="B159" s="2039"/>
      <c r="C159" s="231">
        <v>2018</v>
      </c>
      <c r="D159" s="214"/>
      <c r="E159" s="171"/>
      <c r="F159" s="215"/>
      <c r="G159" s="210">
        <f t="shared" si="15"/>
        <v>0</v>
      </c>
      <c r="H159" s="214"/>
      <c r="I159" s="171"/>
      <c r="J159" s="172"/>
      <c r="O159" s="158"/>
      <c r="P159" s="158"/>
    </row>
    <row r="160" spans="1:16" ht="15" customHeight="1">
      <c r="A160" s="2048"/>
      <c r="B160" s="2039"/>
      <c r="C160" s="231">
        <v>2019</v>
      </c>
      <c r="D160" s="214"/>
      <c r="E160" s="171"/>
      <c r="F160" s="215"/>
      <c r="G160" s="210">
        <f t="shared" si="15"/>
        <v>0</v>
      </c>
      <c r="H160" s="214"/>
      <c r="I160" s="171"/>
      <c r="J160" s="172"/>
      <c r="O160" s="158"/>
      <c r="P160" s="158"/>
    </row>
    <row r="161" spans="1:18" ht="17.25" customHeight="1">
      <c r="A161" s="2048"/>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522"/>
    </row>
    <row r="165" spans="1:18" ht="15.75" customHeight="1">
      <c r="A165" s="2094"/>
      <c r="B165" s="2024"/>
      <c r="C165" s="248">
        <v>2014</v>
      </c>
      <c r="D165" s="168"/>
      <c r="E165" s="168"/>
      <c r="F165" s="168"/>
      <c r="G165" s="168"/>
      <c r="H165" s="168"/>
      <c r="I165" s="169"/>
      <c r="J165" s="476">
        <f>SUM(D165,F165,H165)</f>
        <v>0</v>
      </c>
      <c r="K165" s="250">
        <f>SUM(E165,G165,I165)</f>
        <v>0</v>
      </c>
      <c r="L165" s="522"/>
    </row>
    <row r="166" spans="1:18">
      <c r="A166" s="2095"/>
      <c r="B166" s="2026"/>
      <c r="C166" s="251">
        <v>2015</v>
      </c>
      <c r="D166" s="252"/>
      <c r="E166" s="252"/>
      <c r="F166" s="252"/>
      <c r="G166" s="252"/>
      <c r="H166" s="252"/>
      <c r="I166" s="253"/>
      <c r="J166" s="477">
        <f t="shared" ref="J166:K171" si="17">SUM(D166,F166,H166)</f>
        <v>0</v>
      </c>
      <c r="K166" s="255">
        <f t="shared" si="17"/>
        <v>0</v>
      </c>
      <c r="L166" s="522"/>
    </row>
    <row r="167" spans="1:18">
      <c r="A167" s="2095"/>
      <c r="B167" s="2026"/>
      <c r="C167" s="251">
        <v>2016</v>
      </c>
      <c r="D167" s="252"/>
      <c r="E167" s="252"/>
      <c r="F167" s="252"/>
      <c r="G167" s="252"/>
      <c r="H167" s="252"/>
      <c r="I167" s="253"/>
      <c r="J167" s="477">
        <f t="shared" si="17"/>
        <v>0</v>
      </c>
      <c r="K167" s="255">
        <f t="shared" si="17"/>
        <v>0</v>
      </c>
    </row>
    <row r="168" spans="1:18">
      <c r="A168" s="2095"/>
      <c r="B168" s="2026"/>
      <c r="C168" s="251">
        <v>2017</v>
      </c>
      <c r="D168" s="252"/>
      <c r="E168" s="158"/>
      <c r="F168" s="252"/>
      <c r="G168" s="252"/>
      <c r="H168" s="252"/>
      <c r="I168" s="253"/>
      <c r="J168" s="477">
        <f t="shared" si="17"/>
        <v>0</v>
      </c>
      <c r="K168" s="255">
        <f t="shared" si="17"/>
        <v>0</v>
      </c>
    </row>
    <row r="169" spans="1:18">
      <c r="A169" s="2095"/>
      <c r="B169" s="2026"/>
      <c r="C169" s="256">
        <v>2018</v>
      </c>
      <c r="D169" s="252"/>
      <c r="E169" s="252"/>
      <c r="F169" s="252"/>
      <c r="G169" s="257"/>
      <c r="H169" s="252"/>
      <c r="I169" s="253"/>
      <c r="J169" s="477">
        <f t="shared" si="17"/>
        <v>0</v>
      </c>
      <c r="K169" s="255">
        <f t="shared" si="17"/>
        <v>0</v>
      </c>
      <c r="L169" s="522"/>
    </row>
    <row r="170" spans="1:18">
      <c r="A170" s="2095"/>
      <c r="B170" s="2026"/>
      <c r="C170" s="251">
        <v>2019</v>
      </c>
      <c r="D170" s="158"/>
      <c r="E170" s="252"/>
      <c r="F170" s="252"/>
      <c r="G170" s="252"/>
      <c r="H170" s="257"/>
      <c r="I170" s="253"/>
      <c r="J170" s="477">
        <f t="shared" si="17"/>
        <v>0</v>
      </c>
      <c r="K170" s="255">
        <f t="shared" si="17"/>
        <v>0</v>
      </c>
      <c r="L170" s="522"/>
    </row>
    <row r="171" spans="1:18">
      <c r="A171" s="2095"/>
      <c r="B171" s="2026"/>
      <c r="C171" s="256">
        <v>2020</v>
      </c>
      <c r="D171" s="252"/>
      <c r="E171" s="252"/>
      <c r="F171" s="252"/>
      <c r="G171" s="252"/>
      <c r="H171" s="252"/>
      <c r="I171" s="253"/>
      <c r="J171" s="477">
        <f t="shared" si="17"/>
        <v>0</v>
      </c>
      <c r="K171" s="255">
        <f t="shared" si="17"/>
        <v>0</v>
      </c>
      <c r="L171" s="522"/>
    </row>
    <row r="172" spans="1:18" ht="41.25" customHeight="1" thickBot="1">
      <c r="A172" s="2096"/>
      <c r="B172" s="2028"/>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522"/>
    </row>
    <row r="173" spans="1:18" s="66" customFormat="1" ht="26.2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21.75" thickBot="1">
      <c r="A175" s="266"/>
      <c r="B175" s="266"/>
    </row>
    <row r="176" spans="1:18" s="1177"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177"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5" customHeight="1">
      <c r="A178" s="2047" t="s">
        <v>472</v>
      </c>
      <c r="B178" s="2039"/>
      <c r="C178" s="99">
        <v>2014</v>
      </c>
      <c r="D178" s="33"/>
      <c r="E178" s="34"/>
      <c r="F178" s="34"/>
      <c r="G178" s="278">
        <f>SUM(D178:F178)</f>
        <v>0</v>
      </c>
      <c r="H178" s="148"/>
      <c r="I178" s="148"/>
      <c r="J178" s="34"/>
      <c r="K178" s="34"/>
      <c r="L178" s="34"/>
      <c r="M178" s="34"/>
      <c r="N178" s="34"/>
      <c r="O178" s="37"/>
    </row>
    <row r="179" spans="1:15">
      <c r="A179" s="2048"/>
      <c r="B179" s="2039"/>
      <c r="C179" s="103">
        <v>2015</v>
      </c>
      <c r="D179" s="40"/>
      <c r="E179" s="41"/>
      <c r="F179" s="41"/>
      <c r="G179" s="278">
        <f t="shared" ref="G179:G184" si="19">SUM(D179:F179)</f>
        <v>0</v>
      </c>
      <c r="H179" s="591"/>
      <c r="I179" s="407"/>
      <c r="J179" s="382"/>
      <c r="K179" s="382"/>
      <c r="L179" s="382"/>
      <c r="M179" s="382"/>
      <c r="N179" s="384"/>
      <c r="O179" s="406"/>
    </row>
    <row r="180" spans="1:15">
      <c r="A180" s="2048"/>
      <c r="B180" s="2039"/>
      <c r="C180" s="103">
        <v>2016</v>
      </c>
      <c r="D180" s="381">
        <v>16</v>
      </c>
      <c r="E180" s="382">
        <v>6</v>
      </c>
      <c r="F180" s="41">
        <v>1</v>
      </c>
      <c r="G180" s="278">
        <f t="shared" si="19"/>
        <v>23</v>
      </c>
      <c r="H180" s="591">
        <f>26+56</f>
        <v>82</v>
      </c>
      <c r="I180" s="1496"/>
      <c r="J180" s="1492">
        <v>5</v>
      </c>
      <c r="K180" s="1492">
        <v>4</v>
      </c>
      <c r="L180" s="1492">
        <f>3+4</f>
        <v>7</v>
      </c>
      <c r="M180" s="1492">
        <v>6</v>
      </c>
      <c r="N180" s="382"/>
      <c r="O180" s="408">
        <v>1</v>
      </c>
    </row>
    <row r="181" spans="1:15">
      <c r="A181" s="2048"/>
      <c r="B181" s="2039"/>
      <c r="C181" s="103">
        <v>2017</v>
      </c>
      <c r="D181" s="40">
        <v>3</v>
      </c>
      <c r="E181" s="41"/>
      <c r="F181" s="41"/>
      <c r="G181" s="278">
        <f t="shared" si="19"/>
        <v>3</v>
      </c>
      <c r="H181" s="279">
        <v>3</v>
      </c>
      <c r="I181" s="105"/>
      <c r="J181" s="382">
        <v>2</v>
      </c>
      <c r="K181" s="384"/>
      <c r="L181" s="384"/>
      <c r="M181" s="382">
        <v>1</v>
      </c>
      <c r="N181" s="41"/>
      <c r="O181" s="86"/>
    </row>
    <row r="182" spans="1:15">
      <c r="A182" s="2048"/>
      <c r="B182" s="2039"/>
      <c r="C182" s="103">
        <v>2018</v>
      </c>
      <c r="D182" s="40"/>
      <c r="E182" s="41"/>
      <c r="F182" s="41"/>
      <c r="G182" s="278">
        <f t="shared" si="19"/>
        <v>0</v>
      </c>
      <c r="H182" s="279"/>
      <c r="I182" s="105"/>
      <c r="J182" s="41"/>
      <c r="K182" s="41"/>
      <c r="L182" s="41"/>
      <c r="M182" s="41"/>
      <c r="N182" s="41"/>
      <c r="O182" s="86"/>
    </row>
    <row r="183" spans="1:15">
      <c r="A183" s="2048"/>
      <c r="B183" s="2039"/>
      <c r="C183" s="103">
        <v>2019</v>
      </c>
      <c r="D183" s="40"/>
      <c r="E183" s="41"/>
      <c r="F183" s="41"/>
      <c r="G183" s="278">
        <f t="shared" si="19"/>
        <v>0</v>
      </c>
      <c r="H183" s="279"/>
      <c r="I183" s="105"/>
      <c r="J183" s="41"/>
      <c r="K183" s="41"/>
      <c r="L183" s="41"/>
      <c r="M183" s="41"/>
      <c r="N183" s="41"/>
      <c r="O183" s="86"/>
    </row>
    <row r="184" spans="1:15">
      <c r="A184" s="2048"/>
      <c r="B184" s="2039"/>
      <c r="C184" s="103">
        <v>2020</v>
      </c>
      <c r="D184" s="40"/>
      <c r="E184" s="41"/>
      <c r="F184" s="41"/>
      <c r="G184" s="278">
        <f t="shared" si="19"/>
        <v>0</v>
      </c>
      <c r="H184" s="279"/>
      <c r="I184" s="105"/>
      <c r="J184" s="41"/>
      <c r="K184" s="41"/>
      <c r="L184" s="41"/>
      <c r="M184" s="41"/>
      <c r="N184" s="41"/>
      <c r="O184" s="86"/>
    </row>
    <row r="185" spans="1:15" ht="45" customHeight="1" thickBot="1">
      <c r="A185" s="2067"/>
      <c r="B185" s="2042"/>
      <c r="C185" s="106" t="s">
        <v>13</v>
      </c>
      <c r="D185" s="132">
        <f>SUM(D178:D184)</f>
        <v>19</v>
      </c>
      <c r="E185" s="109">
        <f>SUM(E178:E184)</f>
        <v>6</v>
      </c>
      <c r="F185" s="109">
        <f>SUM(F178:F184)</f>
        <v>1</v>
      </c>
      <c r="G185" s="217">
        <f t="shared" ref="G185:O185" si="20">SUM(G178:G184)</f>
        <v>26</v>
      </c>
      <c r="H185" s="280">
        <f t="shared" si="20"/>
        <v>85</v>
      </c>
      <c r="I185" s="108">
        <f t="shared" si="20"/>
        <v>0</v>
      </c>
      <c r="J185" s="109">
        <f t="shared" si="20"/>
        <v>7</v>
      </c>
      <c r="K185" s="109">
        <f t="shared" si="20"/>
        <v>4</v>
      </c>
      <c r="L185" s="109">
        <f t="shared" si="20"/>
        <v>7</v>
      </c>
      <c r="M185" s="109">
        <f t="shared" si="20"/>
        <v>7</v>
      </c>
      <c r="N185" s="109">
        <f t="shared" si="20"/>
        <v>0</v>
      </c>
      <c r="O185" s="110">
        <f t="shared" si="20"/>
        <v>1</v>
      </c>
    </row>
    <row r="186" spans="1:15" ht="33"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023" t="s">
        <v>473</v>
      </c>
      <c r="B189" s="2213"/>
      <c r="C189" s="285">
        <v>2014</v>
      </c>
      <c r="D189" s="126"/>
      <c r="E189" s="102"/>
      <c r="F189" s="102"/>
      <c r="G189" s="286">
        <f>SUM(D189:F189)</f>
        <v>0</v>
      </c>
      <c r="H189" s="101"/>
      <c r="I189" s="102"/>
      <c r="J189" s="102"/>
      <c r="K189" s="102"/>
      <c r="L189" s="127"/>
    </row>
    <row r="190" spans="1:15">
      <c r="A190" s="2025"/>
      <c r="B190" s="2214"/>
      <c r="C190" s="74">
        <v>2015</v>
      </c>
      <c r="D190" s="40"/>
      <c r="E190" s="41"/>
      <c r="F190" s="459"/>
      <c r="G190" s="286">
        <f t="shared" ref="G190:G195" si="21">SUM(D190:F190)</f>
        <v>0</v>
      </c>
      <c r="H190" s="105"/>
      <c r="I190" s="41"/>
      <c r="J190" s="41"/>
      <c r="K190" s="41"/>
      <c r="L190" s="86"/>
    </row>
    <row r="191" spans="1:15">
      <c r="A191" s="2025"/>
      <c r="B191" s="2214"/>
      <c r="C191" s="74">
        <v>2016</v>
      </c>
      <c r="D191" s="1491">
        <v>2980</v>
      </c>
      <c r="E191" s="1492">
        <v>161</v>
      </c>
      <c r="F191" s="459">
        <v>258</v>
      </c>
      <c r="G191" s="286">
        <f t="shared" si="21"/>
        <v>3399</v>
      </c>
      <c r="H191" s="105"/>
      <c r="I191" s="382">
        <v>226</v>
      </c>
      <c r="J191" s="382"/>
      <c r="K191" s="382"/>
      <c r="L191" s="408">
        <v>3173</v>
      </c>
    </row>
    <row r="192" spans="1:15">
      <c r="A192" s="2025"/>
      <c r="B192" s="2214"/>
      <c r="C192" s="74">
        <v>2017</v>
      </c>
      <c r="D192" s="1502">
        <f>64+60+60</f>
        <v>184</v>
      </c>
      <c r="E192" s="41"/>
      <c r="F192" s="41"/>
      <c r="G192" s="286">
        <f t="shared" si="21"/>
        <v>184</v>
      </c>
      <c r="H192" s="105"/>
      <c r="I192" s="41">
        <v>56</v>
      </c>
      <c r="J192" s="41"/>
      <c r="K192" s="41"/>
      <c r="L192" s="86">
        <v>128</v>
      </c>
    </row>
    <row r="193" spans="1:14">
      <c r="A193" s="2025"/>
      <c r="B193" s="2214"/>
      <c r="C193" s="74">
        <v>2018</v>
      </c>
      <c r="D193" s="40"/>
      <c r="E193" s="41"/>
      <c r="F193" s="41"/>
      <c r="G193" s="286">
        <f t="shared" si="21"/>
        <v>0</v>
      </c>
      <c r="H193" s="105"/>
      <c r="I193" s="41"/>
      <c r="J193" s="41"/>
      <c r="K193" s="41"/>
      <c r="L193" s="86"/>
    </row>
    <row r="194" spans="1:14">
      <c r="A194" s="2025"/>
      <c r="B194" s="2214"/>
      <c r="C194" s="74">
        <v>2019</v>
      </c>
      <c r="D194" s="40"/>
      <c r="E194" s="41"/>
      <c r="F194" s="41"/>
      <c r="G194" s="286">
        <f t="shared" si="21"/>
        <v>0</v>
      </c>
      <c r="H194" s="105"/>
      <c r="I194" s="41"/>
      <c r="J194" s="41"/>
      <c r="K194" s="41"/>
      <c r="L194" s="86"/>
    </row>
    <row r="195" spans="1:14">
      <c r="A195" s="2025"/>
      <c r="B195" s="2214"/>
      <c r="C195" s="74">
        <v>2020</v>
      </c>
      <c r="D195" s="40"/>
      <c r="E195" s="41"/>
      <c r="F195" s="41"/>
      <c r="G195" s="286">
        <f t="shared" si="21"/>
        <v>0</v>
      </c>
      <c r="H195" s="105"/>
      <c r="I195" s="41"/>
      <c r="J195" s="41"/>
      <c r="K195" s="41"/>
      <c r="L195" s="86"/>
    </row>
    <row r="196" spans="1:14" ht="15.75" thickBot="1">
      <c r="A196" s="2027"/>
      <c r="B196" s="2215"/>
      <c r="C196" s="129" t="s">
        <v>13</v>
      </c>
      <c r="D196" s="132">
        <f t="shared" ref="D196:L196" si="22">SUM(D189:D195)</f>
        <v>3164</v>
      </c>
      <c r="E196" s="109">
        <f t="shared" si="22"/>
        <v>161</v>
      </c>
      <c r="F196" s="109">
        <f t="shared" si="22"/>
        <v>258</v>
      </c>
      <c r="G196" s="290">
        <f t="shared" si="22"/>
        <v>3583</v>
      </c>
      <c r="H196" s="108">
        <f t="shared" si="22"/>
        <v>0</v>
      </c>
      <c r="I196" s="109">
        <f t="shared" si="22"/>
        <v>282</v>
      </c>
      <c r="J196" s="109">
        <f t="shared" si="22"/>
        <v>0</v>
      </c>
      <c r="K196" s="109">
        <f t="shared" si="22"/>
        <v>0</v>
      </c>
      <c r="L196" s="110">
        <f t="shared" si="22"/>
        <v>3301</v>
      </c>
    </row>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177"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069"/>
      <c r="B202" s="2068"/>
      <c r="C202" s="73">
        <v>2014</v>
      </c>
      <c r="D202" s="33"/>
      <c r="E202" s="34"/>
      <c r="F202" s="34"/>
      <c r="G202" s="32"/>
      <c r="H202" s="303"/>
      <c r="I202" s="304"/>
      <c r="J202" s="305"/>
      <c r="K202" s="34"/>
      <c r="L202" s="37"/>
    </row>
    <row r="203" spans="1:14">
      <c r="A203" s="2069"/>
      <c r="B203" s="2068"/>
      <c r="C203" s="74">
        <v>2015</v>
      </c>
      <c r="D203" s="40"/>
      <c r="E203" s="41"/>
      <c r="F203" s="41"/>
      <c r="G203" s="39"/>
      <c r="H203" s="306"/>
      <c r="I203" s="307"/>
      <c r="J203" s="308"/>
      <c r="K203" s="41"/>
      <c r="L203" s="86"/>
    </row>
    <row r="204" spans="1:14">
      <c r="A204" s="2069"/>
      <c r="B204" s="2068"/>
      <c r="C204" s="74">
        <v>2016</v>
      </c>
      <c r="D204" s="40"/>
      <c r="E204" s="41"/>
      <c r="F204" s="41"/>
      <c r="G204" s="39"/>
      <c r="H204" s="306"/>
      <c r="I204" s="307"/>
      <c r="J204" s="308">
        <v>1</v>
      </c>
      <c r="K204" s="41">
        <v>15</v>
      </c>
      <c r="L204" s="86"/>
    </row>
    <row r="205" spans="1:14">
      <c r="A205" s="2069"/>
      <c r="B205" s="2068"/>
      <c r="C205" s="74">
        <v>2017</v>
      </c>
      <c r="D205" s="40"/>
      <c r="E205" s="41"/>
      <c r="F205" s="41"/>
      <c r="G205" s="39"/>
      <c r="H205" s="306"/>
      <c r="I205" s="307"/>
      <c r="J205" s="308"/>
      <c r="K205" s="41"/>
      <c r="L205" s="86"/>
    </row>
    <row r="206" spans="1:14">
      <c r="A206" s="2069"/>
      <c r="B206" s="2068"/>
      <c r="C206" s="74">
        <v>2018</v>
      </c>
      <c r="D206" s="40"/>
      <c r="E206" s="41"/>
      <c r="F206" s="41"/>
      <c r="G206" s="39"/>
      <c r="H206" s="306"/>
      <c r="I206" s="307"/>
      <c r="J206" s="308"/>
      <c r="K206" s="41"/>
      <c r="L206" s="86"/>
    </row>
    <row r="207" spans="1:14">
      <c r="A207" s="2069"/>
      <c r="B207" s="2068"/>
      <c r="C207" s="74">
        <v>2019</v>
      </c>
      <c r="D207" s="40"/>
      <c r="E207" s="41"/>
      <c r="F207" s="41"/>
      <c r="G207" s="39"/>
      <c r="H207" s="306"/>
      <c r="I207" s="307"/>
      <c r="J207" s="308"/>
      <c r="K207" s="41"/>
      <c r="L207" s="86"/>
    </row>
    <row r="208" spans="1:14">
      <c r="A208" s="206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1</v>
      </c>
      <c r="K209" s="132">
        <f t="shared" si="23"/>
        <v>15</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15" customHeight="1">
      <c r="A213" t="s">
        <v>150</v>
      </c>
      <c r="B213" s="2177" t="s">
        <v>474</v>
      </c>
      <c r="C213" s="73"/>
      <c r="D213" s="560"/>
      <c r="E213" s="1503">
        <f>E214+E215+E216+E217</f>
        <v>2199221.87</v>
      </c>
      <c r="F213" s="326">
        <f>F214+F215+F216+F217</f>
        <v>71993.8</v>
      </c>
      <c r="G213" s="128"/>
      <c r="H213" s="128"/>
      <c r="I213" s="327"/>
    </row>
    <row r="214" spans="1:12">
      <c r="A214" t="s">
        <v>153</v>
      </c>
      <c r="B214" s="2171"/>
      <c r="C214" s="73"/>
      <c r="D214" s="326"/>
      <c r="E214" s="560">
        <f>574560.64+366670.8</f>
        <v>941231.44</v>
      </c>
      <c r="F214" s="326">
        <f>29893.52+20000</f>
        <v>49893.520000000004</v>
      </c>
      <c r="G214" s="128"/>
      <c r="H214" s="128"/>
      <c r="I214" s="327"/>
    </row>
    <row r="215" spans="1:12">
      <c r="A215" t="s">
        <v>155</v>
      </c>
      <c r="B215" s="2171"/>
      <c r="C215" s="73"/>
      <c r="E215" s="1504">
        <v>0</v>
      </c>
      <c r="F215" s="326">
        <v>0</v>
      </c>
      <c r="G215" s="128"/>
      <c r="H215" s="128"/>
      <c r="I215" s="327"/>
    </row>
    <row r="216" spans="1:12">
      <c r="A216" t="s">
        <v>157</v>
      </c>
      <c r="B216" s="2171"/>
      <c r="C216" s="73"/>
      <c r="D216" s="326"/>
      <c r="E216" s="560">
        <v>692052.78</v>
      </c>
      <c r="F216" s="326">
        <v>5884.36</v>
      </c>
      <c r="G216" s="128"/>
      <c r="H216" s="128"/>
      <c r="I216" s="327"/>
    </row>
    <row r="217" spans="1:12">
      <c r="A217" t="s">
        <v>158</v>
      </c>
      <c r="B217" s="2171"/>
      <c r="C217" s="73"/>
      <c r="D217" s="1505"/>
      <c r="E217" s="1504">
        <v>565937.65</v>
      </c>
      <c r="F217" s="326">
        <f>5539.92+6300+2156+2220</f>
        <v>16215.92</v>
      </c>
      <c r="G217" s="128"/>
      <c r="H217" s="128"/>
      <c r="I217" s="327"/>
    </row>
    <row r="218" spans="1:12" ht="30">
      <c r="A218" s="1177" t="s">
        <v>159</v>
      </c>
      <c r="B218" s="2171"/>
      <c r="C218" s="73"/>
      <c r="D218" s="326"/>
      <c r="E218" s="1504">
        <f>788329.52-4428</f>
        <v>783901.52</v>
      </c>
      <c r="F218" s="326">
        <f>309807.33+220+32060.22</f>
        <v>342087.55000000005</v>
      </c>
      <c r="G218" s="128"/>
      <c r="H218" s="128"/>
      <c r="I218" s="327"/>
    </row>
    <row r="219" spans="1:12" ht="192.75" customHeight="1" thickBot="1">
      <c r="A219" s="349"/>
      <c r="B219" s="2172"/>
      <c r="C219" s="45" t="s">
        <v>13</v>
      </c>
      <c r="D219" s="331">
        <f>D214+D215+D216+D217+D218</f>
        <v>0</v>
      </c>
      <c r="E219" s="331">
        <f>E214+E215+E216+E217+E218</f>
        <v>2983123.39</v>
      </c>
      <c r="F219" s="331">
        <f t="shared" ref="F219:I219" si="24">SUM(F214:F218)</f>
        <v>414081.35000000003</v>
      </c>
      <c r="G219" s="333">
        <f t="shared" si="24"/>
        <v>0</v>
      </c>
      <c r="H219" s="333">
        <f t="shared" si="24"/>
        <v>0</v>
      </c>
      <c r="I219" s="62">
        <f t="shared" si="24"/>
        <v>0</v>
      </c>
      <c r="J219" s="522"/>
    </row>
    <row r="220" spans="1:12">
      <c r="A220" s="1506" t="s">
        <v>475</v>
      </c>
    </row>
    <row r="221" spans="1:12" ht="11.25" customHeight="1"/>
    <row r="222" spans="1:12" hidden="1"/>
    <row r="223" spans="1:12" hidden="1"/>
    <row r="224" spans="1:12" hidden="1"/>
    <row r="225" spans="1:1" hidden="1"/>
    <row r="226" spans="1:1" hidden="1"/>
    <row r="227" spans="1:1" hidden="1">
      <c r="A227" s="1177"/>
    </row>
    <row r="228" spans="1:1" hidden="1"/>
    <row r="229" spans="1:1" hidden="1"/>
    <row r="230" spans="1:1" hidden="1"/>
    <row r="231" spans="1:1" hidden="1"/>
    <row r="233" spans="1:1" ht="14.25" customHeight="1"/>
    <row r="234" spans="1:1" hidden="1"/>
    <row r="235" spans="1:1" hidden="1"/>
    <row r="236" spans="1:1" hidden="1"/>
    <row r="237" spans="1:1" hidden="1"/>
    <row r="238" spans="1:1" hidden="1"/>
    <row r="239" spans="1:1" hidden="1"/>
    <row r="240" spans="1:1" hidden="1"/>
    <row r="241" hidden="1"/>
    <row r="243" hidden="1"/>
    <row r="244" hidden="1"/>
    <row r="245" hidden="1"/>
    <row r="246" hidden="1"/>
    <row r="247" hidden="1"/>
    <row r="248" hidden="1"/>
    <row r="249" hidden="1"/>
    <row r="345" ht="11.25" customHeight="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Y231"/>
  <sheetViews>
    <sheetView topLeftCell="F172" workbookViewId="0">
      <selection activeCell="I185" sqref="I185:O18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995" t="s">
        <v>454</v>
      </c>
      <c r="C1" s="1996"/>
      <c r="D1" s="1996"/>
      <c r="E1" s="1996"/>
      <c r="F1" s="1996"/>
    </row>
    <row r="2" spans="1:25" s="2" customFormat="1" ht="20.100000000000001" customHeight="1" thickBot="1"/>
    <row r="3" spans="1:25" s="5" customFormat="1" ht="20.100000000000001" customHeight="1">
      <c r="A3" s="354" t="s">
        <v>2</v>
      </c>
      <c r="B3" s="355"/>
      <c r="C3" s="355"/>
      <c r="D3" s="355"/>
      <c r="E3" s="355"/>
      <c r="F3" s="1997"/>
      <c r="G3" s="1997"/>
      <c r="H3" s="1997"/>
      <c r="I3" s="1997"/>
      <c r="J3" s="1997"/>
      <c r="K3" s="1997"/>
      <c r="L3" s="1997"/>
      <c r="M3" s="1997"/>
      <c r="N3" s="1997"/>
      <c r="O3" s="1998"/>
    </row>
    <row r="4" spans="1:25" s="5" customFormat="1" ht="20.100000000000001" customHeight="1">
      <c r="A4" s="1999" t="s">
        <v>3</v>
      </c>
      <c r="B4" s="2000"/>
      <c r="C4" s="2000"/>
      <c r="D4" s="2000"/>
      <c r="E4" s="2000"/>
      <c r="F4" s="2000"/>
      <c r="G4" s="2000"/>
      <c r="H4" s="2000"/>
      <c r="I4" s="2000"/>
      <c r="J4" s="2000"/>
      <c r="K4" s="2000"/>
      <c r="L4" s="2000"/>
      <c r="M4" s="2000"/>
      <c r="N4" s="2000"/>
      <c r="O4" s="2001"/>
    </row>
    <row r="5" spans="1:25" s="5" customFormat="1" ht="20.100000000000001" customHeight="1">
      <c r="A5" s="1999"/>
      <c r="B5" s="2000"/>
      <c r="C5" s="2000"/>
      <c r="D5" s="2000"/>
      <c r="E5" s="2000"/>
      <c r="F5" s="2000"/>
      <c r="G5" s="2000"/>
      <c r="H5" s="2000"/>
      <c r="I5" s="2000"/>
      <c r="J5" s="2000"/>
      <c r="K5" s="2000"/>
      <c r="L5" s="2000"/>
      <c r="M5" s="2000"/>
      <c r="N5" s="2000"/>
      <c r="O5" s="2001"/>
      <c r="P5" s="5" t="s">
        <v>209</v>
      </c>
    </row>
    <row r="6" spans="1:25" s="5" customFormat="1" ht="20.100000000000001" customHeight="1">
      <c r="A6" s="1999"/>
      <c r="B6" s="2000"/>
      <c r="C6" s="2000"/>
      <c r="D6" s="2000"/>
      <c r="E6" s="2000"/>
      <c r="F6" s="2000"/>
      <c r="G6" s="2000"/>
      <c r="H6" s="2000"/>
      <c r="I6" s="2000"/>
      <c r="J6" s="2000"/>
      <c r="K6" s="2000"/>
      <c r="L6" s="2000"/>
      <c r="M6" s="2000"/>
      <c r="N6" s="2000"/>
      <c r="O6" s="2001"/>
    </row>
    <row r="7" spans="1:25" s="5" customFormat="1" ht="20.100000000000001" customHeight="1">
      <c r="A7" s="1999"/>
      <c r="B7" s="2000"/>
      <c r="C7" s="2000"/>
      <c r="D7" s="2000"/>
      <c r="E7" s="2000"/>
      <c r="F7" s="2000"/>
      <c r="G7" s="2000"/>
      <c r="H7" s="2000"/>
      <c r="I7" s="2000"/>
      <c r="J7" s="2000"/>
      <c r="K7" s="2000"/>
      <c r="L7" s="2000"/>
      <c r="M7" s="2000"/>
      <c r="N7" s="2000"/>
      <c r="O7" s="2001"/>
    </row>
    <row r="8" spans="1:25" s="5" customFormat="1" ht="20.100000000000001" customHeight="1">
      <c r="A8" s="1999"/>
      <c r="B8" s="2000"/>
      <c r="C8" s="2000"/>
      <c r="D8" s="2000"/>
      <c r="E8" s="2000"/>
      <c r="F8" s="2000"/>
      <c r="G8" s="2000"/>
      <c r="H8" s="2000"/>
      <c r="I8" s="2000"/>
      <c r="J8" s="2000"/>
      <c r="K8" s="2000"/>
      <c r="L8" s="2000"/>
      <c r="M8" s="2000"/>
      <c r="N8" s="2000"/>
      <c r="O8" s="2001"/>
    </row>
    <row r="9" spans="1:25" s="5" customFormat="1" ht="20.100000000000001" customHeight="1">
      <c r="A9" s="1999"/>
      <c r="B9" s="2000"/>
      <c r="C9" s="2000"/>
      <c r="D9" s="2000"/>
      <c r="E9" s="2000"/>
      <c r="F9" s="2000"/>
      <c r="G9" s="2000"/>
      <c r="H9" s="2000"/>
      <c r="I9" s="2000"/>
      <c r="J9" s="2000"/>
      <c r="K9" s="2000"/>
      <c r="L9" s="2000"/>
      <c r="M9" s="2000"/>
      <c r="N9" s="2000"/>
      <c r="O9" s="2001"/>
    </row>
    <row r="10" spans="1:25" s="5" customFormat="1" ht="87" customHeight="1" thickBot="1">
      <c r="A10" s="2002"/>
      <c r="B10" s="2003"/>
      <c r="C10" s="2003"/>
      <c r="D10" s="2003"/>
      <c r="E10" s="2003"/>
      <c r="F10" s="2003"/>
      <c r="G10" s="2003"/>
      <c r="H10" s="2003"/>
      <c r="I10" s="2003"/>
      <c r="J10" s="2003"/>
      <c r="K10" s="2003"/>
      <c r="L10" s="2003"/>
      <c r="M10" s="2003"/>
      <c r="N10" s="2003"/>
      <c r="O10" s="2004"/>
    </row>
    <row r="11" spans="1:25" s="2" customFormat="1" ht="20.100000000000001" customHeight="1"/>
    <row r="13" spans="1:25" ht="21">
      <c r="A13" s="6" t="s">
        <v>4</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356"/>
      <c r="B15" s="357"/>
      <c r="C15" s="11"/>
      <c r="D15" s="2112" t="s">
        <v>5</v>
      </c>
      <c r="E15" s="2113"/>
      <c r="F15" s="2113"/>
      <c r="G15" s="2113"/>
      <c r="H15" s="12"/>
      <c r="I15" s="13" t="s">
        <v>6</v>
      </c>
      <c r="J15" s="14"/>
      <c r="K15" s="14"/>
      <c r="L15" s="14"/>
      <c r="M15" s="14"/>
      <c r="N15" s="14"/>
      <c r="O15" s="15"/>
      <c r="P15" s="16"/>
      <c r="Q15" s="17"/>
      <c r="R15" s="18"/>
      <c r="S15" s="18"/>
      <c r="T15" s="18"/>
      <c r="U15" s="18"/>
      <c r="V15" s="18"/>
      <c r="W15" s="16"/>
      <c r="X15" s="16"/>
      <c r="Y15" s="17"/>
    </row>
    <row r="16" spans="1:25" s="1177" customFormat="1" ht="129" customHeight="1">
      <c r="A16" s="334" t="s">
        <v>7</v>
      </c>
      <c r="B16" s="21" t="s">
        <v>8</v>
      </c>
      <c r="C16" s="22" t="s">
        <v>9</v>
      </c>
      <c r="D16" s="23" t="s">
        <v>10</v>
      </c>
      <c r="E16" s="24" t="s">
        <v>11</v>
      </c>
      <c r="F16" s="24" t="s">
        <v>12</v>
      </c>
      <c r="G16" s="25" t="s">
        <v>13</v>
      </c>
      <c r="H16" s="26" t="s">
        <v>14</v>
      </c>
      <c r="I16" s="27" t="s">
        <v>15</v>
      </c>
      <c r="J16" s="27" t="s">
        <v>16</v>
      </c>
      <c r="K16" s="27" t="s">
        <v>17</v>
      </c>
      <c r="L16" s="27" t="s">
        <v>18</v>
      </c>
      <c r="M16" s="28" t="s">
        <v>19</v>
      </c>
      <c r="N16" s="27" t="s">
        <v>20</v>
      </c>
      <c r="O16" s="29" t="s">
        <v>21</v>
      </c>
      <c r="P16" s="30"/>
      <c r="Q16" s="30"/>
      <c r="R16" s="30"/>
      <c r="S16" s="30"/>
      <c r="T16" s="30"/>
      <c r="U16" s="30"/>
      <c r="V16" s="30"/>
      <c r="W16" s="30"/>
      <c r="X16" s="30"/>
      <c r="Y16" s="30"/>
    </row>
    <row r="17" spans="1:25" ht="21.75" customHeight="1">
      <c r="A17" s="2216" t="s">
        <v>455</v>
      </c>
      <c r="B17" s="2217"/>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ht="23.25" customHeight="1">
      <c r="A18" s="2218"/>
      <c r="B18" s="2217"/>
      <c r="C18" s="39">
        <v>2015</v>
      </c>
      <c r="D18" s="40"/>
      <c r="E18" s="41"/>
      <c r="F18" s="41"/>
      <c r="G18" s="35">
        <f>SUM(D18:F18)</f>
        <v>0</v>
      </c>
      <c r="H18" s="42"/>
      <c r="I18" s="41"/>
      <c r="J18" s="41"/>
      <c r="K18" s="41"/>
      <c r="L18" s="41"/>
      <c r="M18" s="41"/>
      <c r="N18" s="41"/>
      <c r="O18" s="43"/>
      <c r="P18" s="38"/>
      <c r="Q18" s="38"/>
      <c r="R18" s="38"/>
      <c r="S18" s="38"/>
      <c r="T18" s="38"/>
      <c r="U18" s="38"/>
      <c r="V18" s="38"/>
      <c r="W18" s="38"/>
      <c r="X18" s="38"/>
      <c r="Y18" s="38"/>
    </row>
    <row r="19" spans="1:25" ht="22.5" customHeight="1">
      <c r="A19" s="2218"/>
      <c r="B19" s="2217"/>
      <c r="C19" s="39">
        <v>2016</v>
      </c>
      <c r="D19" s="40">
        <v>40</v>
      </c>
      <c r="E19" s="41">
        <v>3</v>
      </c>
      <c r="F19" s="41">
        <v>12</v>
      </c>
      <c r="G19" s="35">
        <f t="shared" si="0"/>
        <v>55</v>
      </c>
      <c r="H19" s="42"/>
      <c r="I19" s="41">
        <v>2</v>
      </c>
      <c r="J19" s="41">
        <v>3</v>
      </c>
      <c r="K19" s="41">
        <v>42</v>
      </c>
      <c r="L19" s="41">
        <v>5</v>
      </c>
      <c r="M19" s="41"/>
      <c r="N19" s="41"/>
      <c r="O19" s="43">
        <v>3</v>
      </c>
      <c r="P19" s="38"/>
      <c r="Q19" s="38"/>
      <c r="R19" s="38"/>
      <c r="S19" s="38"/>
      <c r="T19" s="38"/>
      <c r="U19" s="38"/>
      <c r="V19" s="38"/>
      <c r="W19" s="38"/>
      <c r="X19" s="38"/>
      <c r="Y19" s="38"/>
    </row>
    <row r="20" spans="1:25" ht="22.5" customHeight="1">
      <c r="A20" s="2218"/>
      <c r="B20" s="2217"/>
      <c r="C20" s="39">
        <v>2017</v>
      </c>
      <c r="D20" s="40">
        <v>8</v>
      </c>
      <c r="E20" s="41"/>
      <c r="F20" s="41">
        <v>4</v>
      </c>
      <c r="G20" s="35">
        <f t="shared" si="0"/>
        <v>12</v>
      </c>
      <c r="H20" s="42"/>
      <c r="I20" s="41"/>
      <c r="J20" s="41"/>
      <c r="K20" s="41">
        <v>8</v>
      </c>
      <c r="L20" s="41">
        <v>2</v>
      </c>
      <c r="M20" s="41"/>
      <c r="N20" s="41"/>
      <c r="O20" s="43">
        <v>2</v>
      </c>
      <c r="P20" s="38"/>
      <c r="Q20" s="38"/>
      <c r="R20" s="38"/>
      <c r="S20" s="38"/>
      <c r="T20" s="38"/>
      <c r="U20" s="38"/>
      <c r="V20" s="38"/>
      <c r="W20" s="38"/>
      <c r="X20" s="38"/>
      <c r="Y20" s="38"/>
    </row>
    <row r="21" spans="1:25" ht="24.75" customHeight="1">
      <c r="A21" s="2218"/>
      <c r="B21" s="2217"/>
      <c r="C21" s="39">
        <v>2018</v>
      </c>
      <c r="D21" s="40"/>
      <c r="E21" s="41"/>
      <c r="F21" s="41"/>
      <c r="G21" s="35">
        <f t="shared" si="0"/>
        <v>0</v>
      </c>
      <c r="H21" s="42"/>
      <c r="I21" s="41"/>
      <c r="J21" s="41"/>
      <c r="K21" s="41"/>
      <c r="L21" s="41"/>
      <c r="M21" s="41"/>
      <c r="N21" s="41"/>
      <c r="O21" s="43"/>
      <c r="P21" s="38"/>
      <c r="Q21" s="38"/>
      <c r="R21" s="38"/>
      <c r="S21" s="38"/>
      <c r="T21" s="38"/>
      <c r="U21" s="38"/>
      <c r="V21" s="38"/>
      <c r="W21" s="38"/>
      <c r="X21" s="38"/>
      <c r="Y21" s="38"/>
    </row>
    <row r="22" spans="1:25" ht="25.5" customHeight="1">
      <c r="A22" s="2218"/>
      <c r="B22" s="2217"/>
      <c r="C22" s="44">
        <v>2019</v>
      </c>
      <c r="D22" s="40"/>
      <c r="E22" s="41"/>
      <c r="F22" s="41"/>
      <c r="G22" s="35">
        <f>SUM(D22:F22)</f>
        <v>0</v>
      </c>
      <c r="H22" s="42"/>
      <c r="I22" s="41"/>
      <c r="J22" s="41"/>
      <c r="K22" s="41"/>
      <c r="L22" s="41"/>
      <c r="M22" s="41"/>
      <c r="N22" s="41"/>
      <c r="O22" s="43"/>
      <c r="P22" s="38"/>
      <c r="Q22" s="38"/>
      <c r="R22" s="38"/>
      <c r="S22" s="38"/>
      <c r="T22" s="38"/>
      <c r="U22" s="38"/>
      <c r="V22" s="38"/>
      <c r="W22" s="38"/>
      <c r="X22" s="38"/>
      <c r="Y22" s="38"/>
    </row>
    <row r="23" spans="1:25" ht="36.75" customHeight="1">
      <c r="A23" s="2218"/>
      <c r="B23" s="2217"/>
      <c r="C23" s="39">
        <v>2020</v>
      </c>
      <c r="D23" s="40"/>
      <c r="E23" s="41"/>
      <c r="F23" s="41"/>
      <c r="G23" s="35">
        <f t="shared" si="0"/>
        <v>0</v>
      </c>
      <c r="H23" s="42"/>
      <c r="I23" s="41"/>
      <c r="J23" s="41"/>
      <c r="K23" s="41"/>
      <c r="L23" s="41"/>
      <c r="M23" s="41"/>
      <c r="N23" s="41"/>
      <c r="O23" s="43"/>
      <c r="P23" s="38"/>
      <c r="Q23" s="38"/>
      <c r="R23" s="38"/>
      <c r="S23" s="38"/>
      <c r="T23" s="38"/>
      <c r="U23" s="38"/>
      <c r="V23" s="38"/>
      <c r="W23" s="38"/>
      <c r="X23" s="38"/>
      <c r="Y23" s="38"/>
    </row>
    <row r="24" spans="1:25" ht="193.5" customHeight="1" thickBot="1">
      <c r="A24" s="2219"/>
      <c r="B24" s="2220"/>
      <c r="C24" s="45" t="s">
        <v>13</v>
      </c>
      <c r="D24" s="46">
        <f>SUM(D17:D23)</f>
        <v>48</v>
      </c>
      <c r="E24" s="47">
        <f>SUM(E17:E23)</f>
        <v>3</v>
      </c>
      <c r="F24" s="47">
        <f>SUM(F17:F23)</f>
        <v>16</v>
      </c>
      <c r="G24" s="48">
        <f>SUM(D24:F24)</f>
        <v>67</v>
      </c>
      <c r="H24" s="49">
        <f>SUM(H17:H23)</f>
        <v>0</v>
      </c>
      <c r="I24" s="50">
        <f>SUM(I17:I23)</f>
        <v>2</v>
      </c>
      <c r="J24" s="50">
        <f t="shared" ref="J24:N24" si="1">SUM(J17:J23)</f>
        <v>3</v>
      </c>
      <c r="K24" s="50">
        <f t="shared" si="1"/>
        <v>50</v>
      </c>
      <c r="L24" s="50">
        <f t="shared" si="1"/>
        <v>7</v>
      </c>
      <c r="M24" s="50">
        <f t="shared" si="1"/>
        <v>0</v>
      </c>
      <c r="N24" s="50">
        <f t="shared" si="1"/>
        <v>0</v>
      </c>
      <c r="O24" s="51">
        <f>SUM(O17:O23)</f>
        <v>5</v>
      </c>
      <c r="P24" s="38"/>
      <c r="Q24" s="38"/>
      <c r="R24" s="38"/>
      <c r="S24" s="38"/>
      <c r="T24" s="38"/>
      <c r="U24" s="38"/>
      <c r="V24" s="38"/>
      <c r="W24" s="38"/>
      <c r="X24" s="38"/>
      <c r="Y24" s="38"/>
    </row>
    <row r="25" spans="1:25" ht="15.75" thickBot="1">
      <c r="C25" s="52"/>
      <c r="H25" s="8"/>
      <c r="I25" s="8"/>
      <c r="J25" s="8"/>
      <c r="K25" s="8"/>
      <c r="L25" s="8"/>
      <c r="M25" s="8"/>
      <c r="N25" s="8"/>
      <c r="O25" s="8"/>
      <c r="P25" s="8"/>
      <c r="Q25" s="8"/>
    </row>
    <row r="26" spans="1:25" s="19" customFormat="1" ht="30.75" customHeight="1">
      <c r="A26" s="356"/>
      <c r="B26" s="357"/>
      <c r="C26" s="53"/>
      <c r="D26" s="2011" t="s">
        <v>5</v>
      </c>
      <c r="E26" s="2012"/>
      <c r="F26" s="2012"/>
      <c r="G26" s="2013"/>
      <c r="H26" s="16"/>
      <c r="I26" s="17"/>
      <c r="J26" s="18"/>
      <c r="K26" s="18"/>
      <c r="L26" s="18"/>
      <c r="M26" s="18"/>
      <c r="N26" s="18"/>
      <c r="O26" s="16"/>
      <c r="P26" s="16"/>
    </row>
    <row r="27" spans="1:25" s="1177" customFormat="1" ht="93" customHeight="1">
      <c r="A27" s="470" t="s">
        <v>23</v>
      </c>
      <c r="B27" s="21" t="s">
        <v>8</v>
      </c>
      <c r="C27" s="55" t="s">
        <v>9</v>
      </c>
      <c r="D27" s="56" t="s">
        <v>10</v>
      </c>
      <c r="E27" s="24" t="s">
        <v>11</v>
      </c>
      <c r="F27" s="24" t="s">
        <v>12</v>
      </c>
      <c r="G27" s="57" t="s">
        <v>13</v>
      </c>
      <c r="H27" s="30"/>
      <c r="I27" s="30"/>
      <c r="J27" s="30"/>
      <c r="K27" s="30"/>
      <c r="L27" s="30"/>
      <c r="M27" s="30"/>
      <c r="N27" s="30"/>
      <c r="O27" s="30"/>
      <c r="P27" s="30"/>
      <c r="Q27" s="19"/>
    </row>
    <row r="28" spans="1:25" ht="23.25" customHeight="1">
      <c r="A28" s="2221" t="s">
        <v>456</v>
      </c>
      <c r="B28" s="2217"/>
      <c r="C28" s="58">
        <v>2014</v>
      </c>
      <c r="D28" s="36"/>
      <c r="E28" s="34"/>
      <c r="F28" s="34"/>
      <c r="G28" s="59">
        <f>SUM(D28:F28)</f>
        <v>0</v>
      </c>
      <c r="H28" s="38"/>
      <c r="I28" s="38"/>
      <c r="J28" s="38"/>
      <c r="K28" s="38"/>
      <c r="L28" s="38"/>
      <c r="M28" s="38"/>
      <c r="N28" s="38"/>
      <c r="O28" s="38"/>
      <c r="P28" s="38"/>
      <c r="Q28" s="8"/>
    </row>
    <row r="29" spans="1:25" ht="27" customHeight="1">
      <c r="A29" s="2222"/>
      <c r="B29" s="2217"/>
      <c r="C29" s="60">
        <v>2015</v>
      </c>
      <c r="D29" s="335"/>
      <c r="E29" s="1482"/>
      <c r="F29" s="1482"/>
      <c r="G29" s="336">
        <f t="shared" ref="G29:G35" si="2">SUM(D29:F29)</f>
        <v>0</v>
      </c>
      <c r="H29" s="38"/>
      <c r="I29" s="38"/>
      <c r="J29" s="38"/>
      <c r="K29" s="38"/>
      <c r="L29" s="38"/>
      <c r="M29" s="38"/>
      <c r="N29" s="38"/>
      <c r="O29" s="38"/>
      <c r="P29" s="38"/>
      <c r="Q29" s="8"/>
    </row>
    <row r="30" spans="1:25" ht="24.75" customHeight="1">
      <c r="A30" s="2222"/>
      <c r="B30" s="2217"/>
      <c r="C30" s="60">
        <v>2016</v>
      </c>
      <c r="D30" s="335">
        <v>18369</v>
      </c>
      <c r="E30" s="1482">
        <v>4850</v>
      </c>
      <c r="F30" s="1482">
        <v>365500</v>
      </c>
      <c r="G30" s="336">
        <f t="shared" si="2"/>
        <v>388719</v>
      </c>
      <c r="H30" s="38"/>
      <c r="I30" s="38"/>
      <c r="J30" s="38"/>
      <c r="K30" s="38"/>
      <c r="L30" s="38"/>
      <c r="M30" s="38"/>
      <c r="N30" s="38"/>
      <c r="O30" s="38"/>
      <c r="P30" s="38"/>
      <c r="Q30" s="8"/>
    </row>
    <row r="31" spans="1:25" ht="24" customHeight="1">
      <c r="A31" s="2222"/>
      <c r="B31" s="2217"/>
      <c r="C31" s="60">
        <v>2017</v>
      </c>
      <c r="D31" s="335">
        <v>10071</v>
      </c>
      <c r="E31" s="1482"/>
      <c r="F31" s="1483">
        <v>120800</v>
      </c>
      <c r="G31" s="336">
        <f t="shared" si="2"/>
        <v>130871</v>
      </c>
      <c r="H31" s="38"/>
      <c r="I31" s="38"/>
      <c r="J31" s="38"/>
      <c r="K31" s="38"/>
      <c r="L31" s="38"/>
      <c r="M31" s="38"/>
      <c r="N31" s="38"/>
      <c r="O31" s="38"/>
      <c r="P31" s="38"/>
      <c r="Q31" s="8"/>
    </row>
    <row r="32" spans="1:25" ht="26.25" customHeight="1">
      <c r="A32" s="2222"/>
      <c r="B32" s="2217"/>
      <c r="C32" s="60">
        <v>2018</v>
      </c>
      <c r="D32" s="335"/>
      <c r="E32" s="1482"/>
      <c r="F32" s="1482"/>
      <c r="G32" s="336">
        <f>SUM(D32:F32)</f>
        <v>0</v>
      </c>
      <c r="H32" s="38"/>
      <c r="I32" s="38"/>
      <c r="J32" s="38"/>
      <c r="K32" s="38"/>
      <c r="L32" s="38"/>
      <c r="M32" s="38"/>
      <c r="N32" s="38"/>
      <c r="O32" s="38"/>
      <c r="P32" s="38"/>
      <c r="Q32" s="8"/>
    </row>
    <row r="33" spans="1:17" ht="29.25" customHeight="1">
      <c r="A33" s="2222"/>
      <c r="B33" s="2217"/>
      <c r="C33" s="61">
        <v>2019</v>
      </c>
      <c r="D33" s="335"/>
      <c r="E33" s="1482"/>
      <c r="F33" s="1482"/>
      <c r="G33" s="336">
        <f t="shared" si="2"/>
        <v>0</v>
      </c>
      <c r="H33" s="38"/>
      <c r="I33" s="38"/>
      <c r="J33" s="38"/>
      <c r="K33" s="38"/>
      <c r="L33" s="38"/>
      <c r="M33" s="38"/>
      <c r="N33" s="38"/>
      <c r="O33" s="38"/>
      <c r="P33" s="38"/>
      <c r="Q33" s="8"/>
    </row>
    <row r="34" spans="1:17" ht="27" customHeight="1">
      <c r="A34" s="2222"/>
      <c r="B34" s="2217"/>
      <c r="C34" s="60">
        <v>2020</v>
      </c>
      <c r="D34" s="335"/>
      <c r="E34" s="1482"/>
      <c r="F34" s="1482"/>
      <c r="G34" s="336">
        <f t="shared" si="2"/>
        <v>0</v>
      </c>
      <c r="H34" s="38"/>
      <c r="I34" s="38"/>
      <c r="J34" s="38"/>
      <c r="K34" s="38"/>
      <c r="L34" s="38"/>
      <c r="M34" s="38"/>
      <c r="N34" s="38"/>
      <c r="O34" s="38"/>
      <c r="P34" s="38"/>
      <c r="Q34" s="8"/>
    </row>
    <row r="35" spans="1:17" ht="127.5" customHeight="1" thickBot="1">
      <c r="A35" s="2219"/>
      <c r="B35" s="2220"/>
      <c r="C35" s="62" t="s">
        <v>13</v>
      </c>
      <c r="D35" s="337">
        <f>SUM(D28:D34)</f>
        <v>28440</v>
      </c>
      <c r="E35" s="338">
        <f>SUM(E28:E34)</f>
        <v>4850</v>
      </c>
      <c r="F35" s="338">
        <f>SUM(F28:F34)</f>
        <v>486300</v>
      </c>
      <c r="G35" s="339">
        <f t="shared" si="2"/>
        <v>519590</v>
      </c>
      <c r="H35" s="38"/>
      <c r="I35" s="38"/>
      <c r="J35" s="38"/>
      <c r="K35" s="38"/>
      <c r="L35" s="38"/>
      <c r="M35" s="38"/>
      <c r="N35" s="38"/>
      <c r="O35" s="38"/>
      <c r="P35" s="38"/>
      <c r="Q35" s="8"/>
    </row>
    <row r="36" spans="1:17">
      <c r="A36" s="63"/>
      <c r="B36" s="63"/>
      <c r="C36" s="52"/>
      <c r="H36" s="8"/>
      <c r="I36" s="8"/>
      <c r="J36" s="8"/>
      <c r="K36" s="8"/>
      <c r="L36" s="8"/>
      <c r="M36" s="8"/>
      <c r="N36" s="8"/>
      <c r="O36" s="8"/>
      <c r="P36" s="8"/>
      <c r="Q36" s="8"/>
    </row>
    <row r="37" spans="1:17" ht="21" customHeight="1">
      <c r="A37" s="64" t="s">
        <v>25</v>
      </c>
      <c r="B37" s="64"/>
      <c r="C37" s="65"/>
      <c r="D37" s="65"/>
      <c r="E37" s="65"/>
      <c r="F37" s="38"/>
      <c r="G37" s="38"/>
      <c r="H37" s="38"/>
      <c r="I37" s="66"/>
      <c r="J37" s="66"/>
      <c r="K37" s="66"/>
    </row>
    <row r="38" spans="1:17" ht="12.75" customHeight="1" thickBot="1">
      <c r="G38" s="38"/>
      <c r="H38" s="38"/>
    </row>
    <row r="39" spans="1:17" ht="88.5" customHeight="1">
      <c r="A39" s="358" t="s">
        <v>26</v>
      </c>
      <c r="B39" s="359" t="s">
        <v>8</v>
      </c>
      <c r="C39" s="69" t="s">
        <v>9</v>
      </c>
      <c r="D39" s="70" t="s">
        <v>27</v>
      </c>
      <c r="E39" s="71" t="s">
        <v>28</v>
      </c>
      <c r="F39" s="72"/>
      <c r="G39" s="30"/>
      <c r="H39" s="30"/>
    </row>
    <row r="40" spans="1:17">
      <c r="A40" s="2223" t="s">
        <v>457</v>
      </c>
      <c r="B40" s="2224"/>
      <c r="C40" s="73">
        <v>2014</v>
      </c>
      <c r="D40" s="33"/>
      <c r="E40" s="32"/>
      <c r="F40" s="8"/>
      <c r="G40" s="38"/>
      <c r="H40" s="38"/>
    </row>
    <row r="41" spans="1:17">
      <c r="A41" s="2225"/>
      <c r="B41" s="2224"/>
      <c r="C41" s="74">
        <v>2015</v>
      </c>
      <c r="D41" s="434"/>
      <c r="E41" s="589"/>
      <c r="F41" s="8"/>
      <c r="G41" s="38"/>
      <c r="H41" s="38"/>
    </row>
    <row r="42" spans="1:17">
      <c r="A42" s="2225"/>
      <c r="B42" s="2224"/>
      <c r="C42" s="74">
        <v>2016</v>
      </c>
      <c r="D42" s="434">
        <v>9724</v>
      </c>
      <c r="E42" s="589">
        <v>2646</v>
      </c>
      <c r="F42" s="8"/>
      <c r="G42" s="38"/>
      <c r="H42" s="38"/>
    </row>
    <row r="43" spans="1:17">
      <c r="A43" s="2225"/>
      <c r="B43" s="2224"/>
      <c r="C43" s="74">
        <v>2017</v>
      </c>
      <c r="D43" s="434">
        <v>6415</v>
      </c>
      <c r="E43" s="589">
        <v>1098</v>
      </c>
      <c r="F43" s="8"/>
      <c r="G43" s="38"/>
      <c r="H43" s="38"/>
    </row>
    <row r="44" spans="1:17">
      <c r="A44" s="2225"/>
      <c r="B44" s="2224"/>
      <c r="C44" s="74">
        <v>2018</v>
      </c>
      <c r="D44" s="434"/>
      <c r="E44" s="589"/>
      <c r="F44" s="8"/>
      <c r="G44" s="38"/>
      <c r="H44" s="38"/>
    </row>
    <row r="45" spans="1:17">
      <c r="A45" s="2225"/>
      <c r="B45" s="2224"/>
      <c r="C45" s="74">
        <v>2019</v>
      </c>
      <c r="D45" s="434"/>
      <c r="E45" s="589"/>
      <c r="F45" s="8"/>
      <c r="G45" s="38"/>
      <c r="H45" s="38"/>
    </row>
    <row r="46" spans="1:17">
      <c r="A46" s="2225"/>
      <c r="B46" s="2224"/>
      <c r="C46" s="74">
        <v>2020</v>
      </c>
      <c r="D46" s="434"/>
      <c r="E46" s="589"/>
      <c r="F46" s="8"/>
      <c r="G46" s="38"/>
      <c r="H46" s="38"/>
    </row>
    <row r="47" spans="1:17" ht="15.75" thickBot="1">
      <c r="A47" s="2226"/>
      <c r="B47" s="2227"/>
      <c r="C47" s="45" t="s">
        <v>13</v>
      </c>
      <c r="D47" s="344">
        <f>SUM(D40:D46)</f>
        <v>16139</v>
      </c>
      <c r="E47" s="345">
        <f>SUM(E40:E46)</f>
        <v>3744</v>
      </c>
      <c r="F47" s="77"/>
      <c r="G47" s="38"/>
      <c r="H47" s="38"/>
    </row>
    <row r="48" spans="1:17" s="38" customFormat="1" ht="15.75" thickBot="1">
      <c r="A48" s="78"/>
      <c r="B48" s="79"/>
      <c r="C48" s="80"/>
    </row>
    <row r="49" spans="1:15" ht="83.25" customHeight="1">
      <c r="A49" s="81" t="s">
        <v>30</v>
      </c>
      <c r="B49" s="359" t="s">
        <v>8</v>
      </c>
      <c r="C49" s="82" t="s">
        <v>9</v>
      </c>
      <c r="D49" s="70" t="s">
        <v>31</v>
      </c>
      <c r="E49" s="83" t="s">
        <v>32</v>
      </c>
      <c r="F49" s="83" t="s">
        <v>33</v>
      </c>
      <c r="G49" s="83" t="s">
        <v>34</v>
      </c>
      <c r="H49" s="83" t="s">
        <v>35</v>
      </c>
      <c r="I49" s="83" t="s">
        <v>36</v>
      </c>
      <c r="J49" s="83" t="s">
        <v>37</v>
      </c>
      <c r="K49" s="84" t="s">
        <v>38</v>
      </c>
    </row>
    <row r="50" spans="1:15" ht="17.25" customHeight="1">
      <c r="A50" s="2023" t="s">
        <v>342</v>
      </c>
      <c r="B50" s="2024"/>
      <c r="C50" s="85" t="s">
        <v>40</v>
      </c>
      <c r="D50" s="33"/>
      <c r="E50" s="34"/>
      <c r="F50" s="34"/>
      <c r="G50" s="34"/>
      <c r="H50" s="34"/>
      <c r="I50" s="34"/>
      <c r="J50" s="34"/>
      <c r="K50" s="37"/>
    </row>
    <row r="51" spans="1:15" ht="15" customHeight="1">
      <c r="A51" s="2118"/>
      <c r="B51" s="2026"/>
      <c r="C51" s="74">
        <v>2014</v>
      </c>
      <c r="D51" s="40"/>
      <c r="E51" s="41"/>
      <c r="F51" s="41"/>
      <c r="G51" s="41"/>
      <c r="H51" s="41"/>
      <c r="I51" s="41"/>
      <c r="J51" s="41"/>
      <c r="K51" s="86"/>
    </row>
    <row r="52" spans="1:15">
      <c r="A52" s="2118"/>
      <c r="B52" s="2026"/>
      <c r="C52" s="74">
        <v>2015</v>
      </c>
      <c r="D52" s="40"/>
      <c r="E52" s="41"/>
      <c r="F52" s="41"/>
      <c r="G52" s="41"/>
      <c r="H52" s="41"/>
      <c r="I52" s="41"/>
      <c r="J52" s="41"/>
      <c r="K52" s="86"/>
    </row>
    <row r="53" spans="1:15">
      <c r="A53" s="2118"/>
      <c r="B53" s="2026"/>
      <c r="C53" s="74">
        <v>2016</v>
      </c>
      <c r="D53" s="40"/>
      <c r="E53" s="41"/>
      <c r="F53" s="41"/>
      <c r="G53" s="41"/>
      <c r="H53" s="41"/>
      <c r="I53" s="41"/>
      <c r="J53" s="41"/>
      <c r="K53" s="86"/>
    </row>
    <row r="54" spans="1:15">
      <c r="A54" s="2118"/>
      <c r="B54" s="2026"/>
      <c r="C54" s="74">
        <v>2017</v>
      </c>
      <c r="D54" s="40"/>
      <c r="E54" s="41"/>
      <c r="F54" s="41"/>
      <c r="G54" s="41"/>
      <c r="H54" s="41"/>
      <c r="I54" s="41"/>
      <c r="J54" s="41"/>
      <c r="K54" s="86"/>
    </row>
    <row r="55" spans="1:15">
      <c r="A55" s="2118"/>
      <c r="B55" s="2026"/>
      <c r="C55" s="74">
        <v>2018</v>
      </c>
      <c r="D55" s="40"/>
      <c r="E55" s="41"/>
      <c r="F55" s="41"/>
      <c r="G55" s="41"/>
      <c r="H55" s="41"/>
      <c r="I55" s="41"/>
      <c r="J55" s="41"/>
      <c r="K55" s="86"/>
    </row>
    <row r="56" spans="1:15">
      <c r="A56" s="2118"/>
      <c r="B56" s="2026"/>
      <c r="C56" s="74">
        <v>2019</v>
      </c>
      <c r="D56" s="40"/>
      <c r="E56" s="41"/>
      <c r="F56" s="41"/>
      <c r="G56" s="41"/>
      <c r="H56" s="41"/>
      <c r="I56" s="41"/>
      <c r="J56" s="41"/>
      <c r="K56" s="86"/>
    </row>
    <row r="57" spans="1:15">
      <c r="A57" s="2118"/>
      <c r="B57" s="2026"/>
      <c r="C57" s="74">
        <v>2020</v>
      </c>
      <c r="D57" s="40"/>
      <c r="E57" s="41"/>
      <c r="F57" s="41"/>
      <c r="G57" s="41"/>
      <c r="H57" s="41"/>
      <c r="I57" s="41"/>
      <c r="J57" s="41"/>
      <c r="K57" s="87"/>
    </row>
    <row r="58" spans="1:15" ht="20.25" customHeight="1" thickBot="1">
      <c r="A58" s="2027"/>
      <c r="B58" s="2028"/>
      <c r="C58" s="45" t="s">
        <v>13</v>
      </c>
      <c r="D58" s="46">
        <f>SUM(D51:D57)</f>
        <v>0</v>
      </c>
      <c r="E58" s="47">
        <f>SUM(E51:E57)</f>
        <v>0</v>
      </c>
      <c r="F58" s="47">
        <f>SUM(F51:F57)</f>
        <v>0</v>
      </c>
      <c r="G58" s="47">
        <f>SUM(G51:G57)</f>
        <v>0</v>
      </c>
      <c r="H58" s="47">
        <f>SUM(H51:H57)</f>
        <v>0</v>
      </c>
      <c r="I58" s="47">
        <f t="shared" ref="I58" si="3">SUM(I51:I57)</f>
        <v>0</v>
      </c>
      <c r="J58" s="47">
        <f>SUM(J51:J57)</f>
        <v>0</v>
      </c>
      <c r="K58" s="51">
        <f>SUM(K50:K56)</f>
        <v>0</v>
      </c>
    </row>
    <row r="59" spans="1:15" ht="15.75" thickBot="1"/>
    <row r="60" spans="1:15" ht="21" customHeight="1">
      <c r="A60" s="2029" t="s">
        <v>41</v>
      </c>
      <c r="B60" s="360"/>
      <c r="C60" s="2031" t="s">
        <v>9</v>
      </c>
      <c r="D60" s="1993" t="s">
        <v>42</v>
      </c>
      <c r="E60" s="89" t="s">
        <v>6</v>
      </c>
      <c r="F60" s="90"/>
      <c r="G60" s="90"/>
      <c r="H60" s="90"/>
      <c r="I60" s="90"/>
      <c r="J60" s="90"/>
      <c r="K60" s="90"/>
      <c r="L60" s="91"/>
    </row>
    <row r="61" spans="1:15" ht="115.5" customHeight="1">
      <c r="A61" s="2030"/>
      <c r="B61" s="92" t="s">
        <v>8</v>
      </c>
      <c r="C61" s="2032"/>
      <c r="D61" s="1994"/>
      <c r="E61" s="93" t="s">
        <v>14</v>
      </c>
      <c r="F61" s="94" t="s">
        <v>15</v>
      </c>
      <c r="G61" s="94" t="s">
        <v>16</v>
      </c>
      <c r="H61" s="95" t="s">
        <v>17</v>
      </c>
      <c r="I61" s="95" t="s">
        <v>18</v>
      </c>
      <c r="J61" s="96" t="s">
        <v>19</v>
      </c>
      <c r="K61" s="94" t="s">
        <v>20</v>
      </c>
      <c r="L61" s="97" t="s">
        <v>21</v>
      </c>
      <c r="M61" s="98"/>
      <c r="N61" s="8"/>
      <c r="O61" s="8"/>
    </row>
    <row r="62" spans="1:15">
      <c r="A62" s="2120"/>
      <c r="B62" s="2039"/>
      <c r="C62" s="99">
        <v>2014</v>
      </c>
      <c r="D62" s="100"/>
      <c r="E62" s="101"/>
      <c r="F62" s="102"/>
      <c r="G62" s="102"/>
      <c r="H62" s="102"/>
      <c r="I62" s="102"/>
      <c r="J62" s="102"/>
      <c r="K62" s="102"/>
      <c r="L62" s="37"/>
      <c r="M62" s="8"/>
      <c r="N62" s="8"/>
      <c r="O62" s="8"/>
    </row>
    <row r="63" spans="1:15">
      <c r="A63" s="2121"/>
      <c r="B63" s="2039"/>
      <c r="C63" s="103">
        <v>2015</v>
      </c>
      <c r="D63" s="104"/>
      <c r="E63" s="105"/>
      <c r="F63" s="41"/>
      <c r="G63" s="41"/>
      <c r="H63" s="41"/>
      <c r="I63" s="41"/>
      <c r="J63" s="41"/>
      <c r="K63" s="41"/>
      <c r="L63" s="86"/>
      <c r="M63" s="8"/>
      <c r="N63" s="8"/>
      <c r="O63" s="8"/>
    </row>
    <row r="64" spans="1:15">
      <c r="A64" s="2121"/>
      <c r="B64" s="2039"/>
      <c r="C64" s="103">
        <v>2016</v>
      </c>
      <c r="D64" s="104">
        <v>12</v>
      </c>
      <c r="E64" s="105"/>
      <c r="F64" s="41">
        <v>3</v>
      </c>
      <c r="G64" s="41"/>
      <c r="H64" s="41">
        <v>9</v>
      </c>
      <c r="I64" s="41"/>
      <c r="J64" s="41"/>
      <c r="K64" s="41"/>
      <c r="L64" s="86"/>
      <c r="M64" s="8"/>
      <c r="N64" s="8"/>
      <c r="O64" s="8"/>
    </row>
    <row r="65" spans="1:20">
      <c r="A65" s="2121"/>
      <c r="B65" s="2039"/>
      <c r="C65" s="103">
        <v>2017</v>
      </c>
      <c r="D65" s="104">
        <v>0</v>
      </c>
      <c r="E65" s="105"/>
      <c r="F65" s="41"/>
      <c r="G65" s="41"/>
      <c r="H65" s="41"/>
      <c r="I65" s="41"/>
      <c r="J65" s="41"/>
      <c r="K65" s="41"/>
      <c r="L65" s="86"/>
      <c r="M65" s="8"/>
      <c r="N65" s="8"/>
      <c r="O65" s="8"/>
    </row>
    <row r="66" spans="1:20">
      <c r="A66" s="2121"/>
      <c r="B66" s="2039"/>
      <c r="C66" s="103">
        <v>2018</v>
      </c>
      <c r="D66" s="104"/>
      <c r="E66" s="105"/>
      <c r="F66" s="41"/>
      <c r="G66" s="41"/>
      <c r="H66" s="41"/>
      <c r="I66" s="41"/>
      <c r="J66" s="41"/>
      <c r="K66" s="41"/>
      <c r="L66" s="86"/>
      <c r="M66" s="8"/>
      <c r="N66" s="8"/>
      <c r="O66" s="8"/>
    </row>
    <row r="67" spans="1:20" ht="17.25" customHeight="1">
      <c r="A67" s="2121"/>
      <c r="B67" s="2039"/>
      <c r="C67" s="103">
        <v>2019</v>
      </c>
      <c r="D67" s="104"/>
      <c r="E67" s="105"/>
      <c r="F67" s="41"/>
      <c r="G67" s="41"/>
      <c r="H67" s="41"/>
      <c r="I67" s="41"/>
      <c r="J67" s="41"/>
      <c r="K67" s="41"/>
      <c r="L67" s="86"/>
      <c r="M67" s="8"/>
      <c r="N67" s="8"/>
      <c r="O67" s="8"/>
    </row>
    <row r="68" spans="1:20" ht="16.5" customHeight="1">
      <c r="A68" s="2121"/>
      <c r="B68" s="2039"/>
      <c r="C68" s="103">
        <v>2020</v>
      </c>
      <c r="D68" s="104"/>
      <c r="E68" s="105"/>
      <c r="F68" s="41"/>
      <c r="G68" s="41"/>
      <c r="H68" s="41"/>
      <c r="I68" s="41"/>
      <c r="J68" s="41"/>
      <c r="K68" s="41"/>
      <c r="L68" s="86"/>
      <c r="M68" s="77"/>
      <c r="N68" s="77"/>
      <c r="O68" s="77"/>
    </row>
    <row r="69" spans="1:20" ht="18" customHeight="1" thickBot="1">
      <c r="A69" s="2122"/>
      <c r="B69" s="2042"/>
      <c r="C69" s="106" t="s">
        <v>13</v>
      </c>
      <c r="D69" s="107">
        <f>SUM(D62:D68)</f>
        <v>12</v>
      </c>
      <c r="E69" s="108">
        <f>SUM(E62:E68)</f>
        <v>0</v>
      </c>
      <c r="F69" s="109">
        <f t="shared" ref="F69:I69" si="4">SUM(F62:F68)</f>
        <v>3</v>
      </c>
      <c r="G69" s="109">
        <f t="shared" si="4"/>
        <v>0</v>
      </c>
      <c r="H69" s="109">
        <f t="shared" si="4"/>
        <v>9</v>
      </c>
      <c r="I69" s="109">
        <f t="shared" si="4"/>
        <v>0</v>
      </c>
      <c r="J69" s="109"/>
      <c r="K69" s="109">
        <f>SUM(K62:K68)</f>
        <v>0</v>
      </c>
      <c r="L69" s="110">
        <f>SUM(L62:L68)</f>
        <v>0</v>
      </c>
      <c r="M69" s="77"/>
      <c r="N69" s="77"/>
      <c r="O69" s="77"/>
    </row>
    <row r="70" spans="1:20" ht="20.25" customHeight="1" thickBot="1">
      <c r="A70" s="111"/>
      <c r="B70" s="112"/>
      <c r="C70" s="113"/>
      <c r="D70" s="114"/>
      <c r="E70" s="114"/>
      <c r="F70" s="114"/>
      <c r="G70" s="114"/>
      <c r="H70" s="113"/>
      <c r="I70" s="115"/>
      <c r="J70" s="115"/>
      <c r="K70" s="115"/>
      <c r="L70" s="115"/>
      <c r="M70" s="115"/>
      <c r="N70" s="115"/>
      <c r="O70" s="115"/>
      <c r="P70" s="1177"/>
      <c r="Q70" s="1177"/>
      <c r="R70" s="1177"/>
      <c r="S70" s="1177"/>
      <c r="T70" s="1177"/>
    </row>
    <row r="71" spans="1:20" ht="132" customHeight="1">
      <c r="A71" s="358" t="s">
        <v>44</v>
      </c>
      <c r="B71" s="359" t="s">
        <v>8</v>
      </c>
      <c r="C71" s="69" t="s">
        <v>9</v>
      </c>
      <c r="D71" s="116" t="s">
        <v>45</v>
      </c>
      <c r="E71" s="116" t="s">
        <v>46</v>
      </c>
      <c r="F71" s="117" t="s">
        <v>47</v>
      </c>
      <c r="G71" s="118" t="s">
        <v>48</v>
      </c>
      <c r="H71" s="119" t="s">
        <v>14</v>
      </c>
      <c r="I71" s="120" t="s">
        <v>15</v>
      </c>
      <c r="J71" s="121" t="s">
        <v>16</v>
      </c>
      <c r="K71" s="120" t="s">
        <v>17</v>
      </c>
      <c r="L71" s="120" t="s">
        <v>18</v>
      </c>
      <c r="M71" s="122" t="s">
        <v>19</v>
      </c>
      <c r="N71" s="121" t="s">
        <v>20</v>
      </c>
      <c r="O71" s="123" t="s">
        <v>21</v>
      </c>
    </row>
    <row r="72" spans="1:20" ht="15" customHeight="1">
      <c r="A72" s="2118"/>
      <c r="B72" s="2039"/>
      <c r="C72" s="73">
        <v>2014</v>
      </c>
      <c r="D72" s="124"/>
      <c r="E72" s="124"/>
      <c r="F72" s="124"/>
      <c r="G72" s="125">
        <f>SUM(D72:F72)</f>
        <v>0</v>
      </c>
      <c r="H72" s="33"/>
      <c r="I72" s="126"/>
      <c r="J72" s="102"/>
      <c r="K72" s="102"/>
      <c r="L72" s="102"/>
      <c r="M72" s="102"/>
      <c r="N72" s="102"/>
      <c r="O72" s="127"/>
    </row>
    <row r="73" spans="1:20">
      <c r="A73" s="2119"/>
      <c r="B73" s="2039"/>
      <c r="C73" s="74">
        <v>2015</v>
      </c>
      <c r="D73" s="128"/>
      <c r="E73" s="128"/>
      <c r="F73" s="128"/>
      <c r="G73" s="125">
        <f t="shared" ref="G73:G78" si="5">SUM(D73:F73)</f>
        <v>0</v>
      </c>
      <c r="H73" s="40"/>
      <c r="I73" s="40"/>
      <c r="J73" s="41"/>
      <c r="K73" s="41"/>
      <c r="L73" s="41"/>
      <c r="M73" s="41"/>
      <c r="N73" s="41"/>
      <c r="O73" s="86"/>
    </row>
    <row r="74" spans="1:20">
      <c r="A74" s="2119"/>
      <c r="B74" s="2039"/>
      <c r="C74" s="74">
        <v>2016</v>
      </c>
      <c r="D74" s="128">
        <v>7</v>
      </c>
      <c r="E74" s="128">
        <v>3</v>
      </c>
      <c r="F74" s="128"/>
      <c r="G74" s="125">
        <f t="shared" si="5"/>
        <v>10</v>
      </c>
      <c r="H74" s="40"/>
      <c r="I74" s="40"/>
      <c r="J74" s="41"/>
      <c r="K74" s="41">
        <v>10</v>
      </c>
      <c r="L74" s="41"/>
      <c r="M74" s="41"/>
      <c r="N74" s="41"/>
      <c r="O74" s="86"/>
    </row>
    <row r="75" spans="1:20">
      <c r="A75" s="2119"/>
      <c r="B75" s="2039"/>
      <c r="C75" s="74">
        <v>2017</v>
      </c>
      <c r="D75" s="128"/>
      <c r="E75" s="128">
        <v>1</v>
      </c>
      <c r="F75" s="128"/>
      <c r="G75" s="125">
        <f t="shared" si="5"/>
        <v>1</v>
      </c>
      <c r="H75" s="40"/>
      <c r="I75" s="40"/>
      <c r="J75" s="41"/>
      <c r="K75" s="41">
        <v>1</v>
      </c>
      <c r="L75" s="41"/>
      <c r="M75" s="41"/>
      <c r="N75" s="41"/>
      <c r="O75" s="86"/>
    </row>
    <row r="76" spans="1:20">
      <c r="A76" s="2119"/>
      <c r="B76" s="2039"/>
      <c r="C76" s="74">
        <v>2018</v>
      </c>
      <c r="D76" s="128"/>
      <c r="E76" s="128"/>
      <c r="F76" s="128"/>
      <c r="G76" s="125">
        <f t="shared" si="5"/>
        <v>0</v>
      </c>
      <c r="H76" s="40"/>
      <c r="I76" s="40"/>
      <c r="J76" s="41"/>
      <c r="K76" s="41"/>
      <c r="L76" s="41"/>
      <c r="M76" s="41"/>
      <c r="N76" s="41"/>
      <c r="O76" s="86"/>
    </row>
    <row r="77" spans="1:20" ht="15.75" customHeight="1">
      <c r="A77" s="2119"/>
      <c r="B77" s="2039"/>
      <c r="C77" s="74">
        <v>2019</v>
      </c>
      <c r="D77" s="128"/>
      <c r="E77" s="128"/>
      <c r="F77" s="128"/>
      <c r="G77" s="125">
        <f t="shared" si="5"/>
        <v>0</v>
      </c>
      <c r="H77" s="40"/>
      <c r="I77" s="40"/>
      <c r="J77" s="41"/>
      <c r="K77" s="41"/>
      <c r="L77" s="41"/>
      <c r="M77" s="41"/>
      <c r="N77" s="41"/>
      <c r="O77" s="86"/>
    </row>
    <row r="78" spans="1:20" ht="17.25" customHeight="1">
      <c r="A78" s="2119"/>
      <c r="B78" s="2039"/>
      <c r="C78" s="74">
        <v>2020</v>
      </c>
      <c r="D78" s="128"/>
      <c r="E78" s="128"/>
      <c r="F78" s="128"/>
      <c r="G78" s="125">
        <f t="shared" si="5"/>
        <v>0</v>
      </c>
      <c r="H78" s="40"/>
      <c r="I78" s="40"/>
      <c r="J78" s="41"/>
      <c r="K78" s="41"/>
      <c r="L78" s="41"/>
      <c r="M78" s="41"/>
      <c r="N78" s="41"/>
      <c r="O78" s="86"/>
    </row>
    <row r="79" spans="1:20" ht="20.25" customHeight="1" thickBot="1">
      <c r="A79" s="2122"/>
      <c r="B79" s="2042"/>
      <c r="C79" s="129" t="s">
        <v>13</v>
      </c>
      <c r="D79" s="107">
        <f>SUM(D72:D78)</f>
        <v>7</v>
      </c>
      <c r="E79" s="107">
        <f>SUM(E72:E78)</f>
        <v>4</v>
      </c>
      <c r="F79" s="107">
        <f>SUM(F72:F78)</f>
        <v>0</v>
      </c>
      <c r="G79" s="130">
        <f>SUM(G72:G78)</f>
        <v>11</v>
      </c>
      <c r="H79" s="131">
        <v>0</v>
      </c>
      <c r="I79" s="132">
        <f t="shared" ref="I79:O79" si="6">SUM(I72:I78)</f>
        <v>0</v>
      </c>
      <c r="J79" s="109">
        <f t="shared" si="6"/>
        <v>0</v>
      </c>
      <c r="K79" s="109">
        <f t="shared" si="6"/>
        <v>11</v>
      </c>
      <c r="L79" s="109">
        <f t="shared" si="6"/>
        <v>0</v>
      </c>
      <c r="M79" s="109">
        <f t="shared" si="6"/>
        <v>0</v>
      </c>
      <c r="N79" s="109">
        <f t="shared" si="6"/>
        <v>0</v>
      </c>
      <c r="O79" s="110">
        <f t="shared" si="6"/>
        <v>0</v>
      </c>
    </row>
    <row r="81" spans="1:16" ht="36.75" customHeight="1">
      <c r="A81" s="133"/>
      <c r="B81" s="112"/>
      <c r="C81" s="134"/>
      <c r="D81" s="135"/>
      <c r="E81" s="77"/>
      <c r="F81" s="77"/>
      <c r="G81" s="77"/>
      <c r="H81" s="77"/>
      <c r="I81" s="77"/>
      <c r="J81" s="77"/>
      <c r="K81" s="77"/>
    </row>
    <row r="82" spans="1:16" ht="28.5" customHeight="1">
      <c r="A82" s="136" t="s">
        <v>49</v>
      </c>
      <c r="B82" s="136"/>
      <c r="C82" s="137"/>
      <c r="D82" s="137"/>
      <c r="E82" s="137"/>
      <c r="F82" s="137"/>
      <c r="G82" s="137"/>
      <c r="H82" s="137"/>
      <c r="I82" s="137"/>
      <c r="J82" s="137"/>
      <c r="K82" s="137"/>
      <c r="L82" s="138"/>
    </row>
    <row r="83" spans="1:16" ht="14.25" customHeight="1" thickBot="1">
      <c r="A83" s="139"/>
      <c r="B83" s="139"/>
    </row>
    <row r="84" spans="1:16" s="1177" customFormat="1" ht="150" customHeight="1">
      <c r="A84" s="361" t="s">
        <v>50</v>
      </c>
      <c r="B84" s="362" t="s">
        <v>51</v>
      </c>
      <c r="C84" s="142" t="s">
        <v>9</v>
      </c>
      <c r="D84" s="143" t="s">
        <v>52</v>
      </c>
      <c r="E84" s="144" t="s">
        <v>53</v>
      </c>
      <c r="F84" s="145" t="s">
        <v>54</v>
      </c>
      <c r="G84" s="145" t="s">
        <v>55</v>
      </c>
      <c r="H84" s="145" t="s">
        <v>56</v>
      </c>
      <c r="I84" s="145" t="s">
        <v>57</v>
      </c>
      <c r="J84" s="145" t="s">
        <v>58</v>
      </c>
      <c r="K84" s="146" t="s">
        <v>59</v>
      </c>
    </row>
    <row r="85" spans="1:16" ht="15" customHeight="1">
      <c r="A85" s="2124"/>
      <c r="B85" s="2228"/>
      <c r="C85" s="73">
        <v>2014</v>
      </c>
      <c r="D85" s="147"/>
      <c r="E85" s="148"/>
      <c r="F85" s="34"/>
      <c r="G85" s="34"/>
      <c r="H85" s="34"/>
      <c r="I85" s="34"/>
      <c r="J85" s="34"/>
      <c r="K85" s="37"/>
    </row>
    <row r="86" spans="1:16">
      <c r="A86" s="2124"/>
      <c r="B86" s="2228"/>
      <c r="C86" s="74">
        <v>2015</v>
      </c>
      <c r="D86" s="149"/>
      <c r="E86" s="105"/>
      <c r="F86" s="41"/>
      <c r="G86" s="41"/>
      <c r="H86" s="41"/>
      <c r="I86" s="41"/>
      <c r="J86" s="41"/>
      <c r="K86" s="86"/>
    </row>
    <row r="87" spans="1:16">
      <c r="A87" s="2124"/>
      <c r="B87" s="2228"/>
      <c r="C87" s="74">
        <v>2016</v>
      </c>
      <c r="D87" s="149">
        <v>0</v>
      </c>
      <c r="E87" s="429"/>
      <c r="F87" s="41"/>
      <c r="G87" s="41"/>
      <c r="H87" s="41"/>
      <c r="I87" s="41"/>
      <c r="J87" s="41"/>
      <c r="K87" s="86"/>
    </row>
    <row r="88" spans="1:16">
      <c r="A88" s="2124"/>
      <c r="B88" s="2228"/>
      <c r="C88" s="74">
        <v>2017</v>
      </c>
      <c r="D88" s="149">
        <v>0</v>
      </c>
      <c r="E88" s="105"/>
      <c r="F88" s="41"/>
      <c r="G88" s="41"/>
      <c r="H88" s="41"/>
      <c r="I88" s="41"/>
      <c r="J88" s="41"/>
      <c r="K88" s="86"/>
    </row>
    <row r="89" spans="1:16">
      <c r="A89" s="2124"/>
      <c r="B89" s="2228"/>
      <c r="C89" s="74">
        <v>2018</v>
      </c>
      <c r="D89" s="149"/>
      <c r="E89" s="105"/>
      <c r="F89" s="41"/>
      <c r="G89" s="41"/>
      <c r="H89" s="41"/>
      <c r="I89" s="41"/>
      <c r="J89" s="41"/>
      <c r="K89" s="86"/>
    </row>
    <row r="90" spans="1:16">
      <c r="A90" s="2124"/>
      <c r="B90" s="2228"/>
      <c r="C90" s="74">
        <v>2019</v>
      </c>
      <c r="D90" s="149"/>
      <c r="E90" s="105"/>
      <c r="F90" s="41"/>
      <c r="G90" s="41"/>
      <c r="H90" s="41"/>
      <c r="I90" s="41"/>
      <c r="J90" s="41"/>
      <c r="K90" s="86"/>
    </row>
    <row r="91" spans="1:16">
      <c r="A91" s="2124"/>
      <c r="B91" s="2228"/>
      <c r="C91" s="74">
        <v>2020</v>
      </c>
      <c r="D91" s="149"/>
      <c r="E91" s="105"/>
      <c r="F91" s="41"/>
      <c r="G91" s="41"/>
      <c r="H91" s="41"/>
      <c r="I91" s="41"/>
      <c r="J91" s="41"/>
      <c r="K91" s="86"/>
    </row>
    <row r="92" spans="1:16" ht="18" customHeight="1" thickBot="1">
      <c r="A92" s="2041"/>
      <c r="B92" s="2229"/>
      <c r="C92" s="129" t="s">
        <v>13</v>
      </c>
      <c r="D92" s="150">
        <f t="shared" ref="D92:I92" si="7">SUM(D85:D91)</f>
        <v>0</v>
      </c>
      <c r="E92" s="108">
        <f t="shared" si="7"/>
        <v>0</v>
      </c>
      <c r="F92" s="109">
        <f t="shared" si="7"/>
        <v>0</v>
      </c>
      <c r="G92" s="109">
        <f t="shared" si="7"/>
        <v>0</v>
      </c>
      <c r="H92" s="109">
        <f t="shared" si="7"/>
        <v>0</v>
      </c>
      <c r="I92" s="109">
        <f t="shared" si="7"/>
        <v>0</v>
      </c>
      <c r="J92" s="109">
        <f>SUM(J85:J91)</f>
        <v>0</v>
      </c>
      <c r="K92" s="110">
        <f>SUM(K85:K91)</f>
        <v>0</v>
      </c>
    </row>
    <row r="93" spans="1:16" ht="20.25" customHeight="1"/>
    <row r="94" spans="1:16" ht="21">
      <c r="A94" s="151" t="s">
        <v>60</v>
      </c>
      <c r="B94" s="151"/>
      <c r="C94" s="152"/>
      <c r="D94" s="152"/>
      <c r="E94" s="152"/>
      <c r="F94" s="152"/>
      <c r="G94" s="152"/>
      <c r="H94" s="152"/>
      <c r="I94" s="152"/>
      <c r="J94" s="152"/>
      <c r="K94" s="152"/>
      <c r="L94" s="152"/>
      <c r="M94" s="152"/>
      <c r="N94" s="153"/>
      <c r="O94" s="153"/>
      <c r="P94" s="153"/>
    </row>
    <row r="95" spans="1:16" s="66" customFormat="1" ht="15" customHeight="1" thickBot="1">
      <c r="A95" s="154"/>
      <c r="B95" s="154"/>
    </row>
    <row r="96" spans="1:16" ht="29.25" customHeight="1">
      <c r="A96" s="2043" t="s">
        <v>61</v>
      </c>
      <c r="B96" s="2045" t="s">
        <v>62</v>
      </c>
      <c r="C96" s="2058" t="s">
        <v>9</v>
      </c>
      <c r="D96" s="2050" t="s">
        <v>63</v>
      </c>
      <c r="E96" s="2051"/>
      <c r="F96" s="155" t="s">
        <v>64</v>
      </c>
      <c r="G96" s="156"/>
      <c r="H96" s="156"/>
      <c r="I96" s="156"/>
      <c r="J96" s="156"/>
      <c r="K96" s="156"/>
      <c r="L96" s="156"/>
      <c r="M96" s="157"/>
      <c r="N96" s="158"/>
      <c r="O96" s="158"/>
      <c r="P96" s="158"/>
    </row>
    <row r="97" spans="1:16" ht="100.5" customHeight="1">
      <c r="A97" s="2044"/>
      <c r="B97" s="2046"/>
      <c r="C97" s="2059"/>
      <c r="D97" s="159" t="s">
        <v>65</v>
      </c>
      <c r="E97" s="160" t="s">
        <v>66</v>
      </c>
      <c r="F97" s="161" t="s">
        <v>14</v>
      </c>
      <c r="G97" s="162" t="s">
        <v>67</v>
      </c>
      <c r="H97" s="163" t="s">
        <v>55</v>
      </c>
      <c r="I97" s="164" t="s">
        <v>56</v>
      </c>
      <c r="J97" s="164" t="s">
        <v>57</v>
      </c>
      <c r="K97" s="165" t="s">
        <v>68</v>
      </c>
      <c r="L97" s="163" t="s">
        <v>58</v>
      </c>
      <c r="M97" s="166" t="s">
        <v>59</v>
      </c>
      <c r="N97" s="158"/>
      <c r="O97" s="158"/>
      <c r="P97" s="158"/>
    </row>
    <row r="98" spans="1:16" ht="17.25" customHeight="1">
      <c r="A98" s="2230" t="s">
        <v>458</v>
      </c>
      <c r="B98" s="2231"/>
      <c r="C98" s="99">
        <v>2014</v>
      </c>
      <c r="D98" s="33"/>
      <c r="E98" s="34"/>
      <c r="F98" s="167"/>
      <c r="G98" s="168"/>
      <c r="H98" s="168"/>
      <c r="I98" s="168"/>
      <c r="J98" s="168"/>
      <c r="K98" s="168"/>
      <c r="L98" s="168"/>
      <c r="M98" s="169"/>
      <c r="N98" s="158"/>
      <c r="O98" s="158"/>
      <c r="P98" s="158"/>
    </row>
    <row r="99" spans="1:16" ht="16.5" customHeight="1">
      <c r="A99" s="2230"/>
      <c r="B99" s="2231"/>
      <c r="C99" s="103">
        <v>2015</v>
      </c>
      <c r="D99" s="189"/>
      <c r="E99" s="190"/>
      <c r="F99" s="170"/>
      <c r="G99" s="171"/>
      <c r="H99" s="171"/>
      <c r="I99" s="171"/>
      <c r="J99" s="171"/>
      <c r="K99" s="171"/>
      <c r="L99" s="171"/>
      <c r="M99" s="172"/>
      <c r="N99" s="158"/>
      <c r="O99" s="158"/>
      <c r="P99" s="158"/>
    </row>
    <row r="100" spans="1:16" ht="16.5" customHeight="1">
      <c r="A100" s="2230"/>
      <c r="B100" s="2231"/>
      <c r="C100" s="103">
        <v>2016</v>
      </c>
      <c r="D100" s="189">
        <v>1</v>
      </c>
      <c r="E100" s="190">
        <v>9</v>
      </c>
      <c r="F100" s="170"/>
      <c r="G100" s="171"/>
      <c r="H100" s="171"/>
      <c r="I100" s="171"/>
      <c r="J100" s="171"/>
      <c r="K100" s="171"/>
      <c r="L100" s="171"/>
      <c r="M100" s="172">
        <v>1</v>
      </c>
      <c r="N100" s="158"/>
      <c r="O100" s="158"/>
      <c r="P100" s="158"/>
    </row>
    <row r="101" spans="1:16" ht="16.5" customHeight="1">
      <c r="A101" s="2230"/>
      <c r="B101" s="2231"/>
      <c r="C101" s="103">
        <v>2017</v>
      </c>
      <c r="D101" s="189">
        <v>1</v>
      </c>
      <c r="E101" s="190">
        <v>7</v>
      </c>
      <c r="F101" s="170"/>
      <c r="G101" s="171"/>
      <c r="H101" s="171"/>
      <c r="I101" s="171"/>
      <c r="J101" s="171"/>
      <c r="K101" s="171"/>
      <c r="L101" s="171"/>
      <c r="M101" s="172">
        <v>1</v>
      </c>
      <c r="N101" s="158"/>
      <c r="O101" s="158"/>
      <c r="P101" s="158"/>
    </row>
    <row r="102" spans="1:16" ht="15.75" customHeight="1">
      <c r="A102" s="2230"/>
      <c r="B102" s="2231"/>
      <c r="C102" s="103">
        <v>2018</v>
      </c>
      <c r="D102" s="40"/>
      <c r="E102" s="41"/>
      <c r="F102" s="170"/>
      <c r="G102" s="171"/>
      <c r="H102" s="171"/>
      <c r="I102" s="171"/>
      <c r="J102" s="171"/>
      <c r="K102" s="171"/>
      <c r="L102" s="171"/>
      <c r="M102" s="172"/>
      <c r="N102" s="158"/>
      <c r="O102" s="158"/>
      <c r="P102" s="158"/>
    </row>
    <row r="103" spans="1:16" ht="14.25" customHeight="1">
      <c r="A103" s="2230"/>
      <c r="B103" s="2231"/>
      <c r="C103" s="103">
        <v>2019</v>
      </c>
      <c r="D103" s="40"/>
      <c r="E103" s="41"/>
      <c r="F103" s="170"/>
      <c r="G103" s="171"/>
      <c r="H103" s="171"/>
      <c r="I103" s="171"/>
      <c r="J103" s="171"/>
      <c r="K103" s="171"/>
      <c r="L103" s="171"/>
      <c r="M103" s="172"/>
      <c r="N103" s="158"/>
      <c r="O103" s="158"/>
      <c r="P103" s="158"/>
    </row>
    <row r="104" spans="1:16" ht="14.25" customHeight="1">
      <c r="A104" s="2230"/>
      <c r="B104" s="2231"/>
      <c r="C104" s="103">
        <v>2020</v>
      </c>
      <c r="D104" s="40"/>
      <c r="E104" s="41"/>
      <c r="F104" s="170"/>
      <c r="G104" s="171"/>
      <c r="H104" s="171"/>
      <c r="I104" s="171"/>
      <c r="J104" s="171"/>
      <c r="K104" s="171"/>
      <c r="L104" s="171"/>
      <c r="M104" s="172"/>
      <c r="N104" s="158"/>
      <c r="O104" s="158"/>
      <c r="P104" s="158"/>
    </row>
    <row r="105" spans="1:16" ht="19.5" customHeight="1" thickBot="1">
      <c r="A105" s="2232"/>
      <c r="B105" s="2233"/>
      <c r="C105" s="106" t="s">
        <v>13</v>
      </c>
      <c r="D105" s="132">
        <f>SUM(D98:D104)</f>
        <v>2</v>
      </c>
      <c r="E105" s="109">
        <f t="shared" ref="E105:K105" si="8">SUM(E98:E104)</f>
        <v>16</v>
      </c>
      <c r="F105" s="173">
        <f t="shared" si="8"/>
        <v>0</v>
      </c>
      <c r="G105" s="174">
        <f t="shared" si="8"/>
        <v>0</v>
      </c>
      <c r="H105" s="174">
        <f t="shared" si="8"/>
        <v>0</v>
      </c>
      <c r="I105" s="174">
        <f>SUM(I98:I104)</f>
        <v>0</v>
      </c>
      <c r="J105" s="174">
        <f t="shared" si="8"/>
        <v>0</v>
      </c>
      <c r="K105" s="174">
        <f t="shared" si="8"/>
        <v>0</v>
      </c>
      <c r="L105" s="174">
        <f>SUM(L98:L104)</f>
        <v>0</v>
      </c>
      <c r="M105" s="175">
        <f>SUM(M98:M104)</f>
        <v>2</v>
      </c>
      <c r="N105" s="158"/>
      <c r="O105" s="158"/>
      <c r="P105" s="158"/>
    </row>
    <row r="106" spans="1:16" ht="15.75" thickBot="1">
      <c r="A106" s="176"/>
      <c r="B106" s="176"/>
      <c r="C106" s="177"/>
      <c r="D106" s="8"/>
      <c r="E106" s="8"/>
      <c r="H106" s="178"/>
      <c r="I106" s="178"/>
      <c r="J106" s="178"/>
      <c r="K106" s="178"/>
      <c r="L106" s="178"/>
      <c r="M106" s="178"/>
      <c r="N106" s="178"/>
    </row>
    <row r="107" spans="1:16" ht="15" customHeight="1">
      <c r="A107" s="2043" t="s">
        <v>69</v>
      </c>
      <c r="B107" s="2045" t="s">
        <v>62</v>
      </c>
      <c r="C107" s="2058" t="s">
        <v>9</v>
      </c>
      <c r="D107" s="2060" t="s">
        <v>70</v>
      </c>
      <c r="E107" s="155" t="s">
        <v>71</v>
      </c>
      <c r="F107" s="156"/>
      <c r="G107" s="156"/>
      <c r="H107" s="156"/>
      <c r="I107" s="156"/>
      <c r="J107" s="156"/>
      <c r="K107" s="156"/>
      <c r="L107" s="157"/>
      <c r="M107" s="178"/>
      <c r="N107" s="178"/>
    </row>
    <row r="108" spans="1:16" ht="103.5" customHeight="1">
      <c r="A108" s="2044"/>
      <c r="B108" s="2046"/>
      <c r="C108" s="2059"/>
      <c r="D108" s="2061"/>
      <c r="E108" s="161" t="s">
        <v>14</v>
      </c>
      <c r="F108" s="162" t="s">
        <v>67</v>
      </c>
      <c r="G108" s="163" t="s">
        <v>55</v>
      </c>
      <c r="H108" s="164" t="s">
        <v>56</v>
      </c>
      <c r="I108" s="164" t="s">
        <v>57</v>
      </c>
      <c r="J108" s="165" t="s">
        <v>68</v>
      </c>
      <c r="K108" s="163" t="s">
        <v>58</v>
      </c>
      <c r="L108" s="166" t="s">
        <v>59</v>
      </c>
      <c r="M108" s="178"/>
      <c r="N108" s="178"/>
    </row>
    <row r="109" spans="1:16">
      <c r="A109" s="2120" t="s">
        <v>459</v>
      </c>
      <c r="B109" s="2039"/>
      <c r="C109" s="99">
        <v>2014</v>
      </c>
      <c r="D109" s="34"/>
      <c r="E109" s="167"/>
      <c r="F109" s="168"/>
      <c r="G109" s="168"/>
      <c r="H109" s="168"/>
      <c r="I109" s="168"/>
      <c r="J109" s="168"/>
      <c r="K109" s="168"/>
      <c r="L109" s="169"/>
      <c r="M109" s="178"/>
      <c r="N109" s="178"/>
    </row>
    <row r="110" spans="1:16">
      <c r="A110" s="2121"/>
      <c r="B110" s="2039"/>
      <c r="C110" s="103">
        <v>2015</v>
      </c>
      <c r="D110" s="41"/>
      <c r="E110" s="170"/>
      <c r="F110" s="171"/>
      <c r="G110" s="171"/>
      <c r="H110" s="171"/>
      <c r="I110" s="171"/>
      <c r="J110" s="171"/>
      <c r="K110" s="171"/>
      <c r="L110" s="172"/>
      <c r="M110" s="178"/>
      <c r="N110" s="178"/>
    </row>
    <row r="111" spans="1:16">
      <c r="A111" s="2121"/>
      <c r="B111" s="2039"/>
      <c r="C111" s="103">
        <v>2016</v>
      </c>
      <c r="D111" s="41">
        <v>1</v>
      </c>
      <c r="E111" s="170"/>
      <c r="F111" s="171"/>
      <c r="G111" s="171"/>
      <c r="H111" s="171"/>
      <c r="I111" s="171"/>
      <c r="J111" s="171"/>
      <c r="K111" s="171"/>
      <c r="L111" s="172">
        <v>1</v>
      </c>
      <c r="M111" s="178"/>
      <c r="N111" s="178"/>
    </row>
    <row r="112" spans="1:16">
      <c r="A112" s="2121"/>
      <c r="B112" s="2039"/>
      <c r="C112" s="103">
        <v>2017</v>
      </c>
      <c r="D112" s="41">
        <v>2</v>
      </c>
      <c r="E112" s="170"/>
      <c r="F112" s="171"/>
      <c r="G112" s="171"/>
      <c r="H112" s="171"/>
      <c r="I112" s="171"/>
      <c r="J112" s="171"/>
      <c r="K112" s="171"/>
      <c r="L112" s="172">
        <v>2</v>
      </c>
      <c r="M112" s="178"/>
      <c r="N112" s="178"/>
    </row>
    <row r="113" spans="1:14">
      <c r="A113" s="2121"/>
      <c r="B113" s="2039"/>
      <c r="C113" s="103">
        <v>2018</v>
      </c>
      <c r="D113" s="41"/>
      <c r="E113" s="170"/>
      <c r="F113" s="171"/>
      <c r="G113" s="171"/>
      <c r="H113" s="171"/>
      <c r="I113" s="171"/>
      <c r="J113" s="171"/>
      <c r="K113" s="171"/>
      <c r="L113" s="172"/>
      <c r="M113" s="178"/>
      <c r="N113" s="178"/>
    </row>
    <row r="114" spans="1:14">
      <c r="A114" s="2121"/>
      <c r="B114" s="2039"/>
      <c r="C114" s="103">
        <v>2019</v>
      </c>
      <c r="D114" s="41"/>
      <c r="E114" s="170"/>
      <c r="F114" s="171"/>
      <c r="G114" s="171"/>
      <c r="H114" s="171"/>
      <c r="I114" s="171"/>
      <c r="J114" s="171"/>
      <c r="K114" s="171"/>
      <c r="L114" s="172"/>
      <c r="M114" s="178"/>
      <c r="N114" s="178"/>
    </row>
    <row r="115" spans="1:14">
      <c r="A115" s="2121"/>
      <c r="B115" s="2039"/>
      <c r="C115" s="103">
        <v>2020</v>
      </c>
      <c r="D115" s="41"/>
      <c r="E115" s="170"/>
      <c r="F115" s="171"/>
      <c r="G115" s="171"/>
      <c r="H115" s="171"/>
      <c r="I115" s="171"/>
      <c r="J115" s="171"/>
      <c r="K115" s="171"/>
      <c r="L115" s="172"/>
      <c r="M115" s="178"/>
      <c r="N115" s="178"/>
    </row>
    <row r="116" spans="1:14" ht="25.5" customHeight="1" thickBot="1">
      <c r="A116" s="2049"/>
      <c r="B116" s="2042"/>
      <c r="C116" s="106" t="s">
        <v>13</v>
      </c>
      <c r="D116" s="109">
        <f t="shared" ref="D116:I116" si="9">SUM(D109:D115)</f>
        <v>3</v>
      </c>
      <c r="E116" s="173">
        <f t="shared" si="9"/>
        <v>0</v>
      </c>
      <c r="F116" s="174">
        <f t="shared" si="9"/>
        <v>0</v>
      </c>
      <c r="G116" s="174">
        <f t="shared" si="9"/>
        <v>0</v>
      </c>
      <c r="H116" s="174">
        <f t="shared" si="9"/>
        <v>0</v>
      </c>
      <c r="I116" s="174">
        <f t="shared" si="9"/>
        <v>0</v>
      </c>
      <c r="J116" s="174"/>
      <c r="K116" s="174">
        <f>SUM(K109:K115)</f>
        <v>0</v>
      </c>
      <c r="L116" s="175">
        <f>SUM(L109:L115)</f>
        <v>3</v>
      </c>
      <c r="M116" s="178"/>
      <c r="N116" s="178"/>
    </row>
    <row r="117" spans="1:14" ht="21.75" thickBot="1">
      <c r="A117" s="179"/>
      <c r="B117" s="180"/>
      <c r="C117" s="66"/>
      <c r="D117" s="66"/>
      <c r="E117" s="66"/>
      <c r="F117" s="66"/>
      <c r="G117" s="66"/>
      <c r="H117" s="66"/>
      <c r="I117" s="66"/>
      <c r="J117" s="66"/>
      <c r="K117" s="66"/>
      <c r="L117" s="66"/>
      <c r="M117" s="178"/>
      <c r="N117" s="178"/>
    </row>
    <row r="118" spans="1:14" ht="15" customHeight="1">
      <c r="A118" s="2043" t="s">
        <v>72</v>
      </c>
      <c r="B118" s="2045" t="s">
        <v>62</v>
      </c>
      <c r="C118" s="2058" t="s">
        <v>9</v>
      </c>
      <c r="D118" s="2060" t="s">
        <v>73</v>
      </c>
      <c r="E118" s="155" t="s">
        <v>71</v>
      </c>
      <c r="F118" s="156"/>
      <c r="G118" s="156"/>
      <c r="H118" s="156"/>
      <c r="I118" s="156"/>
      <c r="J118" s="156"/>
      <c r="K118" s="156"/>
      <c r="L118" s="157"/>
      <c r="M118" s="178"/>
      <c r="N118" s="178"/>
    </row>
    <row r="119" spans="1:14" ht="120.75" customHeight="1">
      <c r="A119" s="2044"/>
      <c r="B119" s="2046"/>
      <c r="C119" s="2059"/>
      <c r="D119" s="2061"/>
      <c r="E119" s="161" t="s">
        <v>14</v>
      </c>
      <c r="F119" s="162" t="s">
        <v>67</v>
      </c>
      <c r="G119" s="163" t="s">
        <v>55</v>
      </c>
      <c r="H119" s="164" t="s">
        <v>56</v>
      </c>
      <c r="I119" s="164" t="s">
        <v>57</v>
      </c>
      <c r="J119" s="165" t="s">
        <v>68</v>
      </c>
      <c r="K119" s="163" t="s">
        <v>58</v>
      </c>
      <c r="L119" s="166" t="s">
        <v>59</v>
      </c>
      <c r="M119" s="178"/>
      <c r="N119" s="178"/>
    </row>
    <row r="120" spans="1:14">
      <c r="A120" s="2120" t="s">
        <v>342</v>
      </c>
      <c r="B120" s="2039"/>
      <c r="C120" s="99">
        <v>2014</v>
      </c>
      <c r="D120" s="34"/>
      <c r="E120" s="167"/>
      <c r="F120" s="168"/>
      <c r="G120" s="168"/>
      <c r="H120" s="168"/>
      <c r="I120" s="168"/>
      <c r="J120" s="168"/>
      <c r="K120" s="168"/>
      <c r="L120" s="169"/>
      <c r="M120" s="178"/>
      <c r="N120" s="178"/>
    </row>
    <row r="121" spans="1:14">
      <c r="A121" s="2121"/>
      <c r="B121" s="2039"/>
      <c r="C121" s="103">
        <v>2015</v>
      </c>
      <c r="D121" s="41"/>
      <c r="E121" s="170"/>
      <c r="F121" s="171"/>
      <c r="G121" s="171"/>
      <c r="H121" s="171"/>
      <c r="I121" s="171"/>
      <c r="J121" s="171"/>
      <c r="K121" s="171"/>
      <c r="L121" s="172"/>
      <c r="M121" s="178"/>
      <c r="N121" s="178"/>
    </row>
    <row r="122" spans="1:14">
      <c r="A122" s="2121"/>
      <c r="B122" s="2039"/>
      <c r="C122" s="103">
        <v>2016</v>
      </c>
      <c r="D122" s="41"/>
      <c r="E122" s="170"/>
      <c r="F122" s="171"/>
      <c r="G122" s="171"/>
      <c r="H122" s="171"/>
      <c r="I122" s="171"/>
      <c r="J122" s="171"/>
      <c r="K122" s="171"/>
      <c r="L122" s="172"/>
      <c r="M122" s="178"/>
      <c r="N122" s="178"/>
    </row>
    <row r="123" spans="1:14">
      <c r="A123" s="2121"/>
      <c r="B123" s="2039"/>
      <c r="C123" s="103">
        <v>2017</v>
      </c>
      <c r="D123" s="41"/>
      <c r="E123" s="170"/>
      <c r="F123" s="171"/>
      <c r="G123" s="171"/>
      <c r="H123" s="171"/>
      <c r="I123" s="171"/>
      <c r="J123" s="171"/>
      <c r="K123" s="171"/>
      <c r="L123" s="172"/>
      <c r="M123" s="178"/>
      <c r="N123" s="178"/>
    </row>
    <row r="124" spans="1:14">
      <c r="A124" s="2121"/>
      <c r="B124" s="2039"/>
      <c r="C124" s="103">
        <v>2018</v>
      </c>
      <c r="D124" s="41"/>
      <c r="E124" s="170"/>
      <c r="F124" s="171"/>
      <c r="G124" s="171"/>
      <c r="H124" s="171"/>
      <c r="I124" s="171"/>
      <c r="J124" s="171"/>
      <c r="K124" s="171"/>
      <c r="L124" s="172"/>
      <c r="M124" s="178"/>
      <c r="N124" s="178"/>
    </row>
    <row r="125" spans="1:14">
      <c r="A125" s="2121"/>
      <c r="B125" s="2039"/>
      <c r="C125" s="103">
        <v>2019</v>
      </c>
      <c r="D125" s="41"/>
      <c r="E125" s="170"/>
      <c r="F125" s="171"/>
      <c r="G125" s="171"/>
      <c r="H125" s="171"/>
      <c r="I125" s="171"/>
      <c r="J125" s="171"/>
      <c r="K125" s="171"/>
      <c r="L125" s="172"/>
      <c r="M125" s="178"/>
      <c r="N125" s="178"/>
    </row>
    <row r="126" spans="1:14">
      <c r="A126" s="2121"/>
      <c r="B126" s="2039"/>
      <c r="C126" s="103">
        <v>2020</v>
      </c>
      <c r="D126" s="41"/>
      <c r="E126" s="170"/>
      <c r="F126" s="171"/>
      <c r="G126" s="171"/>
      <c r="H126" s="171"/>
      <c r="I126" s="171"/>
      <c r="J126" s="171"/>
      <c r="K126" s="171"/>
      <c r="L126" s="172"/>
      <c r="M126" s="178"/>
      <c r="N126" s="178"/>
    </row>
    <row r="127" spans="1:14" ht="15.75" thickBot="1">
      <c r="A127" s="2049"/>
      <c r="B127" s="2042"/>
      <c r="C127" s="106" t="s">
        <v>13</v>
      </c>
      <c r="D127" s="109">
        <f t="shared" ref="D127:I127" si="10">SUM(D120:D126)</f>
        <v>0</v>
      </c>
      <c r="E127" s="173">
        <f t="shared" si="10"/>
        <v>0</v>
      </c>
      <c r="F127" s="174">
        <f t="shared" si="10"/>
        <v>0</v>
      </c>
      <c r="G127" s="174">
        <f t="shared" si="10"/>
        <v>0</v>
      </c>
      <c r="H127" s="174">
        <f t="shared" si="10"/>
        <v>0</v>
      </c>
      <c r="I127" s="174">
        <f t="shared" si="10"/>
        <v>0</v>
      </c>
      <c r="J127" s="174"/>
      <c r="K127" s="174">
        <f>SUM(K120:K126)</f>
        <v>0</v>
      </c>
      <c r="L127" s="175">
        <f>SUM(L120:L126)</f>
        <v>0</v>
      </c>
      <c r="M127" s="178"/>
      <c r="N127" s="178"/>
    </row>
    <row r="128" spans="1:14" ht="15.75" thickBot="1">
      <c r="A128" s="176"/>
      <c r="B128" s="176"/>
      <c r="C128" s="177"/>
      <c r="D128" s="8"/>
      <c r="E128" s="8"/>
      <c r="H128" s="178"/>
      <c r="I128" s="178"/>
      <c r="J128" s="178"/>
      <c r="K128" s="178"/>
      <c r="L128" s="178"/>
      <c r="M128" s="178"/>
      <c r="N128" s="178"/>
    </row>
    <row r="129" spans="1:16" ht="15" customHeight="1">
      <c r="A129" s="2043" t="s">
        <v>75</v>
      </c>
      <c r="B129" s="2045" t="s">
        <v>62</v>
      </c>
      <c r="C129" s="1174" t="s">
        <v>9</v>
      </c>
      <c r="D129" s="182" t="s">
        <v>76</v>
      </c>
      <c r="E129" s="183"/>
      <c r="F129" s="183"/>
      <c r="G129" s="184"/>
      <c r="H129" s="178"/>
      <c r="I129" s="178"/>
      <c r="J129" s="178"/>
      <c r="K129" s="178"/>
      <c r="L129" s="178"/>
      <c r="M129" s="178"/>
      <c r="N129" s="178"/>
    </row>
    <row r="130" spans="1:16" ht="77.25" customHeight="1">
      <c r="A130" s="2044"/>
      <c r="B130" s="2046"/>
      <c r="C130" s="1175"/>
      <c r="D130" s="159" t="s">
        <v>77</v>
      </c>
      <c r="E130" s="186" t="s">
        <v>78</v>
      </c>
      <c r="F130" s="160" t="s">
        <v>79</v>
      </c>
      <c r="G130" s="187" t="s">
        <v>13</v>
      </c>
      <c r="H130" s="178"/>
      <c r="I130" s="178"/>
      <c r="J130" s="178"/>
      <c r="K130" s="178"/>
      <c r="L130" s="178"/>
      <c r="M130" s="178"/>
      <c r="N130" s="178"/>
    </row>
    <row r="131" spans="1:16" ht="15" customHeight="1">
      <c r="A131" s="2234" t="s">
        <v>460</v>
      </c>
      <c r="B131" s="2235"/>
      <c r="C131" s="188">
        <v>2015</v>
      </c>
      <c r="D131" s="189"/>
      <c r="E131" s="190"/>
      <c r="F131" s="190"/>
      <c r="G131" s="191">
        <f t="shared" ref="G131:G136" si="11">SUM(D131:F131)</f>
        <v>0</v>
      </c>
      <c r="H131" s="178"/>
      <c r="I131" s="178"/>
      <c r="J131" s="178"/>
      <c r="K131" s="178"/>
      <c r="L131" s="178"/>
      <c r="M131" s="178"/>
      <c r="N131" s="178"/>
    </row>
    <row r="132" spans="1:16">
      <c r="A132" s="2234"/>
      <c r="B132" s="2235"/>
      <c r="C132" s="188">
        <v>2016</v>
      </c>
      <c r="D132" s="189">
        <v>160</v>
      </c>
      <c r="E132" s="41">
        <v>21</v>
      </c>
      <c r="F132" s="41"/>
      <c r="G132" s="191">
        <f t="shared" si="11"/>
        <v>181</v>
      </c>
      <c r="H132" s="178"/>
      <c r="I132" s="178"/>
      <c r="J132" s="178"/>
      <c r="K132" s="178"/>
      <c r="L132" s="178"/>
      <c r="M132" s="178"/>
      <c r="N132" s="178"/>
    </row>
    <row r="133" spans="1:16">
      <c r="A133" s="2234"/>
      <c r="B133" s="2235"/>
      <c r="C133" s="188">
        <v>2017</v>
      </c>
      <c r="D133" s="189">
        <v>105</v>
      </c>
      <c r="E133" s="41">
        <v>61</v>
      </c>
      <c r="F133" s="41"/>
      <c r="G133" s="191">
        <f t="shared" si="11"/>
        <v>166</v>
      </c>
      <c r="H133" s="178"/>
      <c r="I133" s="178"/>
      <c r="J133" s="178"/>
      <c r="K133" s="178"/>
      <c r="L133" s="178"/>
      <c r="M133" s="178"/>
      <c r="N133" s="178"/>
    </row>
    <row r="134" spans="1:16">
      <c r="A134" s="2234"/>
      <c r="B134" s="2235"/>
      <c r="C134" s="188">
        <v>2018</v>
      </c>
      <c r="D134" s="189"/>
      <c r="E134" s="41"/>
      <c r="F134" s="41"/>
      <c r="G134" s="191">
        <f t="shared" si="11"/>
        <v>0</v>
      </c>
      <c r="H134" s="178"/>
      <c r="I134" s="178"/>
      <c r="J134" s="178"/>
      <c r="K134" s="178"/>
      <c r="L134" s="178"/>
      <c r="M134" s="178"/>
      <c r="N134" s="178"/>
    </row>
    <row r="135" spans="1:16">
      <c r="A135" s="2234"/>
      <c r="B135" s="2235"/>
      <c r="C135" s="188">
        <v>2019</v>
      </c>
      <c r="D135" s="189"/>
      <c r="E135" s="41"/>
      <c r="F135" s="41"/>
      <c r="G135" s="191">
        <f t="shared" si="11"/>
        <v>0</v>
      </c>
      <c r="H135" s="178"/>
      <c r="I135" s="178"/>
      <c r="J135" s="178"/>
      <c r="K135" s="178"/>
      <c r="L135" s="178"/>
      <c r="M135" s="178"/>
      <c r="N135" s="178"/>
    </row>
    <row r="136" spans="1:16">
      <c r="A136" s="2234"/>
      <c r="B136" s="2235"/>
      <c r="C136" s="188">
        <v>2020</v>
      </c>
      <c r="D136" s="189"/>
      <c r="E136" s="41"/>
      <c r="F136" s="41"/>
      <c r="G136" s="191">
        <f t="shared" si="11"/>
        <v>0</v>
      </c>
      <c r="H136" s="178"/>
      <c r="I136" s="178"/>
      <c r="J136" s="178"/>
      <c r="K136" s="178"/>
      <c r="L136" s="178"/>
      <c r="M136" s="178"/>
      <c r="N136" s="178"/>
    </row>
    <row r="137" spans="1:16" ht="17.25" customHeight="1" thickBot="1">
      <c r="A137" s="2236"/>
      <c r="B137" s="2237"/>
      <c r="C137" s="1484" t="s">
        <v>13</v>
      </c>
      <c r="D137" s="1485">
        <f>SUM(D131:D136)</f>
        <v>265</v>
      </c>
      <c r="E137" s="132">
        <f t="shared" ref="E137:F137" si="12">SUM(E131:E136)</f>
        <v>82</v>
      </c>
      <c r="F137" s="132">
        <f t="shared" si="12"/>
        <v>0</v>
      </c>
      <c r="G137" s="192">
        <f>SUM(G131:G136)</f>
        <v>347</v>
      </c>
      <c r="H137" s="178"/>
      <c r="I137" s="178"/>
      <c r="J137" s="178"/>
      <c r="K137" s="178"/>
      <c r="L137" s="178"/>
      <c r="M137" s="178"/>
      <c r="N137" s="178"/>
    </row>
    <row r="138" spans="1:16">
      <c r="A138" s="176"/>
      <c r="B138" s="176"/>
      <c r="C138" s="177"/>
      <c r="D138" s="8"/>
      <c r="E138" s="8"/>
      <c r="H138" s="178"/>
      <c r="I138" s="178"/>
      <c r="J138" s="178"/>
      <c r="K138" s="178"/>
      <c r="L138" s="178"/>
      <c r="M138" s="178"/>
      <c r="N138" s="178"/>
    </row>
    <row r="139" spans="1:16" s="66" customFormat="1" ht="33" customHeight="1">
      <c r="A139" s="346"/>
      <c r="B139" s="79"/>
      <c r="C139" s="80"/>
      <c r="D139" s="38"/>
      <c r="E139" s="38"/>
      <c r="F139" s="38"/>
      <c r="G139" s="38"/>
      <c r="H139" s="38"/>
      <c r="I139" s="263"/>
      <c r="J139" s="262"/>
      <c r="K139" s="262"/>
      <c r="L139" s="262"/>
      <c r="M139" s="262"/>
      <c r="N139" s="262"/>
      <c r="O139" s="262"/>
      <c r="P139" s="262"/>
    </row>
    <row r="140" spans="1:16" ht="21">
      <c r="A140" s="197" t="s">
        <v>80</v>
      </c>
      <c r="B140" s="197"/>
      <c r="C140" s="198"/>
      <c r="D140" s="198"/>
      <c r="E140" s="198"/>
      <c r="F140" s="198"/>
      <c r="G140" s="198"/>
      <c r="H140" s="198"/>
      <c r="I140" s="198"/>
      <c r="J140" s="198"/>
      <c r="K140" s="198"/>
      <c r="L140" s="198"/>
      <c r="M140" s="198"/>
      <c r="N140" s="198"/>
      <c r="O140" s="153"/>
      <c r="P140" s="153"/>
    </row>
    <row r="141" spans="1:16" ht="21.75" customHeight="1" thickBot="1">
      <c r="A141" s="199"/>
      <c r="B141" s="112"/>
      <c r="C141" s="134"/>
      <c r="D141" s="77"/>
      <c r="E141" s="77"/>
      <c r="F141" s="77"/>
      <c r="G141" s="77"/>
      <c r="H141" s="77"/>
      <c r="I141" s="158"/>
      <c r="J141" s="158"/>
      <c r="K141" s="158"/>
      <c r="L141" s="158"/>
      <c r="M141" s="158"/>
      <c r="N141" s="158"/>
      <c r="O141" s="158"/>
      <c r="P141" s="158"/>
    </row>
    <row r="142" spans="1:16" ht="21.75" customHeight="1">
      <c r="A142" s="2072" t="s">
        <v>81</v>
      </c>
      <c r="B142" s="2074" t="s">
        <v>62</v>
      </c>
      <c r="C142" s="2083" t="s">
        <v>9</v>
      </c>
      <c r="D142" s="364" t="s">
        <v>82</v>
      </c>
      <c r="E142" s="365"/>
      <c r="F142" s="365"/>
      <c r="G142" s="365"/>
      <c r="H142" s="365"/>
      <c r="I142" s="366"/>
      <c r="J142" s="2076" t="s">
        <v>83</v>
      </c>
      <c r="K142" s="2077"/>
      <c r="L142" s="2077"/>
      <c r="M142" s="2077"/>
      <c r="N142" s="2078"/>
      <c r="O142" s="158"/>
      <c r="P142" s="158"/>
    </row>
    <row r="143" spans="1:16" ht="113.25" customHeight="1">
      <c r="A143" s="2073"/>
      <c r="B143" s="2075"/>
      <c r="C143" s="2084"/>
      <c r="D143" s="203" t="s">
        <v>84</v>
      </c>
      <c r="E143" s="204" t="s">
        <v>85</v>
      </c>
      <c r="F143" s="205" t="s">
        <v>86</v>
      </c>
      <c r="G143" s="205" t="s">
        <v>87</v>
      </c>
      <c r="H143" s="205" t="s">
        <v>88</v>
      </c>
      <c r="I143" s="206" t="s">
        <v>89</v>
      </c>
      <c r="J143" s="207" t="s">
        <v>90</v>
      </c>
      <c r="K143" s="208" t="s">
        <v>91</v>
      </c>
      <c r="L143" s="207" t="s">
        <v>92</v>
      </c>
      <c r="M143" s="208" t="s">
        <v>91</v>
      </c>
      <c r="N143" s="209" t="s">
        <v>93</v>
      </c>
      <c r="O143" s="158"/>
      <c r="P143" s="158"/>
    </row>
    <row r="144" spans="1:16" ht="19.5" customHeight="1">
      <c r="A144" s="2120" t="s">
        <v>342</v>
      </c>
      <c r="B144" s="2039"/>
      <c r="C144" s="99">
        <v>2014</v>
      </c>
      <c r="D144" s="33"/>
      <c r="E144" s="33"/>
      <c r="F144" s="34"/>
      <c r="G144" s="168"/>
      <c r="H144" s="168"/>
      <c r="I144" s="210">
        <f>D144+F144+G144+H144</f>
        <v>0</v>
      </c>
      <c r="J144" s="211"/>
      <c r="K144" s="212"/>
      <c r="L144" s="211"/>
      <c r="M144" s="212"/>
      <c r="N144" s="213"/>
      <c r="O144" s="158"/>
      <c r="P144" s="158"/>
    </row>
    <row r="145" spans="1:16" ht="19.5" customHeight="1">
      <c r="A145" s="2121"/>
      <c r="B145" s="2039"/>
      <c r="C145" s="103">
        <v>2015</v>
      </c>
      <c r="D145" s="40"/>
      <c r="E145" s="40"/>
      <c r="F145" s="41"/>
      <c r="G145" s="171"/>
      <c r="H145" s="171"/>
      <c r="I145" s="210">
        <f t="shared" ref="I145:I150" si="13">D145+F145+G145+H145</f>
        <v>0</v>
      </c>
      <c r="J145" s="214"/>
      <c r="K145" s="215"/>
      <c r="L145" s="214"/>
      <c r="M145" s="215"/>
      <c r="N145" s="216"/>
      <c r="O145" s="158"/>
      <c r="P145" s="158"/>
    </row>
    <row r="146" spans="1:16" ht="20.25" customHeight="1">
      <c r="A146" s="2121"/>
      <c r="B146" s="2039"/>
      <c r="C146" s="103">
        <v>2016</v>
      </c>
      <c r="D146" s="40"/>
      <c r="E146" s="40"/>
      <c r="F146" s="41"/>
      <c r="G146" s="171"/>
      <c r="H146" s="171"/>
      <c r="I146" s="210">
        <f t="shared" si="13"/>
        <v>0</v>
      </c>
      <c r="J146" s="214"/>
      <c r="K146" s="215"/>
      <c r="L146" s="214"/>
      <c r="M146" s="215"/>
      <c r="N146" s="216"/>
      <c r="O146" s="158"/>
      <c r="P146" s="158"/>
    </row>
    <row r="147" spans="1:16" ht="17.25" customHeight="1">
      <c r="A147" s="2121"/>
      <c r="B147" s="2039"/>
      <c r="C147" s="103">
        <v>2017</v>
      </c>
      <c r="D147" s="40"/>
      <c r="E147" s="40"/>
      <c r="F147" s="41"/>
      <c r="G147" s="171"/>
      <c r="H147" s="171"/>
      <c r="I147" s="210">
        <f t="shared" si="13"/>
        <v>0</v>
      </c>
      <c r="J147" s="214"/>
      <c r="K147" s="215"/>
      <c r="L147" s="214"/>
      <c r="M147" s="215"/>
      <c r="N147" s="216"/>
      <c r="O147" s="158"/>
      <c r="P147" s="158"/>
    </row>
    <row r="148" spans="1:16" ht="19.5" customHeight="1">
      <c r="A148" s="2121"/>
      <c r="B148" s="2039"/>
      <c r="C148" s="103">
        <v>2018</v>
      </c>
      <c r="D148" s="40"/>
      <c r="E148" s="40"/>
      <c r="F148" s="41"/>
      <c r="G148" s="171"/>
      <c r="H148" s="171"/>
      <c r="I148" s="210">
        <f t="shared" si="13"/>
        <v>0</v>
      </c>
      <c r="J148" s="214"/>
      <c r="K148" s="215"/>
      <c r="L148" s="214"/>
      <c r="M148" s="215"/>
      <c r="N148" s="216"/>
      <c r="O148" s="158"/>
      <c r="P148" s="158"/>
    </row>
    <row r="149" spans="1:16" ht="19.5" customHeight="1">
      <c r="A149" s="2121"/>
      <c r="B149" s="2039"/>
      <c r="C149" s="103">
        <v>2019</v>
      </c>
      <c r="D149" s="40"/>
      <c r="E149" s="40"/>
      <c r="F149" s="41"/>
      <c r="G149" s="171"/>
      <c r="H149" s="171"/>
      <c r="I149" s="210">
        <f t="shared" si="13"/>
        <v>0</v>
      </c>
      <c r="J149" s="214"/>
      <c r="K149" s="215"/>
      <c r="L149" s="214"/>
      <c r="M149" s="215"/>
      <c r="N149" s="216"/>
      <c r="O149" s="158"/>
      <c r="P149" s="158"/>
    </row>
    <row r="150" spans="1:16" ht="18.75" customHeight="1">
      <c r="A150" s="2121"/>
      <c r="B150" s="2039"/>
      <c r="C150" s="103">
        <v>2020</v>
      </c>
      <c r="D150" s="40"/>
      <c r="E150" s="40"/>
      <c r="F150" s="41"/>
      <c r="G150" s="171"/>
      <c r="H150" s="171"/>
      <c r="I150" s="210">
        <f t="shared" si="13"/>
        <v>0</v>
      </c>
      <c r="J150" s="214"/>
      <c r="K150" s="215"/>
      <c r="L150" s="214"/>
      <c r="M150" s="215"/>
      <c r="N150" s="216"/>
      <c r="O150" s="158"/>
      <c r="P150" s="158"/>
    </row>
    <row r="151" spans="1:16" ht="18" customHeight="1" thickBot="1">
      <c r="A151" s="2067"/>
      <c r="B151" s="2042"/>
      <c r="C151" s="106" t="s">
        <v>13</v>
      </c>
      <c r="D151" s="132">
        <f>SUM(D144:D150)</f>
        <v>0</v>
      </c>
      <c r="E151" s="132">
        <f t="shared" ref="E151:I151" si="14">SUM(E144:E150)</f>
        <v>0</v>
      </c>
      <c r="F151" s="132">
        <f t="shared" si="14"/>
        <v>0</v>
      </c>
      <c r="G151" s="132">
        <f t="shared" si="14"/>
        <v>0</v>
      </c>
      <c r="H151" s="132">
        <f t="shared" si="14"/>
        <v>0</v>
      </c>
      <c r="I151" s="217">
        <f t="shared" si="14"/>
        <v>0</v>
      </c>
      <c r="J151" s="218">
        <f>SUM(J144:J150)</f>
        <v>0</v>
      </c>
      <c r="K151" s="219">
        <f>SUM(K144:K150)</f>
        <v>0</v>
      </c>
      <c r="L151" s="218">
        <f>SUM(L144:L150)</f>
        <v>0</v>
      </c>
      <c r="M151" s="219">
        <f>SUM(M144:M150)</f>
        <v>0</v>
      </c>
      <c r="N151" s="220">
        <f>SUM(N144:N150)</f>
        <v>0</v>
      </c>
      <c r="O151" s="158"/>
      <c r="P151" s="158"/>
    </row>
    <row r="152" spans="1:16" ht="27" customHeight="1" thickBot="1">
      <c r="B152" s="221"/>
      <c r="O152" s="158"/>
      <c r="P152" s="158"/>
    </row>
    <row r="153" spans="1:16" ht="35.25" customHeight="1">
      <c r="A153" s="2079" t="s">
        <v>94</v>
      </c>
      <c r="B153" s="2074" t="s">
        <v>62</v>
      </c>
      <c r="C153" s="2081" t="s">
        <v>9</v>
      </c>
      <c r="D153" s="222" t="s">
        <v>95</v>
      </c>
      <c r="E153" s="222"/>
      <c r="F153" s="223"/>
      <c r="G153" s="223"/>
      <c r="H153" s="222" t="s">
        <v>96</v>
      </c>
      <c r="I153" s="222"/>
      <c r="J153" s="224"/>
      <c r="K153" s="1177"/>
      <c r="L153" s="1177"/>
      <c r="M153" s="1177"/>
      <c r="N153" s="1177"/>
      <c r="O153" s="158"/>
      <c r="P153" s="158"/>
    </row>
    <row r="154" spans="1:16" ht="49.5" customHeight="1">
      <c r="A154" s="2125"/>
      <c r="B154" s="2075"/>
      <c r="C154" s="2082"/>
      <c r="D154" s="225" t="s">
        <v>97</v>
      </c>
      <c r="E154" s="226" t="s">
        <v>98</v>
      </c>
      <c r="F154" s="227" t="s">
        <v>99</v>
      </c>
      <c r="G154" s="228" t="s">
        <v>100</v>
      </c>
      <c r="H154" s="225" t="s">
        <v>101</v>
      </c>
      <c r="I154" s="226" t="s">
        <v>102</v>
      </c>
      <c r="J154" s="229" t="s">
        <v>93</v>
      </c>
      <c r="K154" s="1177"/>
      <c r="L154" s="1177"/>
      <c r="M154" s="1177"/>
      <c r="N154" s="1177"/>
      <c r="O154" s="158"/>
      <c r="P154" s="158"/>
    </row>
    <row r="155" spans="1:16" ht="18.75" customHeight="1">
      <c r="A155" s="2120" t="s">
        <v>342</v>
      </c>
      <c r="B155" s="2039"/>
      <c r="C155" s="230">
        <v>2014</v>
      </c>
      <c r="D155" s="211"/>
      <c r="E155" s="168"/>
      <c r="F155" s="212"/>
      <c r="G155" s="210">
        <f>SUM(D155:F155)</f>
        <v>0</v>
      </c>
      <c r="H155" s="211"/>
      <c r="I155" s="168"/>
      <c r="J155" s="169"/>
      <c r="O155" s="158"/>
      <c r="P155" s="158"/>
    </row>
    <row r="156" spans="1:16" ht="19.5" customHeight="1">
      <c r="A156" s="2121"/>
      <c r="B156" s="2039"/>
      <c r="C156" s="231">
        <v>2015</v>
      </c>
      <c r="D156" s="214"/>
      <c r="E156" s="171"/>
      <c r="F156" s="215"/>
      <c r="G156" s="210">
        <f t="shared" ref="G156:G161" si="15">SUM(D156:F156)</f>
        <v>0</v>
      </c>
      <c r="H156" s="214"/>
      <c r="I156" s="171"/>
      <c r="J156" s="172"/>
      <c r="O156" s="158"/>
      <c r="P156" s="158"/>
    </row>
    <row r="157" spans="1:16" ht="17.25" customHeight="1">
      <c r="A157" s="2121"/>
      <c r="B157" s="2039"/>
      <c r="C157" s="231">
        <v>2016</v>
      </c>
      <c r="D157" s="214"/>
      <c r="E157" s="171"/>
      <c r="F157" s="215"/>
      <c r="G157" s="210">
        <f t="shared" si="15"/>
        <v>0</v>
      </c>
      <c r="H157" s="214"/>
      <c r="I157" s="171"/>
      <c r="J157" s="172"/>
      <c r="O157" s="158"/>
      <c r="P157" s="158"/>
    </row>
    <row r="158" spans="1:16" ht="15" customHeight="1">
      <c r="A158" s="2121"/>
      <c r="B158" s="2039"/>
      <c r="C158" s="231">
        <v>2017</v>
      </c>
      <c r="D158" s="214"/>
      <c r="E158" s="171"/>
      <c r="F158" s="215"/>
      <c r="G158" s="210">
        <f t="shared" si="15"/>
        <v>0</v>
      </c>
      <c r="H158" s="214"/>
      <c r="I158" s="171"/>
      <c r="J158" s="172"/>
      <c r="O158" s="158"/>
      <c r="P158" s="158"/>
    </row>
    <row r="159" spans="1:16" ht="19.5" customHeight="1">
      <c r="A159" s="2121"/>
      <c r="B159" s="2039"/>
      <c r="C159" s="231">
        <v>2018</v>
      </c>
      <c r="D159" s="214"/>
      <c r="E159" s="171"/>
      <c r="F159" s="215"/>
      <c r="G159" s="210">
        <f t="shared" si="15"/>
        <v>0</v>
      </c>
      <c r="H159" s="214"/>
      <c r="I159" s="171"/>
      <c r="J159" s="172"/>
      <c r="O159" s="158"/>
      <c r="P159" s="158"/>
    </row>
    <row r="160" spans="1:16" ht="15" customHeight="1">
      <c r="A160" s="2121"/>
      <c r="B160" s="2039"/>
      <c r="C160" s="231">
        <v>2019</v>
      </c>
      <c r="D160" s="214"/>
      <c r="E160" s="171"/>
      <c r="F160" s="215"/>
      <c r="G160" s="210">
        <f t="shared" si="15"/>
        <v>0</v>
      </c>
      <c r="H160" s="214"/>
      <c r="I160" s="171"/>
      <c r="J160" s="172"/>
      <c r="O160" s="158"/>
      <c r="P160" s="158"/>
    </row>
    <row r="161" spans="1:18" ht="17.25" customHeight="1">
      <c r="A161" s="2121"/>
      <c r="B161" s="2039"/>
      <c r="C161" s="231">
        <v>2020</v>
      </c>
      <c r="D161" s="214"/>
      <c r="E161" s="171"/>
      <c r="F161" s="215"/>
      <c r="G161" s="210">
        <f t="shared" si="15"/>
        <v>0</v>
      </c>
      <c r="H161" s="214"/>
      <c r="I161" s="171"/>
      <c r="J161" s="172"/>
      <c r="O161" s="158"/>
      <c r="P161" s="158"/>
    </row>
    <row r="162" spans="1:18" ht="15.75" thickBot="1">
      <c r="A162" s="2067"/>
      <c r="B162" s="2042"/>
      <c r="C162" s="232" t="s">
        <v>13</v>
      </c>
      <c r="D162" s="218">
        <f t="shared" ref="D162:G162" si="16">SUM(D155:D161)</f>
        <v>0</v>
      </c>
      <c r="E162" s="174">
        <f t="shared" si="16"/>
        <v>0</v>
      </c>
      <c r="F162" s="219">
        <f t="shared" si="16"/>
        <v>0</v>
      </c>
      <c r="G162" s="219">
        <f t="shared" si="16"/>
        <v>0</v>
      </c>
      <c r="H162" s="218">
        <f>SUM(H155:H161)</f>
        <v>0</v>
      </c>
      <c r="I162" s="174">
        <f>SUM(I155:I161)</f>
        <v>0</v>
      </c>
      <c r="J162" s="233">
        <f>SUM(J155:J161)</f>
        <v>0</v>
      </c>
    </row>
    <row r="163" spans="1:18" ht="24.75" customHeight="1" thickBot="1">
      <c r="A163" s="234"/>
      <c r="B163" s="235"/>
      <c r="C163" s="236"/>
      <c r="D163" s="158"/>
      <c r="E163" s="237"/>
      <c r="F163" s="158"/>
      <c r="G163" s="158"/>
      <c r="H163" s="158"/>
      <c r="I163" s="158"/>
      <c r="J163" s="238"/>
      <c r="K163" s="239"/>
    </row>
    <row r="164" spans="1:18" ht="95.25" customHeight="1">
      <c r="A164" s="240" t="s">
        <v>103</v>
      </c>
      <c r="B164" s="241" t="s">
        <v>104</v>
      </c>
      <c r="C164" s="242" t="s">
        <v>9</v>
      </c>
      <c r="D164" s="243" t="s">
        <v>105</v>
      </c>
      <c r="E164" s="243" t="s">
        <v>106</v>
      </c>
      <c r="F164" s="244" t="s">
        <v>107</v>
      </c>
      <c r="G164" s="243" t="s">
        <v>108</v>
      </c>
      <c r="H164" s="243" t="s">
        <v>109</v>
      </c>
      <c r="I164" s="245" t="s">
        <v>110</v>
      </c>
      <c r="J164" s="246" t="s">
        <v>111</v>
      </c>
      <c r="K164" s="246" t="s">
        <v>112</v>
      </c>
      <c r="L164" s="473"/>
    </row>
    <row r="165" spans="1:18" ht="15.75" customHeight="1">
      <c r="A165" s="2238" t="s">
        <v>342</v>
      </c>
      <c r="B165" s="2127"/>
      <c r="C165" s="248">
        <v>2014</v>
      </c>
      <c r="D165" s="168"/>
      <c r="E165" s="168"/>
      <c r="F165" s="168"/>
      <c r="G165" s="168"/>
      <c r="H165" s="168"/>
      <c r="I165" s="169"/>
      <c r="J165" s="476">
        <f>SUM(D165,F165,H165)</f>
        <v>0</v>
      </c>
      <c r="K165" s="250">
        <f>SUM(E165,G165,I165)</f>
        <v>0</v>
      </c>
      <c r="L165" s="473"/>
    </row>
    <row r="166" spans="1:18">
      <c r="A166" s="2239"/>
      <c r="B166" s="2068"/>
      <c r="C166" s="251">
        <v>2015</v>
      </c>
      <c r="D166" s="252"/>
      <c r="E166" s="252"/>
      <c r="F166" s="252"/>
      <c r="G166" s="252"/>
      <c r="H166" s="252"/>
      <c r="I166" s="253"/>
      <c r="J166" s="477">
        <f t="shared" ref="J166:K171" si="17">SUM(D166,F166,H166)</f>
        <v>0</v>
      </c>
      <c r="K166" s="255">
        <f t="shared" si="17"/>
        <v>0</v>
      </c>
      <c r="L166" s="473"/>
    </row>
    <row r="167" spans="1:18">
      <c r="A167" s="2239"/>
      <c r="B167" s="2068"/>
      <c r="C167" s="251">
        <v>2016</v>
      </c>
      <c r="D167" s="252"/>
      <c r="E167" s="252"/>
      <c r="F167" s="252"/>
      <c r="G167" s="252"/>
      <c r="H167" s="252"/>
      <c r="I167" s="253"/>
      <c r="J167" s="477">
        <f t="shared" si="17"/>
        <v>0</v>
      </c>
      <c r="K167" s="255">
        <f t="shared" si="17"/>
        <v>0</v>
      </c>
    </row>
    <row r="168" spans="1:18">
      <c r="A168" s="2239"/>
      <c r="B168" s="2068"/>
      <c r="C168" s="251">
        <v>2017</v>
      </c>
      <c r="D168" s="252"/>
      <c r="E168" s="158"/>
      <c r="F168" s="252"/>
      <c r="G168" s="252"/>
      <c r="H168" s="252"/>
      <c r="I168" s="253"/>
      <c r="J168" s="477">
        <f t="shared" si="17"/>
        <v>0</v>
      </c>
      <c r="K168" s="255">
        <f t="shared" si="17"/>
        <v>0</v>
      </c>
    </row>
    <row r="169" spans="1:18">
      <c r="A169" s="2239"/>
      <c r="B169" s="2068"/>
      <c r="C169" s="256">
        <v>2018</v>
      </c>
      <c r="D169" s="252"/>
      <c r="E169" s="252"/>
      <c r="F169" s="252"/>
      <c r="G169" s="257"/>
      <c r="H169" s="252"/>
      <c r="I169" s="253"/>
      <c r="J169" s="477">
        <f t="shared" si="17"/>
        <v>0</v>
      </c>
      <c r="K169" s="255">
        <f t="shared" si="17"/>
        <v>0</v>
      </c>
      <c r="L169" s="473"/>
    </row>
    <row r="170" spans="1:18">
      <c r="A170" s="2239"/>
      <c r="B170" s="2068"/>
      <c r="C170" s="251">
        <v>2019</v>
      </c>
      <c r="D170" s="158"/>
      <c r="E170" s="252"/>
      <c r="F170" s="252"/>
      <c r="G170" s="252"/>
      <c r="H170" s="257"/>
      <c r="I170" s="253"/>
      <c r="J170" s="477">
        <f t="shared" si="17"/>
        <v>0</v>
      </c>
      <c r="K170" s="255">
        <f t="shared" si="17"/>
        <v>0</v>
      </c>
      <c r="L170" s="473"/>
    </row>
    <row r="171" spans="1:18">
      <c r="A171" s="2239"/>
      <c r="B171" s="2068"/>
      <c r="C171" s="256">
        <v>2020</v>
      </c>
      <c r="D171" s="252"/>
      <c r="E171" s="252"/>
      <c r="F171" s="252"/>
      <c r="G171" s="252"/>
      <c r="H171" s="252"/>
      <c r="I171" s="253"/>
      <c r="J171" s="477">
        <f t="shared" si="17"/>
        <v>0</v>
      </c>
      <c r="K171" s="255">
        <f t="shared" si="17"/>
        <v>0</v>
      </c>
      <c r="L171" s="473"/>
    </row>
    <row r="172" spans="1:18" ht="41.25" customHeight="1" thickBot="1">
      <c r="A172" s="2240"/>
      <c r="B172" s="2071"/>
      <c r="C172" s="258" t="s">
        <v>13</v>
      </c>
      <c r="D172" s="174">
        <f>SUM(D165:D171)</f>
        <v>0</v>
      </c>
      <c r="E172" s="174">
        <f t="shared" ref="E172:K172" si="18">SUM(E165:E171)</f>
        <v>0</v>
      </c>
      <c r="F172" s="174">
        <f t="shared" si="18"/>
        <v>0</v>
      </c>
      <c r="G172" s="174">
        <f t="shared" si="18"/>
        <v>0</v>
      </c>
      <c r="H172" s="174">
        <f t="shared" si="18"/>
        <v>0</v>
      </c>
      <c r="I172" s="259">
        <f t="shared" si="18"/>
        <v>0</v>
      </c>
      <c r="J172" s="260">
        <f t="shared" si="18"/>
        <v>0</v>
      </c>
      <c r="K172" s="218">
        <f t="shared" si="18"/>
        <v>0</v>
      </c>
      <c r="L172" s="473"/>
    </row>
    <row r="173" spans="1:18" s="66" customFormat="1" ht="18.75" customHeight="1">
      <c r="A173" s="261"/>
      <c r="B173" s="79"/>
      <c r="C173" s="80"/>
      <c r="D173" s="38"/>
      <c r="E173" s="38"/>
      <c r="F173" s="38"/>
      <c r="G173" s="262"/>
      <c r="H173" s="262"/>
      <c r="I173" s="262"/>
      <c r="J173" s="262"/>
      <c r="K173" s="262"/>
      <c r="L173" s="262"/>
      <c r="M173" s="262"/>
      <c r="N173" s="262"/>
      <c r="O173" s="262"/>
      <c r="P173" s="262"/>
      <c r="Q173" s="262"/>
      <c r="R173" s="263"/>
    </row>
    <row r="174" spans="1:18" ht="21">
      <c r="A174" s="264" t="s">
        <v>114</v>
      </c>
      <c r="B174" s="264"/>
      <c r="C174" s="265"/>
      <c r="D174" s="265"/>
      <c r="E174" s="265"/>
      <c r="F174" s="265"/>
      <c r="G174" s="265"/>
      <c r="H174" s="265"/>
      <c r="I174" s="265"/>
      <c r="J174" s="265"/>
      <c r="K174" s="265"/>
      <c r="L174" s="265"/>
      <c r="M174" s="265"/>
      <c r="N174" s="265"/>
      <c r="O174" s="265"/>
    </row>
    <row r="175" spans="1:18" ht="18.75" customHeight="1" thickBot="1">
      <c r="A175" s="266"/>
      <c r="B175" s="266"/>
    </row>
    <row r="176" spans="1:18" s="1177" customFormat="1" ht="22.5" customHeight="1" thickBot="1">
      <c r="A176" s="2097" t="s">
        <v>115</v>
      </c>
      <c r="B176" s="2099" t="s">
        <v>116</v>
      </c>
      <c r="C176" s="2101" t="s">
        <v>9</v>
      </c>
      <c r="D176" s="267" t="s">
        <v>117</v>
      </c>
      <c r="E176" s="268"/>
      <c r="F176" s="268"/>
      <c r="G176" s="269"/>
      <c r="H176" s="270"/>
      <c r="I176" s="2103" t="s">
        <v>118</v>
      </c>
      <c r="J176" s="2104"/>
      <c r="K176" s="2104"/>
      <c r="L176" s="2104"/>
      <c r="M176" s="2104"/>
      <c r="N176" s="2104"/>
      <c r="O176" s="2105"/>
    </row>
    <row r="177" spans="1:15" s="1177" customFormat="1" ht="129.75" customHeight="1">
      <c r="A177" s="2098"/>
      <c r="B177" s="2100"/>
      <c r="C177" s="2102"/>
      <c r="D177" s="271" t="s">
        <v>119</v>
      </c>
      <c r="E177" s="272" t="s">
        <v>120</v>
      </c>
      <c r="F177" s="272" t="s">
        <v>121</v>
      </c>
      <c r="G177" s="273" t="s">
        <v>122</v>
      </c>
      <c r="H177" s="274" t="s">
        <v>123</v>
      </c>
      <c r="I177" s="275" t="s">
        <v>53</v>
      </c>
      <c r="J177" s="276" t="s">
        <v>54</v>
      </c>
      <c r="K177" s="276" t="s">
        <v>55</v>
      </c>
      <c r="L177" s="276" t="s">
        <v>56</v>
      </c>
      <c r="M177" s="276" t="s">
        <v>57</v>
      </c>
      <c r="N177" s="276" t="s">
        <v>58</v>
      </c>
      <c r="O177" s="277" t="s">
        <v>59</v>
      </c>
    </row>
    <row r="178" spans="1:15" ht="19.5" customHeight="1">
      <c r="A178" s="2120" t="s">
        <v>461</v>
      </c>
      <c r="B178" s="2039"/>
      <c r="C178" s="99">
        <v>2014</v>
      </c>
      <c r="D178" s="33"/>
      <c r="E178" s="34"/>
      <c r="F178" s="34"/>
      <c r="G178" s="278">
        <f>SUM(D178:F178)</f>
        <v>0</v>
      </c>
      <c r="H178" s="148"/>
      <c r="I178" s="148"/>
      <c r="J178" s="34"/>
      <c r="K178" s="34"/>
      <c r="L178" s="34"/>
      <c r="M178" s="34"/>
      <c r="N178" s="34"/>
      <c r="O178" s="37"/>
    </row>
    <row r="179" spans="1:15" ht="21" customHeight="1">
      <c r="A179" s="2121"/>
      <c r="B179" s="2039"/>
      <c r="C179" s="103">
        <v>2015</v>
      </c>
      <c r="D179" s="40"/>
      <c r="E179" s="41"/>
      <c r="F179" s="41"/>
      <c r="G179" s="278">
        <f t="shared" ref="G179:G184" si="19">SUM(D179:F179)</f>
        <v>0</v>
      </c>
      <c r="H179" s="279"/>
      <c r="I179" s="105"/>
      <c r="J179" s="41"/>
      <c r="K179" s="41"/>
      <c r="L179" s="41"/>
      <c r="M179" s="41"/>
      <c r="N179" s="41"/>
      <c r="O179" s="86"/>
    </row>
    <row r="180" spans="1:15" ht="21" customHeight="1">
      <c r="A180" s="2121"/>
      <c r="B180" s="2039"/>
      <c r="C180" s="103">
        <v>2016</v>
      </c>
      <c r="D180" s="40">
        <v>52</v>
      </c>
      <c r="E180" s="41">
        <v>3</v>
      </c>
      <c r="F180" s="41"/>
      <c r="G180" s="278">
        <f t="shared" si="19"/>
        <v>55</v>
      </c>
      <c r="H180" s="279">
        <v>68</v>
      </c>
      <c r="I180" s="105"/>
      <c r="J180" s="41">
        <v>1</v>
      </c>
      <c r="K180" s="41"/>
      <c r="L180" s="41">
        <v>48</v>
      </c>
      <c r="M180" s="41">
        <v>1</v>
      </c>
      <c r="N180" s="41"/>
      <c r="O180" s="86">
        <v>5</v>
      </c>
    </row>
    <row r="181" spans="1:15" ht="20.25" customHeight="1">
      <c r="A181" s="2121"/>
      <c r="B181" s="2039"/>
      <c r="C181" s="103">
        <v>2017</v>
      </c>
      <c r="D181" s="40">
        <v>6</v>
      </c>
      <c r="E181" s="41">
        <v>1</v>
      </c>
      <c r="F181" s="41"/>
      <c r="G181" s="278">
        <f t="shared" si="19"/>
        <v>7</v>
      </c>
      <c r="H181" s="279"/>
      <c r="I181" s="105"/>
      <c r="J181" s="41"/>
      <c r="K181" s="41"/>
      <c r="L181" s="41">
        <v>3</v>
      </c>
      <c r="M181" s="41"/>
      <c r="N181" s="41"/>
      <c r="O181" s="86">
        <v>4</v>
      </c>
    </row>
    <row r="182" spans="1:15" ht="20.25" customHeight="1">
      <c r="A182" s="2121"/>
      <c r="B182" s="2039"/>
      <c r="C182" s="103">
        <v>2018</v>
      </c>
      <c r="D182" s="40"/>
      <c r="E182" s="41"/>
      <c r="F182" s="41"/>
      <c r="G182" s="278">
        <f t="shared" si="19"/>
        <v>0</v>
      </c>
      <c r="H182" s="279"/>
      <c r="I182" s="105"/>
      <c r="J182" s="41"/>
      <c r="K182" s="41"/>
      <c r="L182" s="41"/>
      <c r="M182" s="41"/>
      <c r="N182" s="41"/>
      <c r="O182" s="86"/>
    </row>
    <row r="183" spans="1:15" ht="23.25" customHeight="1">
      <c r="A183" s="2121"/>
      <c r="B183" s="2039"/>
      <c r="C183" s="103">
        <v>2019</v>
      </c>
      <c r="D183" s="40"/>
      <c r="E183" s="41"/>
      <c r="F183" s="41"/>
      <c r="G183" s="278">
        <f t="shared" si="19"/>
        <v>0</v>
      </c>
      <c r="H183" s="279"/>
      <c r="I183" s="105"/>
      <c r="J183" s="41"/>
      <c r="K183" s="41"/>
      <c r="L183" s="41"/>
      <c r="M183" s="41"/>
      <c r="N183" s="41"/>
      <c r="O183" s="86"/>
    </row>
    <row r="184" spans="1:15" ht="24" customHeight="1">
      <c r="A184" s="2121"/>
      <c r="B184" s="2039"/>
      <c r="C184" s="103">
        <v>2020</v>
      </c>
      <c r="D184" s="40"/>
      <c r="E184" s="41"/>
      <c r="F184" s="41"/>
      <c r="G184" s="278">
        <f t="shared" si="19"/>
        <v>0</v>
      </c>
      <c r="H184" s="279"/>
      <c r="I184" s="105"/>
      <c r="J184" s="41"/>
      <c r="K184" s="41"/>
      <c r="L184" s="41"/>
      <c r="M184" s="41"/>
      <c r="N184" s="41"/>
      <c r="O184" s="86"/>
    </row>
    <row r="185" spans="1:15" ht="30.75" customHeight="1" thickBot="1">
      <c r="A185" s="2067"/>
      <c r="B185" s="2042"/>
      <c r="C185" s="106" t="s">
        <v>13</v>
      </c>
      <c r="D185" s="132">
        <f>SUM(D178:D184)</f>
        <v>58</v>
      </c>
      <c r="E185" s="109">
        <f>SUM(E178:E184)</f>
        <v>4</v>
      </c>
      <c r="F185" s="109">
        <f>SUM(F178:F184)</f>
        <v>0</v>
      </c>
      <c r="G185" s="217">
        <f t="shared" ref="G185:O185" si="20">SUM(G178:G184)</f>
        <v>62</v>
      </c>
      <c r="H185" s="280">
        <f t="shared" si="20"/>
        <v>68</v>
      </c>
      <c r="I185" s="108">
        <f t="shared" si="20"/>
        <v>0</v>
      </c>
      <c r="J185" s="109">
        <f t="shared" si="20"/>
        <v>1</v>
      </c>
      <c r="K185" s="109">
        <f t="shared" si="20"/>
        <v>0</v>
      </c>
      <c r="L185" s="109">
        <f t="shared" si="20"/>
        <v>51</v>
      </c>
      <c r="M185" s="109">
        <f t="shared" si="20"/>
        <v>1</v>
      </c>
      <c r="N185" s="109">
        <f t="shared" si="20"/>
        <v>0</v>
      </c>
      <c r="O185" s="110">
        <f t="shared" si="20"/>
        <v>9</v>
      </c>
    </row>
    <row r="186" spans="1:15" ht="21" customHeight="1" thickBot="1"/>
    <row r="187" spans="1:15" ht="19.5" customHeight="1">
      <c r="A187" s="2109" t="s">
        <v>125</v>
      </c>
      <c r="B187" s="2099" t="s">
        <v>116</v>
      </c>
      <c r="C187" s="2089" t="s">
        <v>9</v>
      </c>
      <c r="D187" s="2085" t="s">
        <v>126</v>
      </c>
      <c r="E187" s="2086"/>
      <c r="F187" s="2086"/>
      <c r="G187" s="2087"/>
      <c r="H187" s="2088" t="s">
        <v>127</v>
      </c>
      <c r="I187" s="2089"/>
      <c r="J187" s="2089"/>
      <c r="K187" s="2089"/>
      <c r="L187" s="2090"/>
    </row>
    <row r="188" spans="1:15" ht="90">
      <c r="A188" s="2110"/>
      <c r="B188" s="2100"/>
      <c r="C188" s="2111"/>
      <c r="D188" s="281" t="s">
        <v>128</v>
      </c>
      <c r="E188" s="281" t="s">
        <v>129</v>
      </c>
      <c r="F188" s="281" t="s">
        <v>130</v>
      </c>
      <c r="G188" s="282" t="s">
        <v>13</v>
      </c>
      <c r="H188" s="283" t="s">
        <v>131</v>
      </c>
      <c r="I188" s="281" t="s">
        <v>132</v>
      </c>
      <c r="J188" s="281" t="s">
        <v>133</v>
      </c>
      <c r="K188" s="281" t="s">
        <v>134</v>
      </c>
      <c r="L188" s="284" t="s">
        <v>135</v>
      </c>
    </row>
    <row r="189" spans="1:15" ht="15" customHeight="1">
      <c r="A189" s="2023" t="s">
        <v>462</v>
      </c>
      <c r="B189" s="2213"/>
      <c r="C189" s="285">
        <v>2014</v>
      </c>
      <c r="D189" s="126"/>
      <c r="E189" s="102"/>
      <c r="F189" s="102"/>
      <c r="G189" s="286">
        <f>SUM(D189:F189)</f>
        <v>0</v>
      </c>
      <c r="H189" s="101"/>
      <c r="I189" s="102"/>
      <c r="J189" s="102"/>
      <c r="K189" s="102"/>
      <c r="L189" s="127"/>
    </row>
    <row r="190" spans="1:15">
      <c r="A190" s="2118"/>
      <c r="B190" s="2214"/>
      <c r="C190" s="74">
        <v>2015</v>
      </c>
      <c r="D190" s="40"/>
      <c r="E190" s="41"/>
      <c r="F190" s="41"/>
      <c r="G190" s="286">
        <f t="shared" ref="G190:G195" si="21">SUM(D190:F190)</f>
        <v>0</v>
      </c>
      <c r="H190" s="105"/>
      <c r="I190" s="41"/>
      <c r="J190" s="41"/>
      <c r="K190" s="41"/>
      <c r="L190" s="86"/>
    </row>
    <row r="191" spans="1:15">
      <c r="A191" s="2118"/>
      <c r="B191" s="2214"/>
      <c r="C191" s="74">
        <v>2016</v>
      </c>
      <c r="D191" s="40">
        <v>1175</v>
      </c>
      <c r="E191" s="41">
        <v>49</v>
      </c>
      <c r="F191" s="41"/>
      <c r="G191" s="286">
        <f t="shared" si="21"/>
        <v>1224</v>
      </c>
      <c r="H191" s="105"/>
      <c r="I191" s="41"/>
      <c r="J191" s="190">
        <v>34</v>
      </c>
      <c r="K191" s="190"/>
      <c r="L191" s="430">
        <v>1190</v>
      </c>
    </row>
    <row r="192" spans="1:15">
      <c r="A192" s="2118"/>
      <c r="B192" s="2214"/>
      <c r="C192" s="74">
        <v>2017</v>
      </c>
      <c r="D192" s="40">
        <v>3031</v>
      </c>
      <c r="E192" s="41">
        <v>6</v>
      </c>
      <c r="F192" s="41"/>
      <c r="G192" s="286">
        <f t="shared" si="21"/>
        <v>3037</v>
      </c>
      <c r="H192" s="105"/>
      <c r="I192" s="41"/>
      <c r="J192" s="41"/>
      <c r="K192" s="41"/>
      <c r="L192" s="86">
        <v>3037</v>
      </c>
    </row>
    <row r="193" spans="1:14">
      <c r="A193" s="2118"/>
      <c r="B193" s="2214"/>
      <c r="C193" s="74">
        <v>2018</v>
      </c>
      <c r="D193" s="40"/>
      <c r="E193" s="41"/>
      <c r="F193" s="41"/>
      <c r="G193" s="286">
        <f t="shared" si="21"/>
        <v>0</v>
      </c>
      <c r="H193" s="105"/>
      <c r="I193" s="41"/>
      <c r="J193" s="41"/>
      <c r="K193" s="41"/>
      <c r="L193" s="86"/>
    </row>
    <row r="194" spans="1:14">
      <c r="A194" s="2118"/>
      <c r="B194" s="2214"/>
      <c r="C194" s="74">
        <v>2019</v>
      </c>
      <c r="D194" s="40"/>
      <c r="E194" s="41"/>
      <c r="F194" s="41"/>
      <c r="G194" s="286">
        <f t="shared" si="21"/>
        <v>0</v>
      </c>
      <c r="H194" s="105"/>
      <c r="I194" s="41"/>
      <c r="J194" s="41"/>
      <c r="K194" s="41"/>
      <c r="L194" s="86"/>
    </row>
    <row r="195" spans="1:14">
      <c r="A195" s="2118"/>
      <c r="B195" s="2214"/>
      <c r="C195" s="74">
        <v>2020</v>
      </c>
      <c r="D195" s="40"/>
      <c r="E195" s="41"/>
      <c r="F195" s="41"/>
      <c r="G195" s="286">
        <f t="shared" si="21"/>
        <v>0</v>
      </c>
      <c r="H195" s="105"/>
      <c r="I195" s="41"/>
      <c r="J195" s="41"/>
      <c r="K195" s="41"/>
      <c r="L195" s="86"/>
    </row>
    <row r="196" spans="1:14" ht="15.75" thickBot="1">
      <c r="A196" s="2027"/>
      <c r="B196" s="2215"/>
      <c r="C196" s="129" t="s">
        <v>13</v>
      </c>
      <c r="D196" s="132">
        <f t="shared" ref="D196:L196" si="22">SUM(D189:D195)</f>
        <v>4206</v>
      </c>
      <c r="E196" s="109">
        <f t="shared" si="22"/>
        <v>55</v>
      </c>
      <c r="F196" s="109">
        <f t="shared" si="22"/>
        <v>0</v>
      </c>
      <c r="G196" s="290">
        <f t="shared" si="22"/>
        <v>4261</v>
      </c>
      <c r="H196" s="108">
        <f t="shared" si="22"/>
        <v>0</v>
      </c>
      <c r="I196" s="109">
        <f t="shared" si="22"/>
        <v>0</v>
      </c>
      <c r="J196" s="109">
        <f t="shared" si="22"/>
        <v>34</v>
      </c>
      <c r="K196" s="109">
        <f t="shared" si="22"/>
        <v>0</v>
      </c>
      <c r="L196" s="110">
        <f t="shared" si="22"/>
        <v>4227</v>
      </c>
    </row>
    <row r="197" spans="1:14" ht="10.5" customHeight="1"/>
    <row r="198" spans="1:14" ht="6.75" customHeight="1"/>
    <row r="199" spans="1:14" ht="21">
      <c r="A199" s="291" t="s">
        <v>137</v>
      </c>
      <c r="B199" s="291"/>
      <c r="C199" s="292"/>
      <c r="D199" s="292"/>
      <c r="E199" s="292"/>
      <c r="F199" s="292"/>
      <c r="G199" s="292"/>
      <c r="H199" s="292"/>
      <c r="I199" s="292"/>
      <c r="J199" s="292"/>
      <c r="K199" s="292"/>
      <c r="L199" s="292"/>
      <c r="M199" s="66"/>
      <c r="N199" s="66"/>
    </row>
    <row r="200" spans="1:14" ht="10.5" customHeight="1" thickBot="1">
      <c r="A200" s="293"/>
      <c r="B200" s="293"/>
      <c r="C200" s="292"/>
      <c r="D200" s="292"/>
      <c r="E200" s="292"/>
      <c r="F200" s="292"/>
      <c r="G200" s="292"/>
      <c r="H200" s="292"/>
      <c r="I200" s="292"/>
      <c r="J200" s="292"/>
      <c r="K200" s="292"/>
      <c r="L200" s="292"/>
    </row>
    <row r="201" spans="1:14" s="1177" customFormat="1" ht="101.25" customHeight="1">
      <c r="A201" s="367" t="s">
        <v>138</v>
      </c>
      <c r="B201" s="295" t="s">
        <v>116</v>
      </c>
      <c r="C201" s="296" t="s">
        <v>9</v>
      </c>
      <c r="D201" s="297" t="s">
        <v>139</v>
      </c>
      <c r="E201" s="298" t="s">
        <v>140</v>
      </c>
      <c r="F201" s="298" t="s">
        <v>141</v>
      </c>
      <c r="G201" s="296" t="s">
        <v>142</v>
      </c>
      <c r="H201" s="299" t="s">
        <v>143</v>
      </c>
      <c r="I201" s="300" t="s">
        <v>144</v>
      </c>
      <c r="J201" s="301" t="s">
        <v>145</v>
      </c>
      <c r="K201" s="298" t="s">
        <v>146</v>
      </c>
      <c r="L201" s="302" t="s">
        <v>147</v>
      </c>
    </row>
    <row r="202" spans="1:14" ht="15" customHeight="1">
      <c r="A202" s="2119" t="s">
        <v>342</v>
      </c>
      <c r="B202" s="2068"/>
      <c r="C202" s="73">
        <v>2014</v>
      </c>
      <c r="D202" s="33"/>
      <c r="E202" s="34"/>
      <c r="F202" s="34"/>
      <c r="G202" s="32"/>
      <c r="H202" s="303"/>
      <c r="I202" s="304"/>
      <c r="J202" s="305"/>
      <c r="K202" s="34"/>
      <c r="L202" s="37"/>
    </row>
    <row r="203" spans="1:14">
      <c r="A203" s="2119"/>
      <c r="B203" s="2068"/>
      <c r="C203" s="74">
        <v>2015</v>
      </c>
      <c r="D203" s="40"/>
      <c r="E203" s="41"/>
      <c r="F203" s="41"/>
      <c r="G203" s="39"/>
      <c r="H203" s="306"/>
      <c r="I203" s="307"/>
      <c r="J203" s="308"/>
      <c r="K203" s="41"/>
      <c r="L203" s="86"/>
    </row>
    <row r="204" spans="1:14">
      <c r="A204" s="2119"/>
      <c r="B204" s="2068"/>
      <c r="C204" s="74">
        <v>2016</v>
      </c>
      <c r="D204" s="40"/>
      <c r="E204" s="41"/>
      <c r="F204" s="41"/>
      <c r="G204" s="39"/>
      <c r="H204" s="306"/>
      <c r="I204" s="307"/>
      <c r="J204" s="308"/>
      <c r="K204" s="41"/>
      <c r="L204" s="86"/>
    </row>
    <row r="205" spans="1:14">
      <c r="A205" s="2119"/>
      <c r="B205" s="2068"/>
      <c r="C205" s="74">
        <v>2017</v>
      </c>
      <c r="D205" s="40"/>
      <c r="E205" s="41"/>
      <c r="F205" s="41"/>
      <c r="G205" s="39"/>
      <c r="H205" s="306"/>
      <c r="I205" s="307"/>
      <c r="J205" s="308"/>
      <c r="K205" s="41"/>
      <c r="L205" s="86"/>
    </row>
    <row r="206" spans="1:14">
      <c r="A206" s="2119"/>
      <c r="B206" s="2068"/>
      <c r="C206" s="74">
        <v>2018</v>
      </c>
      <c r="D206" s="40"/>
      <c r="E206" s="41"/>
      <c r="F206" s="41"/>
      <c r="G206" s="39"/>
      <c r="H206" s="306"/>
      <c r="I206" s="307"/>
      <c r="J206" s="308"/>
      <c r="K206" s="41"/>
      <c r="L206" s="86"/>
    </row>
    <row r="207" spans="1:14">
      <c r="A207" s="2119"/>
      <c r="B207" s="2068"/>
      <c r="C207" s="74">
        <v>2019</v>
      </c>
      <c r="D207" s="40"/>
      <c r="E207" s="41"/>
      <c r="F207" s="41"/>
      <c r="G207" s="39"/>
      <c r="H207" s="306"/>
      <c r="I207" s="307"/>
      <c r="J207" s="308"/>
      <c r="K207" s="41"/>
      <c r="L207" s="86"/>
    </row>
    <row r="208" spans="1:14">
      <c r="A208" s="2119"/>
      <c r="B208" s="2068"/>
      <c r="C208" s="74">
        <v>2020</v>
      </c>
      <c r="D208" s="309"/>
      <c r="E208" s="310"/>
      <c r="F208" s="310"/>
      <c r="G208" s="311"/>
      <c r="H208" s="312"/>
      <c r="I208" s="313"/>
      <c r="J208" s="314"/>
      <c r="K208" s="310"/>
      <c r="L208" s="315"/>
    </row>
    <row r="209" spans="1:12" ht="20.25" customHeight="1" thickBot="1">
      <c r="A209" s="2070"/>
      <c r="B209" s="2071"/>
      <c r="C209" s="129" t="s">
        <v>13</v>
      </c>
      <c r="D209" s="132">
        <f>SUM(D202:D208)</f>
        <v>0</v>
      </c>
      <c r="E209" s="132">
        <f t="shared" ref="E209:L209" si="23">SUM(E202:E208)</f>
        <v>0</v>
      </c>
      <c r="F209" s="132">
        <f t="shared" si="23"/>
        <v>0</v>
      </c>
      <c r="G209" s="132">
        <f t="shared" si="23"/>
        <v>0</v>
      </c>
      <c r="H209" s="132">
        <f t="shared" si="23"/>
        <v>0</v>
      </c>
      <c r="I209" s="132">
        <f t="shared" si="23"/>
        <v>0</v>
      </c>
      <c r="J209" s="132">
        <f t="shared" si="23"/>
        <v>0</v>
      </c>
      <c r="K209" s="132">
        <f t="shared" si="23"/>
        <v>0</v>
      </c>
      <c r="L209" s="132">
        <f t="shared" si="23"/>
        <v>0</v>
      </c>
    </row>
    <row r="211" spans="1:12" ht="15.75" thickBot="1"/>
    <row r="212" spans="1:12" ht="29.25">
      <c r="A212" s="368" t="s">
        <v>148</v>
      </c>
      <c r="B212" s="317" t="s">
        <v>149</v>
      </c>
      <c r="C212" s="318">
        <v>2014</v>
      </c>
      <c r="D212" s="319">
        <v>2015</v>
      </c>
      <c r="E212" s="319">
        <v>2016</v>
      </c>
      <c r="F212" s="319">
        <v>2017</v>
      </c>
      <c r="G212" s="319">
        <v>2018</v>
      </c>
      <c r="H212" s="319">
        <v>2019</v>
      </c>
      <c r="I212" s="320">
        <v>2020</v>
      </c>
    </row>
    <row r="213" spans="1:12" ht="54.75" customHeight="1">
      <c r="A213" t="s">
        <v>150</v>
      </c>
      <c r="B213" s="2241" t="s">
        <v>463</v>
      </c>
      <c r="C213" s="73"/>
      <c r="D213" s="1486"/>
      <c r="E213" s="1487">
        <f>SUM(E214:E217)</f>
        <v>574618.97</v>
      </c>
      <c r="F213" s="1487">
        <f>SUM(F214:F217)</f>
        <v>133154.40999999997</v>
      </c>
      <c r="G213" s="128"/>
      <c r="H213" s="128"/>
      <c r="I213" s="327"/>
    </row>
    <row r="214" spans="1:12" ht="54.75" customHeight="1">
      <c r="A214" t="s">
        <v>153</v>
      </c>
      <c r="B214" s="2242"/>
      <c r="C214" s="73"/>
      <c r="D214" s="1488"/>
      <c r="E214" s="433">
        <v>331474.38</v>
      </c>
      <c r="F214" s="326">
        <v>51170.45</v>
      </c>
      <c r="G214" s="128"/>
      <c r="H214" s="128"/>
      <c r="I214" s="327"/>
    </row>
    <row r="215" spans="1:12" ht="54.75" customHeight="1">
      <c r="A215" t="s">
        <v>155</v>
      </c>
      <c r="B215" s="2242"/>
      <c r="C215" s="73"/>
      <c r="D215" s="1488"/>
      <c r="E215" s="433">
        <v>0</v>
      </c>
      <c r="F215" s="326">
        <v>0</v>
      </c>
      <c r="G215" s="128"/>
      <c r="H215" s="128"/>
      <c r="I215" s="327"/>
    </row>
    <row r="216" spans="1:12" ht="54.75" customHeight="1">
      <c r="A216" t="s">
        <v>157</v>
      </c>
      <c r="B216" s="2242"/>
      <c r="C216" s="73"/>
      <c r="D216" s="1488"/>
      <c r="E216" s="433">
        <v>122534.84</v>
      </c>
      <c r="F216" s="326">
        <v>59969.88</v>
      </c>
      <c r="G216" s="128"/>
      <c r="H216" s="128"/>
      <c r="I216" s="327"/>
    </row>
    <row r="217" spans="1:12" ht="54.75" customHeight="1">
      <c r="A217" t="s">
        <v>158</v>
      </c>
      <c r="B217" s="2242"/>
      <c r="C217" s="73"/>
      <c r="D217" s="1488"/>
      <c r="E217" s="433">
        <v>120609.75</v>
      </c>
      <c r="F217" s="326">
        <v>22014.080000000002</v>
      </c>
      <c r="G217" s="128"/>
      <c r="H217" s="128"/>
      <c r="I217" s="327"/>
    </row>
    <row r="218" spans="1:12" ht="54.75" customHeight="1">
      <c r="A218" s="1177" t="s">
        <v>159</v>
      </c>
      <c r="B218" s="2242"/>
      <c r="C218" s="73"/>
      <c r="D218" s="1489"/>
      <c r="E218" s="1487">
        <v>292064.26</v>
      </c>
      <c r="F218" s="321">
        <v>115129.17</v>
      </c>
      <c r="G218" s="128"/>
      <c r="H218" s="128"/>
      <c r="I218" s="327"/>
    </row>
    <row r="219" spans="1:12" ht="54.75" customHeight="1" thickBot="1">
      <c r="A219" s="349"/>
      <c r="B219" s="2243"/>
      <c r="C219" s="45" t="s">
        <v>13</v>
      </c>
      <c r="D219" s="331">
        <f>SUM(D214:D218)</f>
        <v>0</v>
      </c>
      <c r="E219" s="331">
        <f>SUM(E213,E218)</f>
        <v>866683.23</v>
      </c>
      <c r="F219" s="331">
        <f>SUM(F213,F218)</f>
        <v>248283.57999999996</v>
      </c>
      <c r="G219" s="333">
        <f t="shared" ref="G219:I219" si="24">SUM(G214:G218)</f>
        <v>0</v>
      </c>
      <c r="H219" s="333">
        <f t="shared" si="24"/>
        <v>0</v>
      </c>
      <c r="I219" s="333">
        <f t="shared" si="24"/>
        <v>0</v>
      </c>
    </row>
    <row r="222" spans="1:12">
      <c r="E222" s="325"/>
    </row>
    <row r="223" spans="1:12">
      <c r="E223" s="325"/>
      <c r="F223" s="325"/>
    </row>
    <row r="224" spans="1:12">
      <c r="E224" s="325"/>
    </row>
    <row r="225" spans="5:5">
      <c r="E225" s="1490"/>
    </row>
    <row r="226" spans="5:5">
      <c r="E226" s="325"/>
    </row>
    <row r="227" spans="5:5">
      <c r="E227" s="325"/>
    </row>
    <row r="228" spans="5:5">
      <c r="E228" s="325"/>
    </row>
    <row r="229" spans="5:5">
      <c r="E229" s="325"/>
    </row>
    <row r="230" spans="5:5">
      <c r="E230" s="325"/>
    </row>
    <row r="231" spans="5:5">
      <c r="E231" s="325"/>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9"/>
  <dimension ref="A1:Y228"/>
  <sheetViews>
    <sheetView topLeftCell="F169" zoomScale="90" zoomScaleNormal="90" workbookViewId="0">
      <selection activeCell="F214" sqref="F214:F218"/>
    </sheetView>
  </sheetViews>
  <sheetFormatPr defaultColWidth="8.85546875" defaultRowHeight="15"/>
  <cols>
    <col min="1" max="1" width="91" style="1187" customWidth="1"/>
    <col min="2" max="2" width="29.42578125" style="1187" customWidth="1"/>
    <col min="3" max="3" width="16.140625" style="1187" customWidth="1"/>
    <col min="4" max="5" width="17.7109375" style="1187" customWidth="1"/>
    <col min="6" max="6" width="20.140625" style="1187" customWidth="1"/>
    <col min="7" max="7" width="17.7109375" style="1187" customWidth="1"/>
    <col min="8" max="8" width="14.42578125" style="1187" customWidth="1"/>
    <col min="9" max="9" width="16.7109375" style="1187" customWidth="1"/>
    <col min="10" max="10" width="15.85546875" style="1187" customWidth="1"/>
    <col min="11" max="11" width="17.42578125" style="1187" customWidth="1"/>
    <col min="12" max="12" width="15.42578125" style="1187" customWidth="1"/>
    <col min="13" max="13" width="14.5703125" style="1187" customWidth="1"/>
    <col min="14" max="14" width="14" style="1187" customWidth="1"/>
    <col min="15" max="15" width="13.5703125" style="1187" customWidth="1"/>
    <col min="16" max="25" width="13.7109375" style="1187" customWidth="1"/>
    <col min="26" max="16384" width="8.85546875" style="1187"/>
  </cols>
  <sheetData>
    <row r="1" spans="1:25" s="1181" customFormat="1" ht="15.75">
      <c r="A1" s="1181" t="s">
        <v>0</v>
      </c>
      <c r="B1" s="2246" t="s">
        <v>439</v>
      </c>
      <c r="C1" s="2247"/>
      <c r="D1" s="2247"/>
      <c r="E1" s="2247"/>
      <c r="F1" s="2247"/>
    </row>
    <row r="2" spans="1:25" s="1181" customFormat="1" ht="42" customHeight="1" thickBot="1">
      <c r="A2" s="1181" t="s">
        <v>440</v>
      </c>
      <c r="B2" s="1181" t="s">
        <v>441</v>
      </c>
    </row>
    <row r="3" spans="1:25" s="1184" customFormat="1" ht="20.100000000000001" customHeight="1">
      <c r="A3" s="1182" t="s">
        <v>2</v>
      </c>
      <c r="B3" s="1183"/>
      <c r="C3" s="1183"/>
      <c r="D3" s="1183"/>
      <c r="E3" s="1183"/>
      <c r="F3" s="2248"/>
      <c r="G3" s="2248"/>
      <c r="H3" s="2248"/>
      <c r="I3" s="2248"/>
      <c r="J3" s="2248"/>
      <c r="K3" s="2248"/>
      <c r="L3" s="2248"/>
      <c r="M3" s="2248"/>
      <c r="N3" s="2248"/>
      <c r="O3" s="2249"/>
    </row>
    <row r="4" spans="1:25" s="1184" customFormat="1" ht="20.100000000000001" customHeight="1">
      <c r="A4" s="2250" t="s">
        <v>442</v>
      </c>
      <c r="B4" s="2251"/>
      <c r="C4" s="2251"/>
      <c r="D4" s="2251"/>
      <c r="E4" s="2251"/>
      <c r="F4" s="2251"/>
      <c r="G4" s="2251"/>
      <c r="H4" s="2251"/>
      <c r="I4" s="2251"/>
      <c r="J4" s="2251"/>
      <c r="K4" s="2251"/>
      <c r="L4" s="2251"/>
      <c r="M4" s="2251"/>
      <c r="N4" s="2251"/>
      <c r="O4" s="2252"/>
    </row>
    <row r="5" spans="1:25" s="1184" customFormat="1" ht="20.100000000000001" customHeight="1">
      <c r="A5" s="2250"/>
      <c r="B5" s="2251"/>
      <c r="C5" s="2251"/>
      <c r="D5" s="2251"/>
      <c r="E5" s="2251"/>
      <c r="F5" s="2251"/>
      <c r="G5" s="2251"/>
      <c r="H5" s="2251"/>
      <c r="I5" s="2251"/>
      <c r="J5" s="2251"/>
      <c r="K5" s="2251"/>
      <c r="L5" s="2251"/>
      <c r="M5" s="2251"/>
      <c r="N5" s="2251"/>
      <c r="O5" s="2252"/>
    </row>
    <row r="6" spans="1:25" s="1184" customFormat="1" ht="20.100000000000001" customHeight="1">
      <c r="A6" s="2250"/>
      <c r="B6" s="2251"/>
      <c r="C6" s="2251"/>
      <c r="D6" s="2251"/>
      <c r="E6" s="2251"/>
      <c r="F6" s="2251"/>
      <c r="G6" s="2251"/>
      <c r="H6" s="2251"/>
      <c r="I6" s="2251"/>
      <c r="J6" s="2251"/>
      <c r="K6" s="2251"/>
      <c r="L6" s="2251"/>
      <c r="M6" s="2251"/>
      <c r="N6" s="2251"/>
      <c r="O6" s="2252"/>
    </row>
    <row r="7" spans="1:25" s="1184" customFormat="1" ht="20.100000000000001" customHeight="1">
      <c r="A7" s="2250"/>
      <c r="B7" s="2251"/>
      <c r="C7" s="2251"/>
      <c r="D7" s="2251"/>
      <c r="E7" s="2251"/>
      <c r="F7" s="2251"/>
      <c r="G7" s="2251"/>
      <c r="H7" s="2251"/>
      <c r="I7" s="2251"/>
      <c r="J7" s="2251"/>
      <c r="K7" s="2251"/>
      <c r="L7" s="2251"/>
      <c r="M7" s="2251"/>
      <c r="N7" s="2251"/>
      <c r="O7" s="2252"/>
    </row>
    <row r="8" spans="1:25" s="1184" customFormat="1" ht="20.100000000000001" customHeight="1">
      <c r="A8" s="2250"/>
      <c r="B8" s="2251"/>
      <c r="C8" s="2251"/>
      <c r="D8" s="2251"/>
      <c r="E8" s="2251"/>
      <c r="F8" s="2251"/>
      <c r="G8" s="2251"/>
      <c r="H8" s="2251"/>
      <c r="I8" s="2251"/>
      <c r="J8" s="2251"/>
      <c r="K8" s="2251"/>
      <c r="L8" s="2251"/>
      <c r="M8" s="2251"/>
      <c r="N8" s="2251"/>
      <c r="O8" s="2252"/>
    </row>
    <row r="9" spans="1:25" s="1184" customFormat="1" ht="20.100000000000001" customHeight="1">
      <c r="A9" s="2250"/>
      <c r="B9" s="2251"/>
      <c r="C9" s="2251"/>
      <c r="D9" s="2251"/>
      <c r="E9" s="2251"/>
      <c r="F9" s="2251"/>
      <c r="G9" s="2251"/>
      <c r="H9" s="2251"/>
      <c r="I9" s="2251"/>
      <c r="J9" s="2251"/>
      <c r="K9" s="2251"/>
      <c r="L9" s="2251"/>
      <c r="M9" s="2251"/>
      <c r="N9" s="2251"/>
      <c r="O9" s="2252"/>
    </row>
    <row r="10" spans="1:25" s="1184" customFormat="1" ht="87" customHeight="1" thickBot="1">
      <c r="A10" s="2253"/>
      <c r="B10" s="2254"/>
      <c r="C10" s="2254"/>
      <c r="D10" s="2254"/>
      <c r="E10" s="2254"/>
      <c r="F10" s="2254"/>
      <c r="G10" s="2254"/>
      <c r="H10" s="2254"/>
      <c r="I10" s="2254"/>
      <c r="J10" s="2254"/>
      <c r="K10" s="2254"/>
      <c r="L10" s="2254"/>
      <c r="M10" s="2254"/>
      <c r="N10" s="2254"/>
      <c r="O10" s="2255"/>
    </row>
    <row r="11" spans="1:25" s="1181" customFormat="1" ht="20.100000000000001" customHeight="1"/>
    <row r="13" spans="1:25" ht="15.75">
      <c r="A13" s="1185" t="s">
        <v>4</v>
      </c>
      <c r="B13" s="1185"/>
      <c r="C13" s="1186"/>
      <c r="D13" s="1186"/>
      <c r="E13" s="1186"/>
      <c r="F13" s="1186"/>
      <c r="G13" s="1186"/>
      <c r="H13" s="1186"/>
      <c r="I13" s="1186"/>
      <c r="J13" s="1186"/>
      <c r="K13" s="1186"/>
      <c r="L13" s="1186"/>
      <c r="M13" s="1186"/>
      <c r="N13" s="1186"/>
      <c r="O13" s="1186"/>
    </row>
    <row r="14" spans="1:25" ht="15.75" thickBot="1">
      <c r="P14" s="1188"/>
      <c r="Q14" s="1188"/>
      <c r="R14" s="1188"/>
      <c r="S14" s="1188"/>
      <c r="T14" s="1188"/>
      <c r="U14" s="1188"/>
      <c r="V14" s="1188"/>
      <c r="W14" s="1188"/>
      <c r="X14" s="1188"/>
    </row>
    <row r="15" spans="1:25" s="1198" customFormat="1" ht="22.5" customHeight="1">
      <c r="A15" s="1189"/>
      <c r="B15" s="1190"/>
      <c r="C15" s="1191"/>
      <c r="D15" s="2256" t="s">
        <v>5</v>
      </c>
      <c r="E15" s="2257"/>
      <c r="F15" s="2257"/>
      <c r="G15" s="2257"/>
      <c r="H15" s="1192"/>
      <c r="I15" s="1193" t="s">
        <v>6</v>
      </c>
      <c r="J15" s="1194"/>
      <c r="K15" s="1194"/>
      <c r="L15" s="1194"/>
      <c r="M15" s="1194"/>
      <c r="N15" s="1194"/>
      <c r="O15" s="1195"/>
      <c r="P15" s="1196"/>
      <c r="Q15" s="1196"/>
      <c r="R15" s="1197"/>
      <c r="S15" s="1197"/>
      <c r="T15" s="1197"/>
      <c r="U15" s="1197"/>
      <c r="V15" s="1197"/>
      <c r="W15" s="1196"/>
      <c r="X15" s="1196"/>
      <c r="Y15" s="1196"/>
    </row>
    <row r="16" spans="1:25" s="1210" customFormat="1" ht="162.75" customHeight="1">
      <c r="A16" s="1199" t="s">
        <v>7</v>
      </c>
      <c r="B16" s="1200" t="s">
        <v>443</v>
      </c>
      <c r="C16" s="1201" t="s">
        <v>9</v>
      </c>
      <c r="D16" s="1202" t="s">
        <v>10</v>
      </c>
      <c r="E16" s="1203" t="s">
        <v>11</v>
      </c>
      <c r="F16" s="1203" t="s">
        <v>12</v>
      </c>
      <c r="G16" s="1204" t="s">
        <v>13</v>
      </c>
      <c r="H16" s="1205" t="s">
        <v>14</v>
      </c>
      <c r="I16" s="1206" t="s">
        <v>15</v>
      </c>
      <c r="J16" s="1206" t="s">
        <v>16</v>
      </c>
      <c r="K16" s="1206" t="s">
        <v>17</v>
      </c>
      <c r="L16" s="1206" t="s">
        <v>18</v>
      </c>
      <c r="M16" s="1207" t="s">
        <v>19</v>
      </c>
      <c r="N16" s="1206" t="s">
        <v>20</v>
      </c>
      <c r="O16" s="1208" t="s">
        <v>21</v>
      </c>
      <c r="P16" s="1209"/>
      <c r="Q16" s="1209"/>
      <c r="R16" s="1209"/>
      <c r="S16" s="1209"/>
      <c r="T16" s="1209"/>
      <c r="U16" s="1209"/>
      <c r="V16" s="1209"/>
      <c r="W16" s="1209"/>
      <c r="X16" s="1209"/>
      <c r="Y16" s="1209"/>
    </row>
    <row r="17" spans="1:25" ht="15" customHeight="1">
      <c r="A17" s="2258" t="s">
        <v>444</v>
      </c>
      <c r="B17" s="2259"/>
      <c r="C17" s="1211">
        <v>2014</v>
      </c>
      <c r="D17" s="1212"/>
      <c r="E17" s="1213"/>
      <c r="F17" s="1213"/>
      <c r="G17" s="1214">
        <f t="shared" ref="G17:G23" si="0">SUM(D17:F17)</f>
        <v>0</v>
      </c>
      <c r="H17" s="1215"/>
      <c r="I17" s="1213"/>
      <c r="J17" s="1213"/>
      <c r="K17" s="1213"/>
      <c r="L17" s="1213"/>
      <c r="M17" s="1213"/>
      <c r="N17" s="1213"/>
      <c r="O17" s="1216"/>
      <c r="P17" s="1217"/>
      <c r="Q17" s="1217"/>
      <c r="R17" s="1217"/>
      <c r="S17" s="1217"/>
      <c r="T17" s="1217"/>
      <c r="U17" s="1217"/>
      <c r="V17" s="1217"/>
      <c r="W17" s="1217"/>
      <c r="X17" s="1217"/>
      <c r="Y17" s="1217"/>
    </row>
    <row r="18" spans="1:25">
      <c r="A18" s="2258"/>
      <c r="B18" s="2259"/>
      <c r="C18" s="1218">
        <v>2015</v>
      </c>
      <c r="D18" s="1219"/>
      <c r="E18" s="1220"/>
      <c r="F18" s="1220"/>
      <c r="G18" s="1214">
        <f>SUM(D18:F18)</f>
        <v>0</v>
      </c>
      <c r="H18" s="1221"/>
      <c r="I18" s="1220"/>
      <c r="J18" s="1220"/>
      <c r="K18" s="1220"/>
      <c r="L18" s="1220"/>
      <c r="M18" s="1220"/>
      <c r="N18" s="1220"/>
      <c r="O18" s="1222"/>
      <c r="P18" s="1217"/>
      <c r="Q18" s="1217"/>
      <c r="R18" s="1217"/>
      <c r="S18" s="1217"/>
      <c r="T18" s="1217"/>
      <c r="U18" s="1217"/>
      <c r="V18" s="1217"/>
      <c r="W18" s="1217"/>
      <c r="X18" s="1217"/>
      <c r="Y18" s="1217"/>
    </row>
    <row r="19" spans="1:25">
      <c r="A19" s="2258"/>
      <c r="B19" s="2259"/>
      <c r="C19" s="1218">
        <v>2016</v>
      </c>
      <c r="D19" s="1219">
        <v>31</v>
      </c>
      <c r="E19" s="1220"/>
      <c r="F19" s="1220">
        <v>2</v>
      </c>
      <c r="G19" s="1214">
        <f t="shared" si="0"/>
        <v>33</v>
      </c>
      <c r="H19" s="1221"/>
      <c r="I19" s="1220">
        <v>30</v>
      </c>
      <c r="J19" s="1220"/>
      <c r="K19" s="1220"/>
      <c r="L19" s="1220">
        <v>1</v>
      </c>
      <c r="M19" s="1220">
        <v>1</v>
      </c>
      <c r="N19" s="1220"/>
      <c r="O19" s="1222">
        <v>1</v>
      </c>
      <c r="P19" s="1217"/>
      <c r="Q19" s="1217"/>
      <c r="R19" s="1217"/>
      <c r="S19" s="1217"/>
      <c r="T19" s="1217"/>
      <c r="U19" s="1217"/>
      <c r="V19" s="1217"/>
      <c r="W19" s="1217"/>
      <c r="X19" s="1217"/>
      <c r="Y19" s="1217"/>
    </row>
    <row r="20" spans="1:25">
      <c r="A20" s="2258"/>
      <c r="B20" s="2259"/>
      <c r="C20" s="1218">
        <v>2017</v>
      </c>
      <c r="D20" s="1219"/>
      <c r="E20" s="1220"/>
      <c r="F20" s="1220"/>
      <c r="G20" s="1214">
        <f t="shared" si="0"/>
        <v>0</v>
      </c>
      <c r="H20" s="1221"/>
      <c r="I20" s="1220"/>
      <c r="J20" s="1220"/>
      <c r="K20" s="1220"/>
      <c r="L20" s="1220"/>
      <c r="M20" s="1220"/>
      <c r="N20" s="1220"/>
      <c r="O20" s="1222"/>
      <c r="P20" s="1217"/>
      <c r="Q20" s="1217"/>
      <c r="R20" s="1217"/>
      <c r="S20" s="1217"/>
      <c r="T20" s="1217"/>
      <c r="U20" s="1217"/>
      <c r="V20" s="1217"/>
      <c r="W20" s="1217"/>
      <c r="X20" s="1217"/>
      <c r="Y20" s="1217"/>
    </row>
    <row r="21" spans="1:25">
      <c r="A21" s="2258"/>
      <c r="B21" s="2259"/>
      <c r="C21" s="1218">
        <v>2018</v>
      </c>
      <c r="D21" s="1219"/>
      <c r="E21" s="1220"/>
      <c r="F21" s="1220"/>
      <c r="G21" s="1214">
        <f t="shared" si="0"/>
        <v>0</v>
      </c>
      <c r="H21" s="1221"/>
      <c r="I21" s="1220"/>
      <c r="J21" s="1220"/>
      <c r="K21" s="1220"/>
      <c r="L21" s="1220"/>
      <c r="M21" s="1220"/>
      <c r="N21" s="1220"/>
      <c r="O21" s="1222"/>
      <c r="P21" s="1217"/>
      <c r="Q21" s="1217"/>
      <c r="R21" s="1217"/>
      <c r="S21" s="1217"/>
      <c r="T21" s="1217"/>
      <c r="U21" s="1217"/>
      <c r="V21" s="1217"/>
      <c r="W21" s="1217"/>
      <c r="X21" s="1217"/>
      <c r="Y21" s="1217"/>
    </row>
    <row r="22" spans="1:25">
      <c r="A22" s="2258"/>
      <c r="B22" s="2259"/>
      <c r="C22" s="1223">
        <v>2019</v>
      </c>
      <c r="D22" s="1219"/>
      <c r="E22" s="1220"/>
      <c r="F22" s="1220"/>
      <c r="G22" s="1214">
        <f>SUM(D22:F22)</f>
        <v>0</v>
      </c>
      <c r="H22" s="1221"/>
      <c r="I22" s="1220"/>
      <c r="J22" s="1220"/>
      <c r="K22" s="1220"/>
      <c r="L22" s="1220"/>
      <c r="M22" s="1220"/>
      <c r="N22" s="1220"/>
      <c r="O22" s="1222"/>
      <c r="P22" s="1217"/>
      <c r="Q22" s="1217"/>
      <c r="R22" s="1217"/>
      <c r="S22" s="1217"/>
      <c r="T22" s="1217"/>
      <c r="U22" s="1217"/>
      <c r="V22" s="1217"/>
      <c r="W22" s="1217"/>
      <c r="X22" s="1217"/>
      <c r="Y22" s="1217"/>
    </row>
    <row r="23" spans="1:25">
      <c r="A23" s="2258"/>
      <c r="B23" s="2259"/>
      <c r="C23" s="1218">
        <v>2020</v>
      </c>
      <c r="D23" s="1219"/>
      <c r="E23" s="1220"/>
      <c r="F23" s="1220"/>
      <c r="G23" s="1214">
        <f t="shared" si="0"/>
        <v>0</v>
      </c>
      <c r="H23" s="1221"/>
      <c r="I23" s="1220"/>
      <c r="J23" s="1220"/>
      <c r="K23" s="1220"/>
      <c r="L23" s="1220"/>
      <c r="M23" s="1220"/>
      <c r="N23" s="1220"/>
      <c r="O23" s="1222"/>
      <c r="P23" s="1217"/>
      <c r="Q23" s="1217"/>
      <c r="R23" s="1217"/>
      <c r="S23" s="1217"/>
      <c r="T23" s="1217"/>
      <c r="U23" s="1217"/>
      <c r="V23" s="1217"/>
      <c r="W23" s="1217"/>
      <c r="X23" s="1217"/>
      <c r="Y23" s="1217"/>
    </row>
    <row r="24" spans="1:25" ht="19.5" customHeight="1" thickBot="1">
      <c r="A24" s="2260"/>
      <c r="B24" s="2261"/>
      <c r="C24" s="1224" t="s">
        <v>13</v>
      </c>
      <c r="D24" s="1225">
        <f>SUM(D17:D23)</f>
        <v>31</v>
      </c>
      <c r="E24" s="1226">
        <f>SUM(E17:E23)</f>
        <v>0</v>
      </c>
      <c r="F24" s="1226">
        <f>SUM(F17:F23)</f>
        <v>2</v>
      </c>
      <c r="G24" s="1227">
        <f>SUM(D24:F24)</f>
        <v>33</v>
      </c>
      <c r="H24" s="1228">
        <f>SUM(H17:H23)</f>
        <v>0</v>
      </c>
      <c r="I24" s="1229">
        <f>SUM(I17:I23)</f>
        <v>30</v>
      </c>
      <c r="J24" s="1229">
        <f t="shared" ref="J24:N24" si="1">SUM(J17:J23)</f>
        <v>0</v>
      </c>
      <c r="K24" s="1229">
        <f t="shared" si="1"/>
        <v>0</v>
      </c>
      <c r="L24" s="1229">
        <f t="shared" si="1"/>
        <v>1</v>
      </c>
      <c r="M24" s="1229">
        <f t="shared" si="1"/>
        <v>1</v>
      </c>
      <c r="N24" s="1229">
        <f t="shared" si="1"/>
        <v>0</v>
      </c>
      <c r="O24" s="1230">
        <f>SUM(O17:O23)</f>
        <v>1</v>
      </c>
      <c r="P24" s="1217"/>
      <c r="Q24" s="1217"/>
      <c r="R24" s="1217"/>
      <c r="S24" s="1217"/>
      <c r="T24" s="1217"/>
      <c r="U24" s="1217"/>
      <c r="V24" s="1217"/>
      <c r="W24" s="1217"/>
      <c r="X24" s="1217"/>
      <c r="Y24" s="1217"/>
    </row>
    <row r="25" spans="1:25" ht="16.5" thickBot="1">
      <c r="C25" s="1231"/>
      <c r="H25" s="1188"/>
      <c r="I25" s="1188"/>
      <c r="J25" s="1188"/>
      <c r="K25" s="1188"/>
      <c r="L25" s="1188"/>
      <c r="M25" s="1188"/>
      <c r="N25" s="1188"/>
      <c r="O25" s="1188"/>
      <c r="P25" s="1188"/>
      <c r="Q25" s="1188"/>
    </row>
    <row r="26" spans="1:25" s="1198" customFormat="1" ht="30.75" customHeight="1">
      <c r="A26" s="1189"/>
      <c r="B26" s="1190"/>
      <c r="C26" s="1232"/>
      <c r="D26" s="2262" t="s">
        <v>5</v>
      </c>
      <c r="E26" s="2257"/>
      <c r="F26" s="2257"/>
      <c r="G26" s="2263"/>
      <c r="H26" s="1196"/>
      <c r="I26" s="1196"/>
      <c r="J26" s="1197"/>
      <c r="K26" s="1197"/>
      <c r="L26" s="1197"/>
      <c r="M26" s="1197"/>
      <c r="N26" s="1197"/>
      <c r="O26" s="1196"/>
      <c r="P26" s="1196"/>
    </row>
    <row r="27" spans="1:25" s="1210" customFormat="1" ht="93" customHeight="1">
      <c r="A27" s="1233" t="s">
        <v>23</v>
      </c>
      <c r="B27" s="1200" t="s">
        <v>443</v>
      </c>
      <c r="C27" s="1234" t="s">
        <v>9</v>
      </c>
      <c r="D27" s="1235" t="s">
        <v>10</v>
      </c>
      <c r="E27" s="1203" t="s">
        <v>11</v>
      </c>
      <c r="F27" s="1203" t="s">
        <v>12</v>
      </c>
      <c r="G27" s="1236" t="s">
        <v>13</v>
      </c>
      <c r="H27" s="1209"/>
      <c r="I27" s="1209"/>
      <c r="J27" s="1209"/>
      <c r="K27" s="1209"/>
      <c r="L27" s="1209"/>
      <c r="M27" s="1209"/>
      <c r="N27" s="1209"/>
      <c r="O27" s="1209"/>
      <c r="P27" s="1209"/>
      <c r="Q27" s="1198"/>
    </row>
    <row r="28" spans="1:25" ht="15" customHeight="1">
      <c r="A28" s="2264" t="s">
        <v>445</v>
      </c>
      <c r="B28" s="2265"/>
      <c r="C28" s="1237">
        <v>2014</v>
      </c>
      <c r="D28" s="1215"/>
      <c r="E28" s="1213"/>
      <c r="F28" s="1213"/>
      <c r="G28" s="1238">
        <f>SUM(D28:F28)</f>
        <v>0</v>
      </c>
      <c r="H28" s="1217"/>
      <c r="I28" s="1217"/>
      <c r="J28" s="1217"/>
      <c r="K28" s="1217"/>
      <c r="L28" s="1217"/>
      <c r="M28" s="1217"/>
      <c r="N28" s="1217"/>
      <c r="O28" s="1217"/>
      <c r="P28" s="1217"/>
      <c r="Q28" s="1188"/>
    </row>
    <row r="29" spans="1:25">
      <c r="A29" s="2264"/>
      <c r="B29" s="2265"/>
      <c r="C29" s="1239">
        <v>2015</v>
      </c>
      <c r="D29" s="1221"/>
      <c r="E29" s="1220"/>
      <c r="F29" s="1220"/>
      <c r="G29" s="1238">
        <f t="shared" ref="G29:G35" si="2">SUM(D29:F29)</f>
        <v>0</v>
      </c>
      <c r="H29" s="1217"/>
      <c r="I29" s="1217"/>
      <c r="J29" s="1217"/>
      <c r="K29" s="1217"/>
      <c r="L29" s="1217"/>
      <c r="M29" s="1217"/>
      <c r="N29" s="1217"/>
      <c r="O29" s="1217"/>
      <c r="P29" s="1217"/>
      <c r="Q29" s="1188"/>
    </row>
    <row r="30" spans="1:25">
      <c r="A30" s="2264"/>
      <c r="B30" s="2265"/>
      <c r="C30" s="1239">
        <v>2016</v>
      </c>
      <c r="D30" s="1221">
        <v>74435</v>
      </c>
      <c r="E30" s="1220"/>
      <c r="F30" s="1220">
        <v>13000</v>
      </c>
      <c r="G30" s="1238">
        <f t="shared" si="2"/>
        <v>87435</v>
      </c>
      <c r="H30" s="1217"/>
      <c r="I30" s="1217"/>
      <c r="J30" s="1217"/>
      <c r="K30" s="1217"/>
      <c r="L30" s="1217"/>
      <c r="M30" s="1217"/>
      <c r="N30" s="1217"/>
      <c r="O30" s="1217"/>
      <c r="P30" s="1217"/>
      <c r="Q30" s="1188"/>
    </row>
    <row r="31" spans="1:25">
      <c r="A31" s="2264"/>
      <c r="B31" s="2265"/>
      <c r="C31" s="1239">
        <v>2017</v>
      </c>
      <c r="D31" s="1221"/>
      <c r="E31" s="1220"/>
      <c r="F31" s="1220"/>
      <c r="G31" s="1238">
        <f t="shared" si="2"/>
        <v>0</v>
      </c>
      <c r="H31" s="1217"/>
      <c r="I31" s="1217"/>
      <c r="J31" s="1217"/>
      <c r="K31" s="1217"/>
      <c r="L31" s="1217"/>
      <c r="M31" s="1217"/>
      <c r="N31" s="1217"/>
      <c r="O31" s="1217"/>
      <c r="P31" s="1217"/>
      <c r="Q31" s="1188"/>
    </row>
    <row r="32" spans="1:25">
      <c r="A32" s="2264"/>
      <c r="B32" s="2265"/>
      <c r="C32" s="1239">
        <v>2018</v>
      </c>
      <c r="D32" s="1221"/>
      <c r="E32" s="1220"/>
      <c r="F32" s="1220"/>
      <c r="G32" s="1238">
        <f>SUM(D32:F32)</f>
        <v>0</v>
      </c>
      <c r="H32" s="1217"/>
      <c r="I32" s="1217"/>
      <c r="J32" s="1217"/>
      <c r="K32" s="1217"/>
      <c r="L32" s="1217"/>
      <c r="M32" s="1217"/>
      <c r="N32" s="1217"/>
      <c r="O32" s="1217"/>
      <c r="P32" s="1217"/>
      <c r="Q32" s="1188"/>
    </row>
    <row r="33" spans="1:17">
      <c r="A33" s="2264"/>
      <c r="B33" s="2265"/>
      <c r="C33" s="1240">
        <v>2019</v>
      </c>
      <c r="D33" s="1221"/>
      <c r="E33" s="1220"/>
      <c r="F33" s="1220"/>
      <c r="G33" s="1238">
        <f t="shared" si="2"/>
        <v>0</v>
      </c>
      <c r="H33" s="1217"/>
      <c r="I33" s="1217"/>
      <c r="J33" s="1217"/>
      <c r="K33" s="1217"/>
      <c r="L33" s="1217"/>
      <c r="M33" s="1217"/>
      <c r="N33" s="1217"/>
      <c r="O33" s="1217"/>
      <c r="P33" s="1217"/>
      <c r="Q33" s="1188"/>
    </row>
    <row r="34" spans="1:17">
      <c r="A34" s="2264"/>
      <c r="B34" s="2265"/>
      <c r="C34" s="1239">
        <v>2020</v>
      </c>
      <c r="D34" s="1221"/>
      <c r="E34" s="1220"/>
      <c r="F34" s="1220"/>
      <c r="G34" s="1238">
        <f t="shared" si="2"/>
        <v>0</v>
      </c>
      <c r="H34" s="1217"/>
      <c r="I34" s="1217"/>
      <c r="J34" s="1217"/>
      <c r="K34" s="1217"/>
      <c r="L34" s="1217"/>
      <c r="M34" s="1217"/>
      <c r="N34" s="1217"/>
      <c r="O34" s="1217"/>
      <c r="P34" s="1217"/>
      <c r="Q34" s="1188"/>
    </row>
    <row r="35" spans="1:17" ht="20.25" customHeight="1" thickBot="1">
      <c r="A35" s="2266"/>
      <c r="B35" s="2267"/>
      <c r="C35" s="1241" t="s">
        <v>13</v>
      </c>
      <c r="D35" s="1228">
        <f>SUM(D28:D34)</f>
        <v>74435</v>
      </c>
      <c r="E35" s="1226">
        <f>SUM(E28:E34)</f>
        <v>0</v>
      </c>
      <c r="F35" s="1226">
        <f>SUM(F28:F34)</f>
        <v>13000</v>
      </c>
      <c r="G35" s="1230">
        <f t="shared" si="2"/>
        <v>87435</v>
      </c>
      <c r="H35" s="1217"/>
      <c r="I35" s="1217"/>
      <c r="J35" s="1217"/>
      <c r="K35" s="1217"/>
      <c r="L35" s="1217"/>
      <c r="M35" s="1217"/>
      <c r="N35" s="1217"/>
      <c r="O35" s="1217"/>
      <c r="P35" s="1217"/>
      <c r="Q35" s="1188"/>
    </row>
    <row r="36" spans="1:17" ht="15.75">
      <c r="A36" s="1242"/>
      <c r="B36" s="1242"/>
      <c r="C36" s="1231"/>
      <c r="H36" s="1188"/>
      <c r="I36" s="1188"/>
      <c r="J36" s="1188"/>
      <c r="K36" s="1188"/>
      <c r="L36" s="1188"/>
      <c r="M36" s="1188"/>
      <c r="N36" s="1188"/>
      <c r="O36" s="1188"/>
      <c r="P36" s="1188"/>
      <c r="Q36" s="1188"/>
    </row>
    <row r="37" spans="1:17" ht="21" customHeight="1">
      <c r="A37" s="1243" t="s">
        <v>25</v>
      </c>
      <c r="B37" s="1243"/>
      <c r="C37" s="1244"/>
      <c r="D37" s="1244"/>
      <c r="E37" s="1244"/>
      <c r="F37" s="1217"/>
      <c r="G37" s="1217"/>
      <c r="H37" s="1217"/>
      <c r="I37" s="1245"/>
      <c r="J37" s="1245"/>
      <c r="K37" s="1245"/>
    </row>
    <row r="38" spans="1:17" ht="12.75" customHeight="1" thickBot="1">
      <c r="G38" s="1217"/>
      <c r="H38" s="1217"/>
    </row>
    <row r="39" spans="1:17" ht="88.5" customHeight="1">
      <c r="A39" s="1246" t="s">
        <v>26</v>
      </c>
      <c r="B39" s="1247" t="s">
        <v>443</v>
      </c>
      <c r="C39" s="1248" t="s">
        <v>9</v>
      </c>
      <c r="D39" s="1249" t="s">
        <v>27</v>
      </c>
      <c r="E39" s="1250" t="s">
        <v>28</v>
      </c>
      <c r="F39" s="1251"/>
      <c r="G39" s="1209"/>
      <c r="H39" s="1209"/>
    </row>
    <row r="40" spans="1:17">
      <c r="A40" s="2258"/>
      <c r="B40" s="2259"/>
      <c r="C40" s="1252">
        <v>2014</v>
      </c>
      <c r="D40" s="1212"/>
      <c r="E40" s="1211"/>
      <c r="F40" s="1188"/>
      <c r="G40" s="1217"/>
      <c r="H40" s="1217"/>
    </row>
    <row r="41" spans="1:17">
      <c r="A41" s="2258"/>
      <c r="B41" s="2259"/>
      <c r="C41" s="1253">
        <v>2015</v>
      </c>
      <c r="D41" s="1219"/>
      <c r="E41" s="1254"/>
      <c r="F41" s="1188"/>
      <c r="G41" s="1217"/>
      <c r="H41" s="1217"/>
    </row>
    <row r="42" spans="1:17">
      <c r="A42" s="2258"/>
      <c r="B42" s="2259"/>
      <c r="C42" s="1253">
        <v>2016</v>
      </c>
      <c r="D42" s="1255">
        <v>88084</v>
      </c>
      <c r="E42" s="1256">
        <v>65235</v>
      </c>
      <c r="F42" s="1188"/>
      <c r="G42" s="1217"/>
      <c r="H42" s="1217"/>
    </row>
    <row r="43" spans="1:17">
      <c r="A43" s="2258"/>
      <c r="B43" s="2259"/>
      <c r="C43" s="1253">
        <v>2017</v>
      </c>
      <c r="D43" s="1257">
        <v>52125</v>
      </c>
      <c r="E43" s="1258">
        <v>39916</v>
      </c>
      <c r="F43" s="1188"/>
      <c r="G43" s="1217"/>
      <c r="H43" s="1217"/>
    </row>
    <row r="44" spans="1:17">
      <c r="A44" s="2258"/>
      <c r="B44" s="2259"/>
      <c r="C44" s="1253">
        <v>2018</v>
      </c>
      <c r="D44" s="1219"/>
      <c r="E44" s="1218"/>
      <c r="F44" s="1188"/>
      <c r="G44" s="1217"/>
      <c r="H44" s="1217"/>
    </row>
    <row r="45" spans="1:17">
      <c r="A45" s="2258"/>
      <c r="B45" s="2259"/>
      <c r="C45" s="1253">
        <v>2019</v>
      </c>
      <c r="D45" s="1219"/>
      <c r="E45" s="1218"/>
      <c r="F45" s="1188"/>
      <c r="G45" s="1217"/>
      <c r="H45" s="1217"/>
    </row>
    <row r="46" spans="1:17">
      <c r="A46" s="2258"/>
      <c r="B46" s="2259"/>
      <c r="C46" s="1253">
        <v>2020</v>
      </c>
      <c r="D46" s="1219"/>
      <c r="E46" s="1218"/>
      <c r="F46" s="1188"/>
      <c r="G46" s="1217"/>
      <c r="H46" s="1217"/>
    </row>
    <row r="47" spans="1:17" ht="16.5" thickBot="1">
      <c r="A47" s="2260"/>
      <c r="B47" s="2261"/>
      <c r="C47" s="1224" t="s">
        <v>13</v>
      </c>
      <c r="D47" s="1225">
        <f>SUM(D40:D46)</f>
        <v>140209</v>
      </c>
      <c r="E47" s="1259">
        <f>SUM(E40:E46)</f>
        <v>105151</v>
      </c>
      <c r="F47" s="1260"/>
      <c r="G47" s="1217"/>
      <c r="H47" s="1217"/>
    </row>
    <row r="48" spans="1:17" s="1217" customFormat="1" ht="16.5" thickBot="1">
      <c r="A48" s="1261"/>
      <c r="B48" s="1262"/>
      <c r="C48" s="1263"/>
    </row>
    <row r="49" spans="1:15" ht="135.75" customHeight="1">
      <c r="A49" s="1264" t="s">
        <v>30</v>
      </c>
      <c r="B49" s="1247" t="s">
        <v>443</v>
      </c>
      <c r="C49" s="1265" t="s">
        <v>9</v>
      </c>
      <c r="D49" s="1249" t="s">
        <v>31</v>
      </c>
      <c r="E49" s="1266" t="s">
        <v>32</v>
      </c>
      <c r="F49" s="1266" t="s">
        <v>33</v>
      </c>
      <c r="G49" s="1266" t="s">
        <v>34</v>
      </c>
      <c r="H49" s="1266" t="s">
        <v>35</v>
      </c>
      <c r="I49" s="1266" t="s">
        <v>36</v>
      </c>
      <c r="J49" s="1266" t="s">
        <v>37</v>
      </c>
      <c r="K49" s="1267" t="s">
        <v>38</v>
      </c>
    </row>
    <row r="50" spans="1:15" ht="17.25" customHeight="1">
      <c r="A50" s="2268"/>
      <c r="B50" s="2269"/>
      <c r="C50" s="1252" t="s">
        <v>40</v>
      </c>
      <c r="D50" s="1212"/>
      <c r="E50" s="1213"/>
      <c r="F50" s="1213"/>
      <c r="G50" s="1213"/>
      <c r="H50" s="1213"/>
      <c r="I50" s="1213"/>
      <c r="J50" s="1213"/>
      <c r="K50" s="1216"/>
    </row>
    <row r="51" spans="1:15" ht="15" customHeight="1">
      <c r="A51" s="2258"/>
      <c r="B51" s="2270"/>
      <c r="C51" s="1253">
        <v>2014</v>
      </c>
      <c r="D51" s="1219"/>
      <c r="E51" s="1220"/>
      <c r="F51" s="1220"/>
      <c r="G51" s="1220"/>
      <c r="H51" s="1220"/>
      <c r="I51" s="1220"/>
      <c r="J51" s="1220"/>
      <c r="K51" s="1268"/>
    </row>
    <row r="52" spans="1:15">
      <c r="A52" s="2258"/>
      <c r="B52" s="2270"/>
      <c r="C52" s="1253">
        <v>2015</v>
      </c>
      <c r="D52" s="1219"/>
      <c r="E52" s="1220"/>
      <c r="F52" s="1220"/>
      <c r="G52" s="1269"/>
      <c r="H52" s="1220"/>
      <c r="I52" s="1220"/>
      <c r="J52" s="1220"/>
      <c r="K52" s="1268"/>
    </row>
    <row r="53" spans="1:15">
      <c r="A53" s="2258"/>
      <c r="B53" s="2270"/>
      <c r="C53" s="1253">
        <v>2016</v>
      </c>
      <c r="D53" s="1219">
        <v>1</v>
      </c>
      <c r="E53" s="1220"/>
      <c r="F53" s="1220">
        <v>1</v>
      </c>
      <c r="G53" s="1269">
        <v>124</v>
      </c>
      <c r="H53" s="1220"/>
      <c r="I53" s="1220"/>
      <c r="J53" s="1220">
        <v>35</v>
      </c>
      <c r="K53" s="1268"/>
    </row>
    <row r="54" spans="1:15">
      <c r="A54" s="2258"/>
      <c r="B54" s="2270"/>
      <c r="C54" s="1253">
        <v>2017</v>
      </c>
      <c r="D54" s="1219">
        <v>1</v>
      </c>
      <c r="E54" s="1220"/>
      <c r="F54" s="1220">
        <v>1</v>
      </c>
      <c r="G54" s="1269">
        <v>129</v>
      </c>
      <c r="H54" s="1220"/>
      <c r="I54" s="1220"/>
      <c r="J54" s="1220">
        <v>0</v>
      </c>
      <c r="K54" s="1268"/>
    </row>
    <row r="55" spans="1:15">
      <c r="A55" s="2258"/>
      <c r="B55" s="2270"/>
      <c r="C55" s="1253">
        <v>2018</v>
      </c>
      <c r="D55" s="1219"/>
      <c r="E55" s="1220"/>
      <c r="F55" s="1220"/>
      <c r="G55" s="1220"/>
      <c r="H55" s="1220"/>
      <c r="I55" s="1220"/>
      <c r="J55" s="1220"/>
      <c r="K55" s="1268"/>
    </row>
    <row r="56" spans="1:15">
      <c r="A56" s="2258"/>
      <c r="B56" s="2270"/>
      <c r="C56" s="1253">
        <v>2019</v>
      </c>
      <c r="D56" s="1219"/>
      <c r="E56" s="1220"/>
      <c r="F56" s="1220"/>
      <c r="G56" s="1220"/>
      <c r="H56" s="1220"/>
      <c r="I56" s="1220"/>
      <c r="J56" s="1220"/>
      <c r="K56" s="1268"/>
    </row>
    <row r="57" spans="1:15">
      <c r="A57" s="2258"/>
      <c r="B57" s="2270"/>
      <c r="C57" s="1253">
        <v>2020</v>
      </c>
      <c r="D57" s="1219"/>
      <c r="E57" s="1220"/>
      <c r="F57" s="1220"/>
      <c r="G57" s="1220"/>
      <c r="H57" s="1220"/>
      <c r="I57" s="1220"/>
      <c r="J57" s="1220"/>
      <c r="K57" s="1270"/>
    </row>
    <row r="58" spans="1:15" ht="20.25" customHeight="1" thickBot="1">
      <c r="A58" s="2260"/>
      <c r="B58" s="2271"/>
      <c r="C58" s="1224" t="s">
        <v>13</v>
      </c>
      <c r="D58" s="1225">
        <f>SUM(D51:D57)</f>
        <v>2</v>
      </c>
      <c r="E58" s="1226">
        <f>SUM(E51:E57)</f>
        <v>0</v>
      </c>
      <c r="F58" s="1226">
        <f>SUM(F51:F57)</f>
        <v>2</v>
      </c>
      <c r="G58" s="1226">
        <f>SUM(G51:G57)</f>
        <v>253</v>
      </c>
      <c r="H58" s="1226">
        <f>SUM(H51:H57)</f>
        <v>0</v>
      </c>
      <c r="I58" s="1226">
        <f t="shared" ref="I58" si="3">SUM(I51:I57)</f>
        <v>0</v>
      </c>
      <c r="J58" s="1226">
        <f>SUM(J51:J57)</f>
        <v>35</v>
      </c>
      <c r="K58" s="1230">
        <f>SUM(K50:K56)</f>
        <v>0</v>
      </c>
    </row>
    <row r="59" spans="1:15" ht="15.75" thickBot="1"/>
    <row r="60" spans="1:15" ht="21" customHeight="1">
      <c r="A60" s="2272" t="s">
        <v>41</v>
      </c>
      <c r="B60" s="1271"/>
      <c r="C60" s="2274" t="s">
        <v>9</v>
      </c>
      <c r="D60" s="2244" t="s">
        <v>42</v>
      </c>
      <c r="E60" s="1272" t="s">
        <v>6</v>
      </c>
      <c r="F60" s="1273"/>
      <c r="G60" s="1273"/>
      <c r="H60" s="1273"/>
      <c r="I60" s="1273"/>
      <c r="J60" s="1273"/>
      <c r="K60" s="1273"/>
      <c r="L60" s="1274"/>
    </row>
    <row r="61" spans="1:15" ht="115.5" customHeight="1">
      <c r="A61" s="2273"/>
      <c r="B61" s="1275" t="s">
        <v>443</v>
      </c>
      <c r="C61" s="2275"/>
      <c r="D61" s="2245"/>
      <c r="E61" s="1276" t="s">
        <v>14</v>
      </c>
      <c r="F61" s="1277" t="s">
        <v>15</v>
      </c>
      <c r="G61" s="1277" t="s">
        <v>16</v>
      </c>
      <c r="H61" s="1278" t="s">
        <v>17</v>
      </c>
      <c r="I61" s="1278" t="s">
        <v>18</v>
      </c>
      <c r="J61" s="1279" t="s">
        <v>19</v>
      </c>
      <c r="K61" s="1277" t="s">
        <v>20</v>
      </c>
      <c r="L61" s="1280" t="s">
        <v>21</v>
      </c>
      <c r="M61" s="1281"/>
      <c r="N61" s="1188"/>
      <c r="O61" s="1188"/>
    </row>
    <row r="62" spans="1:15">
      <c r="A62" s="2276"/>
      <c r="B62" s="2277"/>
      <c r="C62" s="1282">
        <v>2014</v>
      </c>
      <c r="D62" s="1283"/>
      <c r="E62" s="1284"/>
      <c r="F62" s="1285"/>
      <c r="G62" s="1285"/>
      <c r="H62" s="1285"/>
      <c r="I62" s="1285"/>
      <c r="J62" s="1285"/>
      <c r="K62" s="1285"/>
      <c r="L62" s="1216"/>
      <c r="M62" s="1188"/>
      <c r="N62" s="1188"/>
      <c r="O62" s="1188"/>
    </row>
    <row r="63" spans="1:15">
      <c r="A63" s="2276"/>
      <c r="B63" s="2277"/>
      <c r="C63" s="1286">
        <v>2015</v>
      </c>
      <c r="D63" s="1287"/>
      <c r="E63" s="1288"/>
      <c r="F63" s="1220"/>
      <c r="G63" s="1220"/>
      <c r="H63" s="1220"/>
      <c r="I63" s="1220"/>
      <c r="J63" s="1220"/>
      <c r="K63" s="1220"/>
      <c r="L63" s="1268"/>
      <c r="M63" s="1188"/>
      <c r="N63" s="1188"/>
      <c r="O63" s="1188"/>
    </row>
    <row r="64" spans="1:15">
      <c r="A64" s="2276"/>
      <c r="B64" s="2277"/>
      <c r="C64" s="1286">
        <v>2016</v>
      </c>
      <c r="D64" s="1287">
        <v>13</v>
      </c>
      <c r="E64" s="1288"/>
      <c r="F64" s="1220">
        <v>13</v>
      </c>
      <c r="G64" s="1220"/>
      <c r="H64" s="1220"/>
      <c r="I64" s="1220"/>
      <c r="J64" s="1220"/>
      <c r="K64" s="1220"/>
      <c r="L64" s="1268"/>
      <c r="M64" s="1188"/>
      <c r="N64" s="1188"/>
      <c r="O64" s="1188"/>
    </row>
    <row r="65" spans="1:20">
      <c r="A65" s="2276"/>
      <c r="B65" s="2277"/>
      <c r="C65" s="1286">
        <v>2017</v>
      </c>
      <c r="D65" s="1287"/>
      <c r="E65" s="1288"/>
      <c r="F65" s="1220"/>
      <c r="G65" s="1220"/>
      <c r="H65" s="1220"/>
      <c r="I65" s="1220"/>
      <c r="J65" s="1220"/>
      <c r="K65" s="1220"/>
      <c r="L65" s="1268"/>
      <c r="M65" s="1188"/>
      <c r="N65" s="1188"/>
      <c r="O65" s="1188"/>
    </row>
    <row r="66" spans="1:20">
      <c r="A66" s="2276"/>
      <c r="B66" s="2277"/>
      <c r="C66" s="1286">
        <v>2018</v>
      </c>
      <c r="D66" s="1287"/>
      <c r="E66" s="1288"/>
      <c r="F66" s="1220"/>
      <c r="G66" s="1220"/>
      <c r="H66" s="1220"/>
      <c r="I66" s="1220"/>
      <c r="J66" s="1220"/>
      <c r="K66" s="1220"/>
      <c r="L66" s="1268"/>
      <c r="M66" s="1188"/>
      <c r="N66" s="1188"/>
      <c r="O66" s="1188"/>
    </row>
    <row r="67" spans="1:20" ht="17.25" customHeight="1">
      <c r="A67" s="2276"/>
      <c r="B67" s="2277"/>
      <c r="C67" s="1286">
        <v>2019</v>
      </c>
      <c r="D67" s="1287"/>
      <c r="E67" s="1288"/>
      <c r="F67" s="1220"/>
      <c r="G67" s="1220"/>
      <c r="H67" s="1220"/>
      <c r="I67" s="1220"/>
      <c r="J67" s="1220"/>
      <c r="K67" s="1220"/>
      <c r="L67" s="1268"/>
      <c r="M67" s="1188"/>
      <c r="N67" s="1188"/>
      <c r="O67" s="1188"/>
    </row>
    <row r="68" spans="1:20" ht="16.5" customHeight="1">
      <c r="A68" s="2276"/>
      <c r="B68" s="2277"/>
      <c r="C68" s="1286">
        <v>2020</v>
      </c>
      <c r="D68" s="1287"/>
      <c r="E68" s="1288"/>
      <c r="F68" s="1220"/>
      <c r="G68" s="1220"/>
      <c r="H68" s="1220"/>
      <c r="I68" s="1220"/>
      <c r="J68" s="1220"/>
      <c r="K68" s="1220"/>
      <c r="L68" s="1268"/>
      <c r="M68" s="1260"/>
      <c r="N68" s="1260"/>
      <c r="O68" s="1260"/>
    </row>
    <row r="69" spans="1:20" ht="18" customHeight="1" thickBot="1">
      <c r="A69" s="2278"/>
      <c r="B69" s="2279"/>
      <c r="C69" s="1289" t="s">
        <v>13</v>
      </c>
      <c r="D69" s="1290">
        <f>SUM(D62:D68)</f>
        <v>13</v>
      </c>
      <c r="E69" s="1291">
        <f>SUM(E62:E68)</f>
        <v>0</v>
      </c>
      <c r="F69" s="1292">
        <f t="shared" ref="F69:I69" si="4">SUM(F62:F68)</f>
        <v>13</v>
      </c>
      <c r="G69" s="1292">
        <f t="shared" si="4"/>
        <v>0</v>
      </c>
      <c r="H69" s="1292">
        <f t="shared" si="4"/>
        <v>0</v>
      </c>
      <c r="I69" s="1292">
        <f t="shared" si="4"/>
        <v>0</v>
      </c>
      <c r="J69" s="1292"/>
      <c r="K69" s="1292">
        <f>SUM(K62:K68)</f>
        <v>0</v>
      </c>
      <c r="L69" s="1293">
        <f>SUM(L62:L68)</f>
        <v>0</v>
      </c>
      <c r="M69" s="1260"/>
      <c r="N69" s="1260"/>
      <c r="O69" s="1260"/>
    </row>
    <row r="70" spans="1:20" ht="20.25" customHeight="1" thickBot="1">
      <c r="A70" s="1294"/>
      <c r="B70" s="1295"/>
      <c r="C70" s="1296"/>
      <c r="D70" s="1297"/>
      <c r="E70" s="1297"/>
      <c r="F70" s="1297"/>
      <c r="G70" s="1297"/>
      <c r="H70" s="1296"/>
      <c r="I70" s="1298"/>
      <c r="J70" s="1298"/>
      <c r="K70" s="1298"/>
      <c r="L70" s="1298"/>
      <c r="M70" s="1298"/>
      <c r="N70" s="1298"/>
      <c r="O70" s="1298"/>
      <c r="P70" s="1210"/>
      <c r="Q70" s="1210"/>
      <c r="R70" s="1210"/>
      <c r="S70" s="1210"/>
      <c r="T70" s="1210"/>
    </row>
    <row r="71" spans="1:20" ht="132" customHeight="1">
      <c r="A71" s="1246" t="s">
        <v>44</v>
      </c>
      <c r="B71" s="1247" t="s">
        <v>443</v>
      </c>
      <c r="C71" s="1248" t="s">
        <v>9</v>
      </c>
      <c r="D71" s="1299" t="s">
        <v>45</v>
      </c>
      <c r="E71" s="1299" t="s">
        <v>46</v>
      </c>
      <c r="F71" s="1300" t="s">
        <v>446</v>
      </c>
      <c r="G71" s="1301" t="s">
        <v>48</v>
      </c>
      <c r="H71" s="1302" t="s">
        <v>14</v>
      </c>
      <c r="I71" s="1303" t="s">
        <v>15</v>
      </c>
      <c r="J71" s="1304" t="s">
        <v>16</v>
      </c>
      <c r="K71" s="1303" t="s">
        <v>17</v>
      </c>
      <c r="L71" s="1303" t="s">
        <v>18</v>
      </c>
      <c r="M71" s="1305" t="s">
        <v>19</v>
      </c>
      <c r="N71" s="1304" t="s">
        <v>20</v>
      </c>
      <c r="O71" s="1306" t="s">
        <v>21</v>
      </c>
    </row>
    <row r="72" spans="1:20" ht="15" customHeight="1">
      <c r="A72" s="2258"/>
      <c r="B72" s="2277"/>
      <c r="C72" s="1252">
        <v>2014</v>
      </c>
      <c r="D72" s="1307"/>
      <c r="E72" s="1307"/>
      <c r="F72" s="1307"/>
      <c r="G72" s="1308">
        <f>SUM(D72:F72)</f>
        <v>0</v>
      </c>
      <c r="H72" s="1212"/>
      <c r="I72" s="1309"/>
      <c r="J72" s="1285"/>
      <c r="K72" s="1285"/>
      <c r="L72" s="1285"/>
      <c r="M72" s="1285"/>
      <c r="N72" s="1285"/>
      <c r="O72" s="1310"/>
    </row>
    <row r="73" spans="1:20">
      <c r="A73" s="2258"/>
      <c r="B73" s="2277"/>
      <c r="C73" s="1253">
        <v>2015</v>
      </c>
      <c r="D73" s="1311"/>
      <c r="E73" s="1311"/>
      <c r="F73" s="1311"/>
      <c r="G73" s="1308">
        <f t="shared" ref="G73:G78" si="5">SUM(D73:F73)</f>
        <v>0</v>
      </c>
      <c r="H73" s="1219"/>
      <c r="I73" s="1219"/>
      <c r="J73" s="1220"/>
      <c r="K73" s="1220"/>
      <c r="L73" s="1220"/>
      <c r="M73" s="1220"/>
      <c r="N73" s="1220"/>
      <c r="O73" s="1268"/>
    </row>
    <row r="74" spans="1:20">
      <c r="A74" s="2258"/>
      <c r="B74" s="2277"/>
      <c r="C74" s="1253">
        <v>2016</v>
      </c>
      <c r="D74" s="1312">
        <v>26</v>
      </c>
      <c r="E74" s="1311"/>
      <c r="F74" s="1311"/>
      <c r="G74" s="1308">
        <f t="shared" si="5"/>
        <v>26</v>
      </c>
      <c r="H74" s="1219"/>
      <c r="I74" s="1313">
        <v>26</v>
      </c>
      <c r="J74" s="1220"/>
      <c r="K74" s="1220"/>
      <c r="L74" s="1220"/>
      <c r="M74" s="1220"/>
      <c r="N74" s="1220"/>
      <c r="O74" s="1268"/>
    </row>
    <row r="75" spans="1:20">
      <c r="A75" s="2258"/>
      <c r="B75" s="2277"/>
      <c r="C75" s="1253">
        <v>2017</v>
      </c>
      <c r="D75" s="1311"/>
      <c r="E75" s="1311"/>
      <c r="F75" s="1311"/>
      <c r="G75" s="1308">
        <f t="shared" si="5"/>
        <v>0</v>
      </c>
      <c r="H75" s="1219"/>
      <c r="I75" s="1219"/>
      <c r="J75" s="1220"/>
      <c r="K75" s="1220"/>
      <c r="L75" s="1220"/>
      <c r="M75" s="1220"/>
      <c r="N75" s="1220"/>
      <c r="O75" s="1268"/>
    </row>
    <row r="76" spans="1:20">
      <c r="A76" s="2258"/>
      <c r="B76" s="2277"/>
      <c r="C76" s="1253">
        <v>2018</v>
      </c>
      <c r="D76" s="1311"/>
      <c r="E76" s="1311"/>
      <c r="F76" s="1311"/>
      <c r="G76" s="1308">
        <f t="shared" si="5"/>
        <v>0</v>
      </c>
      <c r="H76" s="1219"/>
      <c r="I76" s="1219"/>
      <c r="J76" s="1220"/>
      <c r="K76" s="1220"/>
      <c r="L76" s="1220"/>
      <c r="M76" s="1220"/>
      <c r="N76" s="1220"/>
      <c r="O76" s="1268"/>
    </row>
    <row r="77" spans="1:20" ht="15.75" customHeight="1">
      <c r="A77" s="2258"/>
      <c r="B77" s="2277"/>
      <c r="C77" s="1253">
        <v>2019</v>
      </c>
      <c r="D77" s="1311"/>
      <c r="E77" s="1311"/>
      <c r="F77" s="1311"/>
      <c r="G77" s="1308">
        <f t="shared" si="5"/>
        <v>0</v>
      </c>
      <c r="H77" s="1219"/>
      <c r="I77" s="1219"/>
      <c r="J77" s="1220"/>
      <c r="K77" s="1220"/>
      <c r="L77" s="1220"/>
      <c r="M77" s="1220"/>
      <c r="N77" s="1220"/>
      <c r="O77" s="1268"/>
    </row>
    <row r="78" spans="1:20" ht="17.25" customHeight="1">
      <c r="A78" s="2258"/>
      <c r="B78" s="2277"/>
      <c r="C78" s="1253">
        <v>2020</v>
      </c>
      <c r="D78" s="1311"/>
      <c r="E78" s="1311"/>
      <c r="F78" s="1311"/>
      <c r="G78" s="1308">
        <f t="shared" si="5"/>
        <v>0</v>
      </c>
      <c r="H78" s="1219"/>
      <c r="I78" s="1219"/>
      <c r="J78" s="1220"/>
      <c r="K78" s="1220"/>
      <c r="L78" s="1220"/>
      <c r="M78" s="1220"/>
      <c r="N78" s="1220"/>
      <c r="O78" s="1268"/>
    </row>
    <row r="79" spans="1:20" ht="20.25" customHeight="1" thickBot="1">
      <c r="A79" s="2278"/>
      <c r="B79" s="2279"/>
      <c r="C79" s="1314" t="s">
        <v>13</v>
      </c>
      <c r="D79" s="1290">
        <f>SUM(D72:D78)</f>
        <v>26</v>
      </c>
      <c r="E79" s="1290">
        <f>SUM(E72:E78)</f>
        <v>0</v>
      </c>
      <c r="F79" s="1290">
        <f>SUM(F72:F78)</f>
        <v>0</v>
      </c>
      <c r="G79" s="1315">
        <f>SUM(G72:G78)</f>
        <v>26</v>
      </c>
      <c r="H79" s="1316">
        <v>0</v>
      </c>
      <c r="I79" s="1317">
        <f t="shared" ref="I79:O79" si="6">SUM(I72:I78)</f>
        <v>26</v>
      </c>
      <c r="J79" s="1292">
        <f t="shared" si="6"/>
        <v>0</v>
      </c>
      <c r="K79" s="1292">
        <f t="shared" si="6"/>
        <v>0</v>
      </c>
      <c r="L79" s="1292">
        <f t="shared" si="6"/>
        <v>0</v>
      </c>
      <c r="M79" s="1292">
        <f t="shared" si="6"/>
        <v>0</v>
      </c>
      <c r="N79" s="1292">
        <f t="shared" si="6"/>
        <v>0</v>
      </c>
      <c r="O79" s="1293">
        <f t="shared" si="6"/>
        <v>0</v>
      </c>
    </row>
    <row r="81" spans="1:16" ht="36.75" customHeight="1">
      <c r="A81" s="1318"/>
      <c r="B81" s="1295"/>
      <c r="C81" s="1319"/>
      <c r="D81" s="1320"/>
      <c r="E81" s="1260"/>
      <c r="F81" s="1260"/>
      <c r="G81" s="1260"/>
      <c r="H81" s="1260"/>
      <c r="I81" s="1260"/>
      <c r="J81" s="1260"/>
      <c r="K81" s="1260"/>
    </row>
    <row r="82" spans="1:16" ht="28.5" customHeight="1">
      <c r="A82" s="1321" t="s">
        <v>49</v>
      </c>
      <c r="B82" s="1321"/>
      <c r="C82" s="1322"/>
      <c r="D82" s="1322"/>
      <c r="E82" s="1322"/>
      <c r="F82" s="1322"/>
      <c r="G82" s="1322"/>
      <c r="H82" s="1322"/>
      <c r="I82" s="1322"/>
      <c r="J82" s="1322"/>
      <c r="K82" s="1322"/>
      <c r="L82" s="1323"/>
    </row>
    <row r="83" spans="1:16" ht="14.25" customHeight="1" thickBot="1">
      <c r="A83" s="1181"/>
      <c r="B83" s="1181"/>
    </row>
    <row r="84" spans="1:16" s="1210" customFormat="1" ht="128.25" customHeight="1">
      <c r="A84" s="1324" t="s">
        <v>50</v>
      </c>
      <c r="B84" s="1325" t="s">
        <v>447</v>
      </c>
      <c r="C84" s="1326" t="s">
        <v>9</v>
      </c>
      <c r="D84" s="1327" t="s">
        <v>52</v>
      </c>
      <c r="E84" s="1328" t="s">
        <v>53</v>
      </c>
      <c r="F84" s="1329" t="s">
        <v>54</v>
      </c>
      <c r="G84" s="1329" t="s">
        <v>55</v>
      </c>
      <c r="H84" s="1329" t="s">
        <v>56</v>
      </c>
      <c r="I84" s="1329" t="s">
        <v>57</v>
      </c>
      <c r="J84" s="1329" t="s">
        <v>58</v>
      </c>
      <c r="K84" s="1330" t="s">
        <v>59</v>
      </c>
    </row>
    <row r="85" spans="1:16" ht="15" customHeight="1">
      <c r="A85" s="2280"/>
      <c r="B85" s="2277"/>
      <c r="C85" s="1252">
        <v>2014</v>
      </c>
      <c r="D85" s="1331"/>
      <c r="E85" s="1332"/>
      <c r="F85" s="1213"/>
      <c r="G85" s="1213"/>
      <c r="H85" s="1213"/>
      <c r="I85" s="1213"/>
      <c r="J85" s="1213"/>
      <c r="K85" s="1216"/>
    </row>
    <row r="86" spans="1:16">
      <c r="A86" s="2264"/>
      <c r="B86" s="2277"/>
      <c r="C86" s="1253">
        <v>2015</v>
      </c>
      <c r="D86" s="1333"/>
      <c r="E86" s="1288"/>
      <c r="F86" s="1220"/>
      <c r="G86" s="1220"/>
      <c r="H86" s="1220"/>
      <c r="I86" s="1220"/>
      <c r="J86" s="1220"/>
      <c r="K86" s="1268"/>
    </row>
    <row r="87" spans="1:16">
      <c r="A87" s="2264"/>
      <c r="B87" s="2277"/>
      <c r="C87" s="1253">
        <v>2016</v>
      </c>
      <c r="D87" s="1333"/>
      <c r="E87" s="1288"/>
      <c r="F87" s="1220"/>
      <c r="G87" s="1220"/>
      <c r="H87" s="1220"/>
      <c r="I87" s="1220"/>
      <c r="J87" s="1220"/>
      <c r="K87" s="1268"/>
    </row>
    <row r="88" spans="1:16">
      <c r="A88" s="2264"/>
      <c r="B88" s="2277"/>
      <c r="C88" s="1253">
        <v>2017</v>
      </c>
      <c r="D88" s="1333"/>
      <c r="E88" s="1288"/>
      <c r="F88" s="1220"/>
      <c r="G88" s="1220"/>
      <c r="H88" s="1220"/>
      <c r="I88" s="1220"/>
      <c r="J88" s="1220"/>
      <c r="K88" s="1268"/>
    </row>
    <row r="89" spans="1:16">
      <c r="A89" s="2264"/>
      <c r="B89" s="2277"/>
      <c r="C89" s="1253">
        <v>2018</v>
      </c>
      <c r="D89" s="1333"/>
      <c r="E89" s="1288"/>
      <c r="F89" s="1220"/>
      <c r="G89" s="1220"/>
      <c r="H89" s="1220"/>
      <c r="I89" s="1220"/>
      <c r="J89" s="1220"/>
      <c r="K89" s="1268"/>
    </row>
    <row r="90" spans="1:16">
      <c r="A90" s="2264"/>
      <c r="B90" s="2277"/>
      <c r="C90" s="1253">
        <v>2019</v>
      </c>
      <c r="D90" s="1333"/>
      <c r="E90" s="1288"/>
      <c r="F90" s="1220"/>
      <c r="G90" s="1220"/>
      <c r="H90" s="1220"/>
      <c r="I90" s="1220"/>
      <c r="J90" s="1220"/>
      <c r="K90" s="1268"/>
    </row>
    <row r="91" spans="1:16">
      <c r="A91" s="2264"/>
      <c r="B91" s="2277"/>
      <c r="C91" s="1253">
        <v>2020</v>
      </c>
      <c r="D91" s="1333"/>
      <c r="E91" s="1288"/>
      <c r="F91" s="1220"/>
      <c r="G91" s="1220"/>
      <c r="H91" s="1220"/>
      <c r="I91" s="1220"/>
      <c r="J91" s="1220"/>
      <c r="K91" s="1268"/>
    </row>
    <row r="92" spans="1:16" ht="18" customHeight="1" thickBot="1">
      <c r="A92" s="2281"/>
      <c r="B92" s="2279"/>
      <c r="C92" s="1314" t="s">
        <v>13</v>
      </c>
      <c r="D92" s="1334">
        <f t="shared" ref="D92:I92" si="7">SUM(D85:D91)</f>
        <v>0</v>
      </c>
      <c r="E92" s="1291">
        <f t="shared" si="7"/>
        <v>0</v>
      </c>
      <c r="F92" s="1292">
        <f t="shared" si="7"/>
        <v>0</v>
      </c>
      <c r="G92" s="1292">
        <f t="shared" si="7"/>
        <v>0</v>
      </c>
      <c r="H92" s="1292">
        <f t="shared" si="7"/>
        <v>0</v>
      </c>
      <c r="I92" s="1292">
        <f t="shared" si="7"/>
        <v>0</v>
      </c>
      <c r="J92" s="1292">
        <f>SUM(J85:J91)</f>
        <v>0</v>
      </c>
      <c r="K92" s="1293">
        <f>SUM(K85:K91)</f>
        <v>0</v>
      </c>
    </row>
    <row r="93" spans="1:16" ht="20.25" customHeight="1"/>
    <row r="94" spans="1:16" ht="15.75">
      <c r="A94" s="1335" t="s">
        <v>60</v>
      </c>
      <c r="B94" s="1335"/>
      <c r="C94" s="1336"/>
      <c r="D94" s="1336"/>
      <c r="E94" s="1336"/>
      <c r="F94" s="1336"/>
      <c r="G94" s="1336"/>
      <c r="H94" s="1336"/>
      <c r="I94" s="1336"/>
      <c r="J94" s="1336"/>
      <c r="K94" s="1336"/>
      <c r="L94" s="1336"/>
      <c r="M94" s="1336"/>
      <c r="N94" s="1337"/>
      <c r="O94" s="1337"/>
      <c r="P94" s="1337"/>
    </row>
    <row r="95" spans="1:16" s="1245" customFormat="1" ht="15" customHeight="1" thickBot="1">
      <c r="A95" s="1338"/>
      <c r="B95" s="1338"/>
    </row>
    <row r="96" spans="1:16" ht="29.25" customHeight="1">
      <c r="A96" s="2282" t="s">
        <v>61</v>
      </c>
      <c r="B96" s="2284" t="s">
        <v>443</v>
      </c>
      <c r="C96" s="2288" t="s">
        <v>9</v>
      </c>
      <c r="D96" s="2286" t="s">
        <v>63</v>
      </c>
      <c r="E96" s="2287"/>
      <c r="F96" s="1339" t="s">
        <v>64</v>
      </c>
      <c r="G96" s="1340"/>
      <c r="H96" s="1340"/>
      <c r="I96" s="1340"/>
      <c r="J96" s="1340"/>
      <c r="K96" s="1340"/>
      <c r="L96" s="1340"/>
      <c r="M96" s="1341"/>
      <c r="N96" s="1260"/>
      <c r="O96" s="1260"/>
      <c r="P96" s="1260"/>
    </row>
    <row r="97" spans="1:16" ht="100.5" customHeight="1">
      <c r="A97" s="2283"/>
      <c r="B97" s="2285"/>
      <c r="C97" s="2289"/>
      <c r="D97" s="1342" t="s">
        <v>65</v>
      </c>
      <c r="E97" s="1343" t="s">
        <v>66</v>
      </c>
      <c r="F97" s="1344" t="s">
        <v>14</v>
      </c>
      <c r="G97" s="1345" t="s">
        <v>67</v>
      </c>
      <c r="H97" s="1345" t="s">
        <v>55</v>
      </c>
      <c r="I97" s="1346" t="s">
        <v>56</v>
      </c>
      <c r="J97" s="1346" t="s">
        <v>57</v>
      </c>
      <c r="K97" s="1347" t="s">
        <v>68</v>
      </c>
      <c r="L97" s="1345" t="s">
        <v>58</v>
      </c>
      <c r="M97" s="1348" t="s">
        <v>59</v>
      </c>
      <c r="N97" s="1260"/>
      <c r="O97" s="1260"/>
      <c r="P97" s="1260"/>
    </row>
    <row r="98" spans="1:16" ht="17.25" customHeight="1">
      <c r="A98" s="2276" t="s">
        <v>448</v>
      </c>
      <c r="B98" s="2277"/>
      <c r="C98" s="1282">
        <v>2014</v>
      </c>
      <c r="D98" s="1212"/>
      <c r="E98" s="1213"/>
      <c r="F98" s="1332"/>
      <c r="G98" s="1213"/>
      <c r="H98" s="1213"/>
      <c r="I98" s="1213"/>
      <c r="J98" s="1213"/>
      <c r="K98" s="1213"/>
      <c r="L98" s="1213"/>
      <c r="M98" s="1216"/>
      <c r="N98" s="1260"/>
      <c r="O98" s="1260"/>
      <c r="P98" s="1260"/>
    </row>
    <row r="99" spans="1:16" ht="16.5" customHeight="1">
      <c r="A99" s="2276"/>
      <c r="B99" s="2277"/>
      <c r="C99" s="1286">
        <v>2015</v>
      </c>
      <c r="D99" s="1219"/>
      <c r="E99" s="1220"/>
      <c r="F99" s="1288"/>
      <c r="G99" s="1220"/>
      <c r="H99" s="1220"/>
      <c r="I99" s="1220"/>
      <c r="J99" s="1220"/>
      <c r="K99" s="1220"/>
      <c r="L99" s="1220"/>
      <c r="M99" s="1268"/>
      <c r="N99" s="1260"/>
      <c r="O99" s="1260"/>
      <c r="P99" s="1260"/>
    </row>
    <row r="100" spans="1:16" ht="16.5" customHeight="1">
      <c r="A100" s="2276"/>
      <c r="B100" s="2277"/>
      <c r="C100" s="1286">
        <v>2016</v>
      </c>
      <c r="D100" s="1219">
        <v>1</v>
      </c>
      <c r="E100" s="1220">
        <v>7</v>
      </c>
      <c r="F100" s="1288"/>
      <c r="G100" s="1220"/>
      <c r="H100" s="1220"/>
      <c r="I100" s="1220"/>
      <c r="J100" s="1220"/>
      <c r="K100" s="1220"/>
      <c r="L100" s="1220"/>
      <c r="M100" s="1268">
        <v>1</v>
      </c>
      <c r="N100" s="1260"/>
      <c r="O100" s="1260"/>
      <c r="P100" s="1260"/>
    </row>
    <row r="101" spans="1:16" ht="16.5" customHeight="1">
      <c r="A101" s="2276"/>
      <c r="B101" s="2277"/>
      <c r="C101" s="1286">
        <v>2017</v>
      </c>
      <c r="D101" s="1219">
        <v>1</v>
      </c>
      <c r="E101" s="1220">
        <v>5</v>
      </c>
      <c r="F101" s="1288"/>
      <c r="G101" s="1220"/>
      <c r="H101" s="1220"/>
      <c r="I101" s="1220"/>
      <c r="J101" s="1220"/>
      <c r="K101" s="1220"/>
      <c r="L101" s="1220"/>
      <c r="M101" s="1268">
        <v>1</v>
      </c>
      <c r="N101" s="1260"/>
      <c r="O101" s="1260"/>
      <c r="P101" s="1260"/>
    </row>
    <row r="102" spans="1:16" ht="15.75" customHeight="1">
      <c r="A102" s="2276"/>
      <c r="B102" s="2277"/>
      <c r="C102" s="1286">
        <v>2018</v>
      </c>
      <c r="D102" s="1219"/>
      <c r="E102" s="1220"/>
      <c r="F102" s="1288"/>
      <c r="G102" s="1220"/>
      <c r="H102" s="1220"/>
      <c r="I102" s="1220"/>
      <c r="J102" s="1220"/>
      <c r="K102" s="1220"/>
      <c r="L102" s="1220"/>
      <c r="M102" s="1268"/>
      <c r="N102" s="1260"/>
      <c r="O102" s="1260"/>
      <c r="P102" s="1260"/>
    </row>
    <row r="103" spans="1:16" ht="14.25" customHeight="1">
      <c r="A103" s="2276"/>
      <c r="B103" s="2277"/>
      <c r="C103" s="1286">
        <v>2019</v>
      </c>
      <c r="D103" s="1219"/>
      <c r="E103" s="1220"/>
      <c r="F103" s="1288"/>
      <c r="G103" s="1220"/>
      <c r="H103" s="1220"/>
      <c r="I103" s="1220"/>
      <c r="J103" s="1220"/>
      <c r="K103" s="1220"/>
      <c r="L103" s="1220"/>
      <c r="M103" s="1268"/>
      <c r="N103" s="1260"/>
      <c r="O103" s="1260"/>
      <c r="P103" s="1260"/>
    </row>
    <row r="104" spans="1:16" ht="14.25" customHeight="1">
      <c r="A104" s="2276"/>
      <c r="B104" s="2277"/>
      <c r="C104" s="1286">
        <v>2020</v>
      </c>
      <c r="D104" s="1219"/>
      <c r="E104" s="1220"/>
      <c r="F104" s="1288"/>
      <c r="G104" s="1220"/>
      <c r="H104" s="1220"/>
      <c r="I104" s="1220"/>
      <c r="J104" s="1220"/>
      <c r="K104" s="1220"/>
      <c r="L104" s="1220"/>
      <c r="M104" s="1268"/>
      <c r="N104" s="1260"/>
      <c r="O104" s="1260"/>
      <c r="P104" s="1260"/>
    </row>
    <row r="105" spans="1:16" ht="19.5" customHeight="1" thickBot="1">
      <c r="A105" s="2278"/>
      <c r="B105" s="2279"/>
      <c r="C105" s="1289" t="s">
        <v>13</v>
      </c>
      <c r="D105" s="1317">
        <f>SUM(D98:D104)</f>
        <v>2</v>
      </c>
      <c r="E105" s="1292">
        <f t="shared" ref="E105:K105" si="8">SUM(E98:E104)</f>
        <v>12</v>
      </c>
      <c r="F105" s="1291">
        <f t="shared" si="8"/>
        <v>0</v>
      </c>
      <c r="G105" s="1292">
        <f t="shared" si="8"/>
        <v>0</v>
      </c>
      <c r="H105" s="1292">
        <f t="shared" si="8"/>
        <v>0</v>
      </c>
      <c r="I105" s="1292">
        <f>SUM(I98:I104)</f>
        <v>0</v>
      </c>
      <c r="J105" s="1292">
        <f t="shared" si="8"/>
        <v>0</v>
      </c>
      <c r="K105" s="1292">
        <f t="shared" si="8"/>
        <v>0</v>
      </c>
      <c r="L105" s="1292">
        <f>SUM(L98:L104)</f>
        <v>0</v>
      </c>
      <c r="M105" s="1293">
        <f>SUM(M98:M104)</f>
        <v>2</v>
      </c>
      <c r="N105" s="1260"/>
      <c r="O105" s="1260"/>
      <c r="P105" s="1260"/>
    </row>
    <row r="106" spans="1:16" ht="16.5" thickBot="1">
      <c r="A106" s="1349"/>
      <c r="B106" s="1349"/>
      <c r="C106" s="1350"/>
      <c r="D106" s="1188"/>
      <c r="E106" s="1188"/>
      <c r="H106" s="1188"/>
      <c r="I106" s="1188"/>
      <c r="J106" s="1188"/>
      <c r="K106" s="1188"/>
      <c r="L106" s="1188"/>
      <c r="M106" s="1188"/>
      <c r="N106" s="1188"/>
    </row>
    <row r="107" spans="1:16" ht="15" customHeight="1">
      <c r="A107" s="2282" t="s">
        <v>69</v>
      </c>
      <c r="B107" s="2284" t="s">
        <v>443</v>
      </c>
      <c r="C107" s="2288" t="s">
        <v>9</v>
      </c>
      <c r="D107" s="2290" t="s">
        <v>70</v>
      </c>
      <c r="E107" s="1339" t="s">
        <v>71</v>
      </c>
      <c r="F107" s="1340"/>
      <c r="G107" s="1340"/>
      <c r="H107" s="1340"/>
      <c r="I107" s="1340"/>
      <c r="J107" s="1340"/>
      <c r="K107" s="1340"/>
      <c r="L107" s="1341"/>
      <c r="M107" s="1188"/>
      <c r="N107" s="1188"/>
    </row>
    <row r="108" spans="1:16" ht="103.5" customHeight="1">
      <c r="A108" s="2283"/>
      <c r="B108" s="2285"/>
      <c r="C108" s="2289"/>
      <c r="D108" s="2291"/>
      <c r="E108" s="1344" t="s">
        <v>14</v>
      </c>
      <c r="F108" s="1345" t="s">
        <v>67</v>
      </c>
      <c r="G108" s="1345" t="s">
        <v>55</v>
      </c>
      <c r="H108" s="1346" t="s">
        <v>56</v>
      </c>
      <c r="I108" s="1346" t="s">
        <v>57</v>
      </c>
      <c r="J108" s="1347" t="s">
        <v>68</v>
      </c>
      <c r="K108" s="1345" t="s">
        <v>58</v>
      </c>
      <c r="L108" s="1348" t="s">
        <v>59</v>
      </c>
      <c r="M108" s="1188"/>
      <c r="N108" s="1188"/>
    </row>
    <row r="109" spans="1:16">
      <c r="A109" s="2276"/>
      <c r="B109" s="2277"/>
      <c r="C109" s="1282">
        <v>2014</v>
      </c>
      <c r="D109" s="1213"/>
      <c r="E109" s="1332"/>
      <c r="F109" s="1213"/>
      <c r="G109" s="1213"/>
      <c r="H109" s="1213"/>
      <c r="I109" s="1213"/>
      <c r="J109" s="1213"/>
      <c r="K109" s="1213"/>
      <c r="L109" s="1216"/>
      <c r="M109" s="1188"/>
      <c r="N109" s="1188"/>
    </row>
    <row r="110" spans="1:16">
      <c r="A110" s="2276"/>
      <c r="B110" s="2277"/>
      <c r="C110" s="1286">
        <v>2015</v>
      </c>
      <c r="D110" s="1220"/>
      <c r="E110" s="1288"/>
      <c r="F110" s="1220"/>
      <c r="G110" s="1220"/>
      <c r="H110" s="1220"/>
      <c r="I110" s="1220"/>
      <c r="J110" s="1220"/>
      <c r="K110" s="1220"/>
      <c r="L110" s="1268"/>
      <c r="M110" s="1188"/>
      <c r="N110" s="1188"/>
    </row>
    <row r="111" spans="1:16">
      <c r="A111" s="2276"/>
      <c r="B111" s="2277"/>
      <c r="C111" s="1286">
        <v>2016</v>
      </c>
      <c r="D111" s="1220"/>
      <c r="E111" s="1288"/>
      <c r="F111" s="1220"/>
      <c r="G111" s="1220"/>
      <c r="H111" s="1220"/>
      <c r="I111" s="1220"/>
      <c r="J111" s="1220"/>
      <c r="K111" s="1220"/>
      <c r="L111" s="1268"/>
      <c r="M111" s="1188"/>
      <c r="N111" s="1188"/>
    </row>
    <row r="112" spans="1:16">
      <c r="A112" s="2276"/>
      <c r="B112" s="2277"/>
      <c r="C112" s="1286">
        <v>2017</v>
      </c>
      <c r="D112" s="1220"/>
      <c r="E112" s="1288"/>
      <c r="F112" s="1220"/>
      <c r="G112" s="1220"/>
      <c r="H112" s="1220"/>
      <c r="I112" s="1220"/>
      <c r="J112" s="1220"/>
      <c r="K112" s="1220"/>
      <c r="L112" s="1268"/>
      <c r="M112" s="1188"/>
      <c r="N112" s="1188"/>
    </row>
    <row r="113" spans="1:14">
      <c r="A113" s="2276"/>
      <c r="B113" s="2277"/>
      <c r="C113" s="1286">
        <v>2018</v>
      </c>
      <c r="D113" s="1220"/>
      <c r="E113" s="1288"/>
      <c r="F113" s="1220"/>
      <c r="G113" s="1220"/>
      <c r="H113" s="1220"/>
      <c r="I113" s="1220"/>
      <c r="J113" s="1220"/>
      <c r="K113" s="1220"/>
      <c r="L113" s="1268"/>
      <c r="M113" s="1188"/>
      <c r="N113" s="1188"/>
    </row>
    <row r="114" spans="1:14">
      <c r="A114" s="2276"/>
      <c r="B114" s="2277"/>
      <c r="C114" s="1286">
        <v>2019</v>
      </c>
      <c r="D114" s="1220"/>
      <c r="E114" s="1288"/>
      <c r="F114" s="1220"/>
      <c r="G114" s="1220"/>
      <c r="H114" s="1220"/>
      <c r="I114" s="1220"/>
      <c r="J114" s="1220"/>
      <c r="K114" s="1220"/>
      <c r="L114" s="1268"/>
      <c r="M114" s="1188"/>
      <c r="N114" s="1188"/>
    </row>
    <row r="115" spans="1:14">
      <c r="A115" s="2276"/>
      <c r="B115" s="2277"/>
      <c r="C115" s="1286">
        <v>2020</v>
      </c>
      <c r="D115" s="1220"/>
      <c r="E115" s="1288"/>
      <c r="F115" s="1220"/>
      <c r="G115" s="1220"/>
      <c r="H115" s="1220"/>
      <c r="I115" s="1220"/>
      <c r="J115" s="1220"/>
      <c r="K115" s="1220"/>
      <c r="L115" s="1268"/>
      <c r="M115" s="1188"/>
      <c r="N115" s="1188"/>
    </row>
    <row r="116" spans="1:14" ht="25.5" customHeight="1" thickBot="1">
      <c r="A116" s="2278"/>
      <c r="B116" s="2279"/>
      <c r="C116" s="1289" t="s">
        <v>13</v>
      </c>
      <c r="D116" s="1292">
        <f t="shared" ref="D116:I116" si="9">SUM(D109:D115)</f>
        <v>0</v>
      </c>
      <c r="E116" s="1291">
        <f t="shared" si="9"/>
        <v>0</v>
      </c>
      <c r="F116" s="1292">
        <f t="shared" si="9"/>
        <v>0</v>
      </c>
      <c r="G116" s="1292">
        <f t="shared" si="9"/>
        <v>0</v>
      </c>
      <c r="H116" s="1292">
        <f t="shared" si="9"/>
        <v>0</v>
      </c>
      <c r="I116" s="1292">
        <f t="shared" si="9"/>
        <v>0</v>
      </c>
      <c r="J116" s="1292"/>
      <c r="K116" s="1292">
        <f>SUM(K109:K115)</f>
        <v>0</v>
      </c>
      <c r="L116" s="1293">
        <f>SUM(L109:L115)</f>
        <v>0</v>
      </c>
      <c r="M116" s="1188"/>
      <c r="N116" s="1188"/>
    </row>
    <row r="117" spans="1:14" ht="16.5" thickBot="1">
      <c r="A117" s="1351"/>
      <c r="B117" s="1351"/>
      <c r="C117" s="1245"/>
      <c r="D117" s="1245"/>
      <c r="E117" s="1245"/>
      <c r="F117" s="1245"/>
      <c r="G117" s="1245"/>
      <c r="H117" s="1245"/>
      <c r="I117" s="1245"/>
      <c r="J117" s="1245"/>
      <c r="K117" s="1245"/>
      <c r="L117" s="1245"/>
      <c r="M117" s="1188"/>
      <c r="N117" s="1188"/>
    </row>
    <row r="118" spans="1:14" ht="15" customHeight="1">
      <c r="A118" s="2282" t="s">
        <v>72</v>
      </c>
      <c r="B118" s="2284" t="s">
        <v>443</v>
      </c>
      <c r="C118" s="2288" t="s">
        <v>9</v>
      </c>
      <c r="D118" s="2290" t="s">
        <v>73</v>
      </c>
      <c r="E118" s="1339" t="s">
        <v>71</v>
      </c>
      <c r="F118" s="1340"/>
      <c r="G118" s="1340"/>
      <c r="H118" s="1340"/>
      <c r="I118" s="1340"/>
      <c r="J118" s="1340"/>
      <c r="K118" s="1340"/>
      <c r="L118" s="1341"/>
      <c r="M118" s="1188"/>
      <c r="N118" s="1188"/>
    </row>
    <row r="119" spans="1:14" ht="120.75" customHeight="1">
      <c r="A119" s="2283"/>
      <c r="B119" s="2285"/>
      <c r="C119" s="2289"/>
      <c r="D119" s="2291"/>
      <c r="E119" s="1344" t="s">
        <v>14</v>
      </c>
      <c r="F119" s="1345" t="s">
        <v>67</v>
      </c>
      <c r="G119" s="1345" t="s">
        <v>55</v>
      </c>
      <c r="H119" s="1346" t="s">
        <v>56</v>
      </c>
      <c r="I119" s="1346" t="s">
        <v>57</v>
      </c>
      <c r="J119" s="1347" t="s">
        <v>68</v>
      </c>
      <c r="K119" s="1345" t="s">
        <v>58</v>
      </c>
      <c r="L119" s="1348" t="s">
        <v>59</v>
      </c>
      <c r="M119" s="1188"/>
      <c r="N119" s="1188"/>
    </row>
    <row r="120" spans="1:14">
      <c r="A120" s="2276"/>
      <c r="B120" s="2277"/>
      <c r="C120" s="1282">
        <v>2014</v>
      </c>
      <c r="D120" s="1213"/>
      <c r="E120" s="1332"/>
      <c r="F120" s="1213"/>
      <c r="G120" s="1213"/>
      <c r="H120" s="1213"/>
      <c r="I120" s="1213"/>
      <c r="J120" s="1213"/>
      <c r="K120" s="1213"/>
      <c r="L120" s="1216"/>
      <c r="M120" s="1188"/>
      <c r="N120" s="1188"/>
    </row>
    <row r="121" spans="1:14">
      <c r="A121" s="2276"/>
      <c r="B121" s="2277"/>
      <c r="C121" s="1286">
        <v>2015</v>
      </c>
      <c r="D121" s="1220"/>
      <c r="E121" s="1288"/>
      <c r="F121" s="1220"/>
      <c r="G121" s="1220"/>
      <c r="H121" s="1220"/>
      <c r="I121" s="1220"/>
      <c r="J121" s="1220"/>
      <c r="K121" s="1220"/>
      <c r="L121" s="1268"/>
      <c r="M121" s="1188"/>
      <c r="N121" s="1188"/>
    </row>
    <row r="122" spans="1:14">
      <c r="A122" s="2276"/>
      <c r="B122" s="2277"/>
      <c r="C122" s="1286">
        <v>2016</v>
      </c>
      <c r="D122" s="1220"/>
      <c r="E122" s="1288"/>
      <c r="F122" s="1220"/>
      <c r="G122" s="1220"/>
      <c r="H122" s="1220"/>
      <c r="I122" s="1220"/>
      <c r="J122" s="1220"/>
      <c r="K122" s="1220"/>
      <c r="L122" s="1268"/>
      <c r="M122" s="1188"/>
      <c r="N122" s="1188"/>
    </row>
    <row r="123" spans="1:14">
      <c r="A123" s="2276"/>
      <c r="B123" s="2277"/>
      <c r="C123" s="1286">
        <v>2017</v>
      </c>
      <c r="D123" s="1220"/>
      <c r="E123" s="1288"/>
      <c r="F123" s="1220"/>
      <c r="G123" s="1220"/>
      <c r="H123" s="1220"/>
      <c r="I123" s="1220"/>
      <c r="J123" s="1220"/>
      <c r="K123" s="1220"/>
      <c r="L123" s="1268"/>
      <c r="M123" s="1188"/>
      <c r="N123" s="1188"/>
    </row>
    <row r="124" spans="1:14">
      <c r="A124" s="2276"/>
      <c r="B124" s="2277"/>
      <c r="C124" s="1286">
        <v>2018</v>
      </c>
      <c r="D124" s="1220"/>
      <c r="E124" s="1288"/>
      <c r="F124" s="1220"/>
      <c r="G124" s="1220"/>
      <c r="H124" s="1220"/>
      <c r="I124" s="1220"/>
      <c r="J124" s="1220"/>
      <c r="K124" s="1220"/>
      <c r="L124" s="1268"/>
      <c r="M124" s="1188"/>
      <c r="N124" s="1188"/>
    </row>
    <row r="125" spans="1:14">
      <c r="A125" s="2276"/>
      <c r="B125" s="2277"/>
      <c r="C125" s="1286">
        <v>2019</v>
      </c>
      <c r="D125" s="1220"/>
      <c r="E125" s="1288"/>
      <c r="F125" s="1220"/>
      <c r="G125" s="1220"/>
      <c r="H125" s="1220"/>
      <c r="I125" s="1220"/>
      <c r="J125" s="1220"/>
      <c r="K125" s="1220"/>
      <c r="L125" s="1268"/>
      <c r="M125" s="1188"/>
      <c r="N125" s="1188"/>
    </row>
    <row r="126" spans="1:14">
      <c r="A126" s="2276"/>
      <c r="B126" s="2277"/>
      <c r="C126" s="1286">
        <v>2020</v>
      </c>
      <c r="D126" s="1220"/>
      <c r="E126" s="1288"/>
      <c r="F126" s="1220"/>
      <c r="G126" s="1220"/>
      <c r="H126" s="1220"/>
      <c r="I126" s="1220"/>
      <c r="J126" s="1220"/>
      <c r="K126" s="1220"/>
      <c r="L126" s="1268"/>
      <c r="M126" s="1188"/>
      <c r="N126" s="1188"/>
    </row>
    <row r="127" spans="1:14" ht="16.5" thickBot="1">
      <c r="A127" s="2278"/>
      <c r="B127" s="2279"/>
      <c r="C127" s="1289" t="s">
        <v>13</v>
      </c>
      <c r="D127" s="1292">
        <f t="shared" ref="D127:I127" si="10">SUM(D120:D126)</f>
        <v>0</v>
      </c>
      <c r="E127" s="1291">
        <f t="shared" si="10"/>
        <v>0</v>
      </c>
      <c r="F127" s="1292">
        <f t="shared" si="10"/>
        <v>0</v>
      </c>
      <c r="G127" s="1292">
        <f t="shared" si="10"/>
        <v>0</v>
      </c>
      <c r="H127" s="1292">
        <f t="shared" si="10"/>
        <v>0</v>
      </c>
      <c r="I127" s="1292">
        <f t="shared" si="10"/>
        <v>0</v>
      </c>
      <c r="J127" s="1292"/>
      <c r="K127" s="1292">
        <f>SUM(K120:K126)</f>
        <v>0</v>
      </c>
      <c r="L127" s="1293">
        <f>SUM(L120:L126)</f>
        <v>0</v>
      </c>
      <c r="M127" s="1188"/>
      <c r="N127" s="1188"/>
    </row>
    <row r="128" spans="1:14" ht="16.5" thickBot="1">
      <c r="A128" s="1349"/>
      <c r="B128" s="1349"/>
      <c r="C128" s="1350"/>
      <c r="D128" s="1188"/>
      <c r="E128" s="1188"/>
      <c r="H128" s="1188"/>
      <c r="I128" s="1188"/>
      <c r="J128" s="1188"/>
      <c r="K128" s="1188"/>
      <c r="L128" s="1188"/>
      <c r="M128" s="1188"/>
      <c r="N128" s="1188"/>
    </row>
    <row r="129" spans="1:16" ht="15" customHeight="1">
      <c r="A129" s="2282" t="s">
        <v>75</v>
      </c>
      <c r="B129" s="2284" t="s">
        <v>443</v>
      </c>
      <c r="C129" s="1352" t="s">
        <v>9</v>
      </c>
      <c r="D129" s="1353" t="s">
        <v>76</v>
      </c>
      <c r="E129" s="1354"/>
      <c r="F129" s="1354"/>
      <c r="G129" s="1355"/>
      <c r="H129" s="1188"/>
      <c r="I129" s="1188"/>
      <c r="J129" s="1188"/>
      <c r="K129" s="1188"/>
      <c r="L129" s="1188"/>
      <c r="M129" s="1188"/>
      <c r="N129" s="1188"/>
    </row>
    <row r="130" spans="1:16" ht="77.25" customHeight="1">
      <c r="A130" s="2283"/>
      <c r="B130" s="2285"/>
      <c r="C130" s="1356"/>
      <c r="D130" s="1342" t="s">
        <v>77</v>
      </c>
      <c r="E130" s="1357" t="s">
        <v>78</v>
      </c>
      <c r="F130" s="1343" t="s">
        <v>79</v>
      </c>
      <c r="G130" s="1358" t="s">
        <v>13</v>
      </c>
      <c r="H130" s="1188"/>
      <c r="I130" s="1188"/>
      <c r="J130" s="1188"/>
      <c r="K130" s="1188"/>
      <c r="L130" s="1188"/>
      <c r="M130" s="1188"/>
      <c r="N130" s="1188"/>
    </row>
    <row r="131" spans="1:16" ht="15" customHeight="1">
      <c r="A131" s="2258"/>
      <c r="B131" s="2259"/>
      <c r="C131" s="1282">
        <v>2015</v>
      </c>
      <c r="D131" s="1212"/>
      <c r="E131" s="1213"/>
      <c r="F131" s="1213"/>
      <c r="G131" s="1359">
        <f t="shared" ref="G131:G136" si="11">SUM(D131:F131)</f>
        <v>0</v>
      </c>
      <c r="H131" s="1188"/>
      <c r="I131" s="1188"/>
      <c r="J131" s="1188"/>
      <c r="K131" s="1188"/>
      <c r="L131" s="1188"/>
      <c r="M131" s="1188"/>
      <c r="N131" s="1188"/>
    </row>
    <row r="132" spans="1:16">
      <c r="A132" s="2258"/>
      <c r="B132" s="2259"/>
      <c r="C132" s="1286">
        <v>2016</v>
      </c>
      <c r="D132" s="1360">
        <v>78</v>
      </c>
      <c r="E132" s="1220"/>
      <c r="F132" s="1220"/>
      <c r="G132" s="1359">
        <f t="shared" si="11"/>
        <v>78</v>
      </c>
      <c r="H132" s="1188"/>
      <c r="I132" s="1188"/>
      <c r="J132" s="1188"/>
      <c r="K132" s="1188"/>
      <c r="L132" s="1188"/>
      <c r="M132" s="1188"/>
      <c r="N132" s="1188"/>
    </row>
    <row r="133" spans="1:16">
      <c r="A133" s="2258"/>
      <c r="B133" s="2259"/>
      <c r="C133" s="1286">
        <v>2017</v>
      </c>
      <c r="D133" s="1360">
        <v>69</v>
      </c>
      <c r="E133" s="1220"/>
      <c r="F133" s="1220"/>
      <c r="G133" s="1359">
        <f t="shared" si="11"/>
        <v>69</v>
      </c>
      <c r="H133" s="1188"/>
      <c r="I133" s="1188"/>
      <c r="J133" s="1188"/>
      <c r="K133" s="1188"/>
      <c r="L133" s="1188"/>
      <c r="M133" s="1188"/>
      <c r="N133" s="1188"/>
    </row>
    <row r="134" spans="1:16">
      <c r="A134" s="2258"/>
      <c r="B134" s="2259"/>
      <c r="C134" s="1286">
        <v>2018</v>
      </c>
      <c r="D134" s="1219"/>
      <c r="E134" s="1220"/>
      <c r="F134" s="1220"/>
      <c r="G134" s="1359">
        <f t="shared" si="11"/>
        <v>0</v>
      </c>
      <c r="H134" s="1188"/>
      <c r="I134" s="1188"/>
      <c r="J134" s="1188"/>
      <c r="K134" s="1188"/>
      <c r="L134" s="1188"/>
      <c r="M134" s="1188"/>
      <c r="N134" s="1188"/>
    </row>
    <row r="135" spans="1:16">
      <c r="A135" s="2258"/>
      <c r="B135" s="2259"/>
      <c r="C135" s="1286">
        <v>2019</v>
      </c>
      <c r="D135" s="1219"/>
      <c r="E135" s="1220"/>
      <c r="F135" s="1220"/>
      <c r="G135" s="1359">
        <f t="shared" si="11"/>
        <v>0</v>
      </c>
      <c r="H135" s="1188"/>
      <c r="I135" s="1188"/>
      <c r="J135" s="1188"/>
      <c r="K135" s="1188"/>
      <c r="L135" s="1188"/>
      <c r="M135" s="1188"/>
      <c r="N135" s="1188"/>
    </row>
    <row r="136" spans="1:16">
      <c r="A136" s="2258"/>
      <c r="B136" s="2259"/>
      <c r="C136" s="1286">
        <v>2020</v>
      </c>
      <c r="D136" s="1219"/>
      <c r="E136" s="1220"/>
      <c r="F136" s="1220"/>
      <c r="G136" s="1359">
        <f t="shared" si="11"/>
        <v>0</v>
      </c>
      <c r="H136" s="1188"/>
      <c r="I136" s="1188"/>
      <c r="J136" s="1188"/>
      <c r="K136" s="1188"/>
      <c r="L136" s="1188"/>
      <c r="M136" s="1188"/>
      <c r="N136" s="1188"/>
    </row>
    <row r="137" spans="1:16" ht="17.25" customHeight="1" thickBot="1">
      <c r="A137" s="2260"/>
      <c r="B137" s="2261"/>
      <c r="C137" s="1289" t="s">
        <v>13</v>
      </c>
      <c r="D137" s="1317">
        <f>SUM(D131:D136)</f>
        <v>147</v>
      </c>
      <c r="E137" s="1317">
        <f t="shared" ref="E137:F137" si="12">SUM(E131:E136)</f>
        <v>0</v>
      </c>
      <c r="F137" s="1317">
        <f t="shared" si="12"/>
        <v>0</v>
      </c>
      <c r="G137" s="1361">
        <f>SUM(G131:G136)</f>
        <v>147</v>
      </c>
      <c r="H137" s="1188"/>
      <c r="I137" s="1188"/>
      <c r="J137" s="1188"/>
      <c r="K137" s="1188"/>
      <c r="L137" s="1188"/>
      <c r="M137" s="1188"/>
      <c r="N137" s="1188"/>
    </row>
    <row r="138" spans="1:16" ht="15.75">
      <c r="A138" s="1349"/>
      <c r="B138" s="1349"/>
      <c r="C138" s="1350"/>
      <c r="D138" s="1188"/>
      <c r="E138" s="1188"/>
      <c r="H138" s="1188"/>
      <c r="I138" s="1188"/>
      <c r="J138" s="1188"/>
      <c r="K138" s="1188"/>
      <c r="L138" s="1188"/>
      <c r="M138" s="1188"/>
      <c r="N138" s="1188"/>
    </row>
    <row r="139" spans="1:16" s="1245" customFormat="1" ht="33" customHeight="1">
      <c r="A139" s="1362"/>
      <c r="B139" s="1262"/>
      <c r="C139" s="1263"/>
      <c r="D139" s="1217"/>
      <c r="E139" s="1217"/>
      <c r="F139" s="1217"/>
      <c r="G139" s="1217"/>
      <c r="H139" s="1217"/>
      <c r="I139" s="1363"/>
      <c r="J139" s="1217"/>
      <c r="K139" s="1217"/>
      <c r="L139" s="1217"/>
      <c r="M139" s="1217"/>
      <c r="N139" s="1217"/>
      <c r="O139" s="1217"/>
      <c r="P139" s="1217"/>
    </row>
    <row r="140" spans="1:16" ht="15.75">
      <c r="A140" s="1364" t="s">
        <v>80</v>
      </c>
      <c r="B140" s="1364"/>
      <c r="C140" s="1365"/>
      <c r="D140" s="1365"/>
      <c r="E140" s="1365"/>
      <c r="F140" s="1365"/>
      <c r="G140" s="1365"/>
      <c r="H140" s="1365"/>
      <c r="I140" s="1365"/>
      <c r="J140" s="1365"/>
      <c r="K140" s="1365"/>
      <c r="L140" s="1365"/>
      <c r="M140" s="1365"/>
      <c r="N140" s="1365"/>
      <c r="O140" s="1337"/>
      <c r="P140" s="1337"/>
    </row>
    <row r="141" spans="1:16" ht="21.75" customHeight="1" thickBot="1">
      <c r="A141" s="1366"/>
      <c r="B141" s="1295"/>
      <c r="C141" s="1319"/>
      <c r="D141" s="1260"/>
      <c r="E141" s="1260"/>
      <c r="F141" s="1260"/>
      <c r="G141" s="1260"/>
      <c r="H141" s="1260"/>
      <c r="I141" s="1260"/>
      <c r="J141" s="1260"/>
      <c r="K141" s="1260"/>
      <c r="L141" s="1260"/>
      <c r="M141" s="1260"/>
      <c r="N141" s="1260"/>
      <c r="O141" s="1260"/>
      <c r="P141" s="1260"/>
    </row>
    <row r="142" spans="1:16" ht="21.75" customHeight="1">
      <c r="A142" s="2293" t="s">
        <v>81</v>
      </c>
      <c r="B142" s="2295" t="s">
        <v>443</v>
      </c>
      <c r="C142" s="2304" t="s">
        <v>9</v>
      </c>
      <c r="D142" s="1367" t="s">
        <v>82</v>
      </c>
      <c r="E142" s="1368"/>
      <c r="F142" s="1368"/>
      <c r="G142" s="1368"/>
      <c r="H142" s="1368"/>
      <c r="I142" s="1369"/>
      <c r="J142" s="2297" t="s">
        <v>83</v>
      </c>
      <c r="K142" s="2298"/>
      <c r="L142" s="2298"/>
      <c r="M142" s="2298"/>
      <c r="N142" s="2299"/>
      <c r="O142" s="1260"/>
      <c r="P142" s="1260"/>
    </row>
    <row r="143" spans="1:16" ht="132" customHeight="1">
      <c r="A143" s="2294"/>
      <c r="B143" s="2296"/>
      <c r="C143" s="2305"/>
      <c r="D143" s="1370" t="s">
        <v>84</v>
      </c>
      <c r="E143" s="1371" t="s">
        <v>85</v>
      </c>
      <c r="F143" s="1372" t="s">
        <v>86</v>
      </c>
      <c r="G143" s="1372" t="s">
        <v>87</v>
      </c>
      <c r="H143" s="1372" t="s">
        <v>88</v>
      </c>
      <c r="I143" s="1373" t="s">
        <v>89</v>
      </c>
      <c r="J143" s="1374" t="s">
        <v>90</v>
      </c>
      <c r="K143" s="1375" t="s">
        <v>91</v>
      </c>
      <c r="L143" s="1374" t="s">
        <v>92</v>
      </c>
      <c r="M143" s="1375" t="s">
        <v>91</v>
      </c>
      <c r="N143" s="1376" t="s">
        <v>93</v>
      </c>
      <c r="O143" s="1260"/>
      <c r="P143" s="1260"/>
    </row>
    <row r="144" spans="1:16" ht="19.5" customHeight="1">
      <c r="A144" s="2276"/>
      <c r="B144" s="2277"/>
      <c r="C144" s="1282">
        <v>2014</v>
      </c>
      <c r="D144" s="1212"/>
      <c r="E144" s="1212"/>
      <c r="F144" s="1213"/>
      <c r="G144" s="1213"/>
      <c r="H144" s="1213"/>
      <c r="I144" s="1377">
        <f>D144+F144+G144+H144</f>
        <v>0</v>
      </c>
      <c r="J144" s="1212"/>
      <c r="K144" s="1211"/>
      <c r="L144" s="1212"/>
      <c r="M144" s="1211"/>
      <c r="N144" s="1331"/>
      <c r="O144" s="1260"/>
      <c r="P144" s="1260"/>
    </row>
    <row r="145" spans="1:16" ht="19.5" customHeight="1">
      <c r="A145" s="2276"/>
      <c r="B145" s="2277"/>
      <c r="C145" s="1286">
        <v>2015</v>
      </c>
      <c r="D145" s="1219"/>
      <c r="E145" s="1219"/>
      <c r="F145" s="1220"/>
      <c r="G145" s="1220"/>
      <c r="H145" s="1220"/>
      <c r="I145" s="1377">
        <f t="shared" ref="I145:I150" si="13">D145+F145+G145+H145</f>
        <v>0</v>
      </c>
      <c r="J145" s="1219"/>
      <c r="K145" s="1218"/>
      <c r="L145" s="1219"/>
      <c r="M145" s="1218"/>
      <c r="N145" s="1333"/>
      <c r="O145" s="1260"/>
      <c r="P145" s="1260"/>
    </row>
    <row r="146" spans="1:16" ht="20.25" customHeight="1">
      <c r="A146" s="2276"/>
      <c r="B146" s="2277"/>
      <c r="C146" s="1286">
        <v>2016</v>
      </c>
      <c r="D146" s="1219"/>
      <c r="E146" s="1219"/>
      <c r="F146" s="1220"/>
      <c r="G146" s="1220"/>
      <c r="H146" s="1220"/>
      <c r="I146" s="1377">
        <f t="shared" si="13"/>
        <v>0</v>
      </c>
      <c r="J146" s="1219"/>
      <c r="K146" s="1218"/>
      <c r="L146" s="1219"/>
      <c r="M146" s="1218"/>
      <c r="N146" s="1333"/>
      <c r="O146" s="1260"/>
      <c r="P146" s="1260"/>
    </row>
    <row r="147" spans="1:16" ht="17.25" customHeight="1">
      <c r="A147" s="2276"/>
      <c r="B147" s="2277"/>
      <c r="C147" s="1286">
        <v>2017</v>
      </c>
      <c r="D147" s="1219"/>
      <c r="E147" s="1219"/>
      <c r="F147" s="1220"/>
      <c r="G147" s="1220"/>
      <c r="H147" s="1220"/>
      <c r="I147" s="1377">
        <f t="shared" si="13"/>
        <v>0</v>
      </c>
      <c r="J147" s="1219"/>
      <c r="K147" s="1218"/>
      <c r="L147" s="1219"/>
      <c r="M147" s="1218"/>
      <c r="N147" s="1333"/>
      <c r="O147" s="1260"/>
      <c r="P147" s="1260"/>
    </row>
    <row r="148" spans="1:16" ht="19.5" customHeight="1">
      <c r="A148" s="2276"/>
      <c r="B148" s="2277"/>
      <c r="C148" s="1286">
        <v>2018</v>
      </c>
      <c r="D148" s="1219"/>
      <c r="E148" s="1219"/>
      <c r="F148" s="1220"/>
      <c r="G148" s="1220"/>
      <c r="H148" s="1220"/>
      <c r="I148" s="1377">
        <f t="shared" si="13"/>
        <v>0</v>
      </c>
      <c r="J148" s="1219"/>
      <c r="K148" s="1218"/>
      <c r="L148" s="1219"/>
      <c r="M148" s="1218"/>
      <c r="N148" s="1333"/>
      <c r="O148" s="1260"/>
      <c r="P148" s="1260"/>
    </row>
    <row r="149" spans="1:16" ht="19.5" customHeight="1">
      <c r="A149" s="2276"/>
      <c r="B149" s="2277"/>
      <c r="C149" s="1286">
        <v>2019</v>
      </c>
      <c r="D149" s="1219"/>
      <c r="E149" s="1219"/>
      <c r="F149" s="1220"/>
      <c r="G149" s="1220"/>
      <c r="H149" s="1220"/>
      <c r="I149" s="1377">
        <f t="shared" si="13"/>
        <v>0</v>
      </c>
      <c r="J149" s="1219"/>
      <c r="K149" s="1218"/>
      <c r="L149" s="1219"/>
      <c r="M149" s="1218"/>
      <c r="N149" s="1333"/>
      <c r="O149" s="1260"/>
      <c r="P149" s="1260"/>
    </row>
    <row r="150" spans="1:16" ht="18.75" customHeight="1">
      <c r="A150" s="2276"/>
      <c r="B150" s="2277"/>
      <c r="C150" s="1286">
        <v>2020</v>
      </c>
      <c r="D150" s="1219"/>
      <c r="E150" s="1219"/>
      <c r="F150" s="1220"/>
      <c r="G150" s="1220"/>
      <c r="H150" s="1220"/>
      <c r="I150" s="1377">
        <f t="shared" si="13"/>
        <v>0</v>
      </c>
      <c r="J150" s="1219"/>
      <c r="K150" s="1218"/>
      <c r="L150" s="1219"/>
      <c r="M150" s="1218"/>
      <c r="N150" s="1333"/>
      <c r="O150" s="1260"/>
      <c r="P150" s="1260"/>
    </row>
    <row r="151" spans="1:16" ht="18" customHeight="1" thickBot="1">
      <c r="A151" s="2292"/>
      <c r="B151" s="2279"/>
      <c r="C151" s="1289" t="s">
        <v>13</v>
      </c>
      <c r="D151" s="1317">
        <f>SUM(D144:D150)</f>
        <v>0</v>
      </c>
      <c r="E151" s="1317">
        <f t="shared" ref="E151:I151" si="14">SUM(E144:E150)</f>
        <v>0</v>
      </c>
      <c r="F151" s="1317">
        <f t="shared" si="14"/>
        <v>0</v>
      </c>
      <c r="G151" s="1317">
        <f t="shared" si="14"/>
        <v>0</v>
      </c>
      <c r="H151" s="1317">
        <f t="shared" si="14"/>
        <v>0</v>
      </c>
      <c r="I151" s="1378">
        <f t="shared" si="14"/>
        <v>0</v>
      </c>
      <c r="J151" s="1317">
        <f>SUM(J144:J150)</f>
        <v>0</v>
      </c>
      <c r="K151" s="1378">
        <f>SUM(K144:K150)</f>
        <v>0</v>
      </c>
      <c r="L151" s="1317">
        <f>SUM(L144:L150)</f>
        <v>0</v>
      </c>
      <c r="M151" s="1378">
        <f>SUM(M144:M150)</f>
        <v>0</v>
      </c>
      <c r="N151" s="1379">
        <f>SUM(N144:N150)</f>
        <v>0</v>
      </c>
      <c r="O151" s="1260"/>
      <c r="P151" s="1260"/>
    </row>
    <row r="152" spans="1:16" ht="27" customHeight="1" thickBot="1">
      <c r="O152" s="1260"/>
      <c r="P152" s="1260"/>
    </row>
    <row r="153" spans="1:16" ht="35.25" customHeight="1">
      <c r="A153" s="2300" t="s">
        <v>94</v>
      </c>
      <c r="B153" s="2295" t="s">
        <v>443</v>
      </c>
      <c r="C153" s="2302" t="s">
        <v>9</v>
      </c>
      <c r="D153" s="1380" t="s">
        <v>95</v>
      </c>
      <c r="E153" s="1380"/>
      <c r="F153" s="1381"/>
      <c r="G153" s="1381"/>
      <c r="H153" s="1380" t="s">
        <v>96</v>
      </c>
      <c r="I153" s="1380"/>
      <c r="J153" s="1382"/>
      <c r="K153" s="1210"/>
      <c r="L153" s="1210"/>
      <c r="M153" s="1210"/>
      <c r="N153" s="1210"/>
      <c r="O153" s="1260"/>
      <c r="P153" s="1260"/>
    </row>
    <row r="154" spans="1:16" ht="49.5" customHeight="1">
      <c r="A154" s="2301"/>
      <c r="B154" s="2296"/>
      <c r="C154" s="2303"/>
      <c r="D154" s="1383" t="s">
        <v>97</v>
      </c>
      <c r="E154" s="1384" t="s">
        <v>98</v>
      </c>
      <c r="F154" s="1385" t="s">
        <v>99</v>
      </c>
      <c r="G154" s="1386" t="s">
        <v>100</v>
      </c>
      <c r="H154" s="1383" t="s">
        <v>101</v>
      </c>
      <c r="I154" s="1384" t="s">
        <v>102</v>
      </c>
      <c r="J154" s="1387" t="s">
        <v>93</v>
      </c>
      <c r="K154" s="1210"/>
      <c r="L154" s="1210"/>
      <c r="M154" s="1210"/>
      <c r="N154" s="1210"/>
      <c r="O154" s="1260"/>
      <c r="P154" s="1260"/>
    </row>
    <row r="155" spans="1:16" ht="18.75" customHeight="1">
      <c r="A155" s="2276"/>
      <c r="B155" s="2277"/>
      <c r="C155" s="1388">
        <v>2014</v>
      </c>
      <c r="D155" s="1212"/>
      <c r="E155" s="1213"/>
      <c r="F155" s="1211"/>
      <c r="G155" s="1377">
        <f>SUM(D155:F155)</f>
        <v>0</v>
      </c>
      <c r="H155" s="1212"/>
      <c r="I155" s="1213"/>
      <c r="J155" s="1216"/>
      <c r="O155" s="1260"/>
      <c r="P155" s="1260"/>
    </row>
    <row r="156" spans="1:16" ht="19.5" customHeight="1">
      <c r="A156" s="2276"/>
      <c r="B156" s="2277"/>
      <c r="C156" s="1389">
        <v>2015</v>
      </c>
      <c r="D156" s="1219"/>
      <c r="E156" s="1220"/>
      <c r="F156" s="1218"/>
      <c r="G156" s="1377">
        <f t="shared" ref="G156:G161" si="15">SUM(D156:F156)</f>
        <v>0</v>
      </c>
      <c r="H156" s="1219"/>
      <c r="I156" s="1220"/>
      <c r="J156" s="1268"/>
      <c r="O156" s="1260"/>
      <c r="P156" s="1260"/>
    </row>
    <row r="157" spans="1:16" ht="17.25" customHeight="1">
      <c r="A157" s="2276"/>
      <c r="B157" s="2277"/>
      <c r="C157" s="1389">
        <v>2016</v>
      </c>
      <c r="D157" s="1219"/>
      <c r="E157" s="1220"/>
      <c r="F157" s="1218"/>
      <c r="G157" s="1377">
        <f t="shared" si="15"/>
        <v>0</v>
      </c>
      <c r="H157" s="1219"/>
      <c r="I157" s="1220"/>
      <c r="J157" s="1268"/>
      <c r="O157" s="1260"/>
      <c r="P157" s="1260"/>
    </row>
    <row r="158" spans="1:16" ht="15" customHeight="1">
      <c r="A158" s="2276"/>
      <c r="B158" s="2277"/>
      <c r="C158" s="1389">
        <v>2017</v>
      </c>
      <c r="D158" s="1219"/>
      <c r="E158" s="1220"/>
      <c r="F158" s="1218"/>
      <c r="G158" s="1377">
        <f t="shared" si="15"/>
        <v>0</v>
      </c>
      <c r="H158" s="1219"/>
      <c r="I158" s="1220"/>
      <c r="J158" s="1268"/>
      <c r="O158" s="1260"/>
      <c r="P158" s="1260"/>
    </row>
    <row r="159" spans="1:16" ht="19.5" customHeight="1">
      <c r="A159" s="2276"/>
      <c r="B159" s="2277"/>
      <c r="C159" s="1389">
        <v>2018</v>
      </c>
      <c r="D159" s="1219"/>
      <c r="E159" s="1220"/>
      <c r="F159" s="1218"/>
      <c r="G159" s="1377">
        <f t="shared" si="15"/>
        <v>0</v>
      </c>
      <c r="H159" s="1219"/>
      <c r="I159" s="1220"/>
      <c r="J159" s="1268"/>
      <c r="O159" s="1260"/>
      <c r="P159" s="1260"/>
    </row>
    <row r="160" spans="1:16" ht="15" customHeight="1">
      <c r="A160" s="2276"/>
      <c r="B160" s="2277"/>
      <c r="C160" s="1389">
        <v>2019</v>
      </c>
      <c r="D160" s="1219"/>
      <c r="E160" s="1220"/>
      <c r="F160" s="1218"/>
      <c r="G160" s="1377">
        <f t="shared" si="15"/>
        <v>0</v>
      </c>
      <c r="H160" s="1219"/>
      <c r="I160" s="1220"/>
      <c r="J160" s="1268"/>
      <c r="O160" s="1260"/>
      <c r="P160" s="1260"/>
    </row>
    <row r="161" spans="1:18" ht="17.25" customHeight="1">
      <c r="A161" s="2276"/>
      <c r="B161" s="2277"/>
      <c r="C161" s="1389">
        <v>2020</v>
      </c>
      <c r="D161" s="1219"/>
      <c r="E161" s="1220"/>
      <c r="F161" s="1218"/>
      <c r="G161" s="1377">
        <f t="shared" si="15"/>
        <v>0</v>
      </c>
      <c r="H161" s="1219"/>
      <c r="I161" s="1220"/>
      <c r="J161" s="1268"/>
      <c r="O161" s="1260"/>
      <c r="P161" s="1260"/>
    </row>
    <row r="162" spans="1:18" ht="16.5" thickBot="1">
      <c r="A162" s="2292"/>
      <c r="B162" s="2279"/>
      <c r="C162" s="1390" t="s">
        <v>13</v>
      </c>
      <c r="D162" s="1317">
        <f t="shared" ref="D162:G162" si="16">SUM(D155:D161)</f>
        <v>0</v>
      </c>
      <c r="E162" s="1292">
        <f t="shared" si="16"/>
        <v>0</v>
      </c>
      <c r="F162" s="1378">
        <f t="shared" si="16"/>
        <v>0</v>
      </c>
      <c r="G162" s="1378">
        <f t="shared" si="16"/>
        <v>0</v>
      </c>
      <c r="H162" s="1317">
        <f>SUM(H155:H161)</f>
        <v>0</v>
      </c>
      <c r="I162" s="1292">
        <f>SUM(I155:I161)</f>
        <v>0</v>
      </c>
      <c r="J162" s="1391">
        <f>SUM(J155:J161)</f>
        <v>0</v>
      </c>
    </row>
    <row r="163" spans="1:18" ht="24.75" customHeight="1" thickBot="1">
      <c r="A163" s="1392"/>
      <c r="B163" s="1393"/>
      <c r="C163" s="1394"/>
      <c r="D163" s="1260"/>
      <c r="E163" s="1395"/>
      <c r="F163" s="1260"/>
      <c r="G163" s="1260"/>
      <c r="H163" s="1260"/>
      <c r="I163" s="1260"/>
      <c r="J163" s="1396"/>
      <c r="K163" s="1397"/>
    </row>
    <row r="164" spans="1:18" ht="95.25" customHeight="1">
      <c r="A164" s="1398" t="s">
        <v>103</v>
      </c>
      <c r="B164" s="1399" t="s">
        <v>449</v>
      </c>
      <c r="C164" s="1400" t="s">
        <v>9</v>
      </c>
      <c r="D164" s="1401" t="s">
        <v>105</v>
      </c>
      <c r="E164" s="1401" t="s">
        <v>106</v>
      </c>
      <c r="F164" s="1402" t="s">
        <v>107</v>
      </c>
      <c r="G164" s="1401" t="s">
        <v>108</v>
      </c>
      <c r="H164" s="1401" t="s">
        <v>109</v>
      </c>
      <c r="I164" s="1403" t="s">
        <v>110</v>
      </c>
      <c r="J164" s="1404" t="s">
        <v>111</v>
      </c>
      <c r="K164" s="1404" t="s">
        <v>112</v>
      </c>
      <c r="L164" s="1405"/>
    </row>
    <row r="165" spans="1:18" ht="15.75" customHeight="1">
      <c r="A165" s="2316"/>
      <c r="B165" s="2269"/>
      <c r="C165" s="1406">
        <v>2014</v>
      </c>
      <c r="D165" s="1213"/>
      <c r="E165" s="1213"/>
      <c r="F165" s="1213"/>
      <c r="G165" s="1213"/>
      <c r="H165" s="1213"/>
      <c r="I165" s="1216"/>
      <c r="J165" s="1407">
        <f>SUM(D165,F165,H165)</f>
        <v>0</v>
      </c>
      <c r="K165" s="1408">
        <f>SUM(E165,G165,I165)</f>
        <v>0</v>
      </c>
      <c r="L165" s="1405"/>
    </row>
    <row r="166" spans="1:18" ht="15.75">
      <c r="A166" s="2317"/>
      <c r="B166" s="2270"/>
      <c r="C166" s="1409">
        <v>2015</v>
      </c>
      <c r="D166" s="1410"/>
      <c r="E166" s="1410"/>
      <c r="F166" s="1410"/>
      <c r="G166" s="1410"/>
      <c r="H166" s="1410"/>
      <c r="I166" s="1411"/>
      <c r="J166" s="1412">
        <f t="shared" ref="J166:K171" si="17">SUM(D166,F166,H166)</f>
        <v>0</v>
      </c>
      <c r="K166" s="1413">
        <f t="shared" si="17"/>
        <v>0</v>
      </c>
      <c r="L166" s="1405"/>
    </row>
    <row r="167" spans="1:18" ht="15.75">
      <c r="A167" s="2317"/>
      <c r="B167" s="2270"/>
      <c r="C167" s="1409">
        <v>2016</v>
      </c>
      <c r="D167" s="1410"/>
      <c r="E167" s="1410"/>
      <c r="F167" s="1410"/>
      <c r="G167" s="1410"/>
      <c r="H167" s="1410"/>
      <c r="I167" s="1411"/>
      <c r="J167" s="1412">
        <f t="shared" si="17"/>
        <v>0</v>
      </c>
      <c r="K167" s="1413">
        <f t="shared" si="17"/>
        <v>0</v>
      </c>
    </row>
    <row r="168" spans="1:18" ht="15.75">
      <c r="A168" s="2317"/>
      <c r="B168" s="2270"/>
      <c r="C168" s="1409">
        <v>2017</v>
      </c>
      <c r="D168" s="1410"/>
      <c r="E168" s="1260"/>
      <c r="F168" s="1410"/>
      <c r="G168" s="1410"/>
      <c r="H168" s="1410"/>
      <c r="I168" s="1411"/>
      <c r="J168" s="1412">
        <f t="shared" si="17"/>
        <v>0</v>
      </c>
      <c r="K168" s="1413">
        <f t="shared" si="17"/>
        <v>0</v>
      </c>
    </row>
    <row r="169" spans="1:18" ht="15.75">
      <c r="A169" s="2317"/>
      <c r="B169" s="2270"/>
      <c r="C169" s="1414">
        <v>2018</v>
      </c>
      <c r="D169" s="1410"/>
      <c r="E169" s="1410"/>
      <c r="F169" s="1410"/>
      <c r="G169" s="1415"/>
      <c r="H169" s="1410"/>
      <c r="I169" s="1411"/>
      <c r="J169" s="1412">
        <f t="shared" si="17"/>
        <v>0</v>
      </c>
      <c r="K169" s="1413">
        <f t="shared" si="17"/>
        <v>0</v>
      </c>
      <c r="L169" s="1405"/>
    </row>
    <row r="170" spans="1:18" ht="15.75">
      <c r="A170" s="2317"/>
      <c r="B170" s="2270"/>
      <c r="C170" s="1409">
        <v>2019</v>
      </c>
      <c r="D170" s="1260"/>
      <c r="E170" s="1410"/>
      <c r="F170" s="1410"/>
      <c r="G170" s="1410"/>
      <c r="H170" s="1415"/>
      <c r="I170" s="1411"/>
      <c r="J170" s="1412">
        <f t="shared" si="17"/>
        <v>0</v>
      </c>
      <c r="K170" s="1413">
        <f t="shared" si="17"/>
        <v>0</v>
      </c>
      <c r="L170" s="1405"/>
    </row>
    <row r="171" spans="1:18" ht="15.75">
      <c r="A171" s="2317"/>
      <c r="B171" s="2270"/>
      <c r="C171" s="1414">
        <v>2020</v>
      </c>
      <c r="D171" s="1410"/>
      <c r="E171" s="1410"/>
      <c r="F171" s="1410"/>
      <c r="G171" s="1410"/>
      <c r="H171" s="1410"/>
      <c r="I171" s="1411"/>
      <c r="J171" s="1412">
        <f t="shared" si="17"/>
        <v>0</v>
      </c>
      <c r="K171" s="1413">
        <f t="shared" si="17"/>
        <v>0</v>
      </c>
      <c r="L171" s="1405"/>
    </row>
    <row r="172" spans="1:18" ht="41.25" customHeight="1" thickBot="1">
      <c r="A172" s="2318"/>
      <c r="B172" s="2271"/>
      <c r="C172" s="1416" t="s">
        <v>13</v>
      </c>
      <c r="D172" s="1292">
        <f>SUM(D165:D171)</f>
        <v>0</v>
      </c>
      <c r="E172" s="1292">
        <f t="shared" ref="E172:K172" si="18">SUM(E165:E171)</f>
        <v>0</v>
      </c>
      <c r="F172" s="1292">
        <f t="shared" si="18"/>
        <v>0</v>
      </c>
      <c r="G172" s="1292">
        <f t="shared" si="18"/>
        <v>0</v>
      </c>
      <c r="H172" s="1292">
        <f t="shared" si="18"/>
        <v>0</v>
      </c>
      <c r="I172" s="1417">
        <f t="shared" si="18"/>
        <v>0</v>
      </c>
      <c r="J172" s="1418">
        <f t="shared" si="18"/>
        <v>0</v>
      </c>
      <c r="K172" s="1317">
        <f t="shared" si="18"/>
        <v>0</v>
      </c>
      <c r="L172" s="1405"/>
    </row>
    <row r="173" spans="1:18" s="1245" customFormat="1" ht="26.25" customHeight="1">
      <c r="A173" s="1419"/>
      <c r="B173" s="1262"/>
      <c r="C173" s="1263"/>
      <c r="D173" s="1217"/>
      <c r="E173" s="1217"/>
      <c r="F173" s="1217"/>
      <c r="G173" s="1217"/>
      <c r="H173" s="1217"/>
      <c r="I173" s="1217"/>
      <c r="J173" s="1217"/>
      <c r="K173" s="1217"/>
      <c r="L173" s="1217"/>
      <c r="M173" s="1217"/>
      <c r="N173" s="1217"/>
      <c r="O173" s="1217"/>
      <c r="P173" s="1217"/>
      <c r="Q173" s="1217"/>
      <c r="R173" s="1363"/>
    </row>
    <row r="174" spans="1:18" ht="15.75">
      <c r="A174" s="1420" t="s">
        <v>114</v>
      </c>
      <c r="B174" s="1420"/>
      <c r="C174" s="1421"/>
      <c r="D174" s="1421"/>
      <c r="E174" s="1421"/>
      <c r="F174" s="1421"/>
      <c r="G174" s="1421"/>
      <c r="H174" s="1421"/>
      <c r="I174" s="1421"/>
      <c r="J174" s="1421"/>
      <c r="K174" s="1421"/>
      <c r="L174" s="1421"/>
      <c r="M174" s="1421"/>
      <c r="N174" s="1421"/>
      <c r="O174" s="1421"/>
    </row>
    <row r="175" spans="1:18" ht="16.5" thickBot="1">
      <c r="A175" s="1181"/>
      <c r="B175" s="1181"/>
    </row>
    <row r="176" spans="1:18" s="1210" customFormat="1" ht="22.5" customHeight="1" thickBot="1">
      <c r="A176" s="2319" t="s">
        <v>115</v>
      </c>
      <c r="B176" s="2321" t="s">
        <v>447</v>
      </c>
      <c r="C176" s="2323" t="s">
        <v>9</v>
      </c>
      <c r="D176" s="1422" t="s">
        <v>117</v>
      </c>
      <c r="E176" s="1423"/>
      <c r="F176" s="1423"/>
      <c r="G176" s="1424"/>
      <c r="H176" s="1425"/>
      <c r="I176" s="2325" t="s">
        <v>118</v>
      </c>
      <c r="J176" s="2326"/>
      <c r="K176" s="2326"/>
      <c r="L176" s="2326"/>
      <c r="M176" s="2326"/>
      <c r="N176" s="2326"/>
      <c r="O176" s="2327"/>
    </row>
    <row r="177" spans="1:15" s="1210" customFormat="1" ht="165" customHeight="1">
      <c r="A177" s="2320"/>
      <c r="B177" s="2322"/>
      <c r="C177" s="2324"/>
      <c r="D177" s="1426" t="s">
        <v>119</v>
      </c>
      <c r="E177" s="1427" t="s">
        <v>120</v>
      </c>
      <c r="F177" s="1427" t="s">
        <v>121</v>
      </c>
      <c r="G177" s="1428" t="s">
        <v>122</v>
      </c>
      <c r="H177" s="1429" t="s">
        <v>123</v>
      </c>
      <c r="I177" s="1430" t="s">
        <v>53</v>
      </c>
      <c r="J177" s="1431" t="s">
        <v>54</v>
      </c>
      <c r="K177" s="1431" t="s">
        <v>55</v>
      </c>
      <c r="L177" s="1431" t="s">
        <v>56</v>
      </c>
      <c r="M177" s="1431" t="s">
        <v>57</v>
      </c>
      <c r="N177" s="1431" t="s">
        <v>58</v>
      </c>
      <c r="O177" s="1432" t="s">
        <v>59</v>
      </c>
    </row>
    <row r="178" spans="1:15" ht="15" customHeight="1">
      <c r="A178" s="2276" t="s">
        <v>450</v>
      </c>
      <c r="B178" s="2277"/>
      <c r="C178" s="1282">
        <v>2014</v>
      </c>
      <c r="D178" s="1212"/>
      <c r="E178" s="1213"/>
      <c r="F178" s="1213"/>
      <c r="G178" s="1377">
        <f>SUM(D178:F178)</f>
        <v>0</v>
      </c>
      <c r="H178" s="1332"/>
      <c r="I178" s="1332"/>
      <c r="J178" s="1213"/>
      <c r="K178" s="1213"/>
      <c r="L178" s="1213"/>
      <c r="M178" s="1213"/>
      <c r="N178" s="1213"/>
      <c r="O178" s="1216"/>
    </row>
    <row r="179" spans="1:15">
      <c r="A179" s="2276"/>
      <c r="B179" s="2277"/>
      <c r="C179" s="1286">
        <v>2015</v>
      </c>
      <c r="D179" s="1219"/>
      <c r="E179" s="1220"/>
      <c r="F179" s="1220"/>
      <c r="G179" s="1377">
        <f t="shared" ref="G179:G184" si="19">SUM(D179:F179)</f>
        <v>0</v>
      </c>
      <c r="H179" s="1433"/>
      <c r="I179" s="1288"/>
      <c r="J179" s="1220"/>
      <c r="K179" s="1220"/>
      <c r="L179" s="1220"/>
      <c r="M179" s="1220"/>
      <c r="N179" s="1220"/>
      <c r="O179" s="1268"/>
    </row>
    <row r="180" spans="1:15">
      <c r="A180" s="2276"/>
      <c r="B180" s="2277"/>
      <c r="C180" s="1286">
        <v>2016</v>
      </c>
      <c r="D180" s="1219">
        <v>4</v>
      </c>
      <c r="E180" s="1220"/>
      <c r="F180" s="1220"/>
      <c r="G180" s="1377">
        <f t="shared" si="19"/>
        <v>4</v>
      </c>
      <c r="H180" s="1433">
        <v>7</v>
      </c>
      <c r="I180" s="1288"/>
      <c r="J180" s="1220"/>
      <c r="K180" s="1220"/>
      <c r="L180" s="1220"/>
      <c r="M180" s="1220">
        <v>1</v>
      </c>
      <c r="N180" s="1220"/>
      <c r="O180" s="1268">
        <v>3</v>
      </c>
    </row>
    <row r="181" spans="1:15">
      <c r="A181" s="2276"/>
      <c r="B181" s="2277"/>
      <c r="C181" s="1286">
        <v>2017</v>
      </c>
      <c r="D181" s="1219"/>
      <c r="E181" s="1220"/>
      <c r="F181" s="1220"/>
      <c r="G181" s="1377">
        <f t="shared" si="19"/>
        <v>0</v>
      </c>
      <c r="H181" s="1433"/>
      <c r="I181" s="1288"/>
      <c r="J181" s="1220"/>
      <c r="K181" s="1220"/>
      <c r="L181" s="1220"/>
      <c r="M181" s="1220"/>
      <c r="N181" s="1220"/>
      <c r="O181" s="1268"/>
    </row>
    <row r="182" spans="1:15">
      <c r="A182" s="2276"/>
      <c r="B182" s="2277"/>
      <c r="C182" s="1286">
        <v>2018</v>
      </c>
      <c r="D182" s="1219"/>
      <c r="E182" s="1220"/>
      <c r="F182" s="1220"/>
      <c r="G182" s="1377">
        <f t="shared" si="19"/>
        <v>0</v>
      </c>
      <c r="H182" s="1433"/>
      <c r="I182" s="1288"/>
      <c r="J182" s="1220"/>
      <c r="K182" s="1220"/>
      <c r="L182" s="1220"/>
      <c r="M182" s="1220"/>
      <c r="N182" s="1220"/>
      <c r="O182" s="1268"/>
    </row>
    <row r="183" spans="1:15">
      <c r="A183" s="2276"/>
      <c r="B183" s="2277"/>
      <c r="C183" s="1286">
        <v>2019</v>
      </c>
      <c r="D183" s="1219"/>
      <c r="E183" s="1220"/>
      <c r="F183" s="1220"/>
      <c r="G183" s="1377">
        <f t="shared" si="19"/>
        <v>0</v>
      </c>
      <c r="H183" s="1433"/>
      <c r="I183" s="1288"/>
      <c r="J183" s="1220"/>
      <c r="K183" s="1220"/>
      <c r="L183" s="1220"/>
      <c r="M183" s="1220"/>
      <c r="N183" s="1220"/>
      <c r="O183" s="1268"/>
    </row>
    <row r="184" spans="1:15">
      <c r="A184" s="2276"/>
      <c r="B184" s="2277"/>
      <c r="C184" s="1286">
        <v>2020</v>
      </c>
      <c r="D184" s="1219"/>
      <c r="E184" s="1220"/>
      <c r="F184" s="1220"/>
      <c r="G184" s="1377">
        <f t="shared" si="19"/>
        <v>0</v>
      </c>
      <c r="H184" s="1433"/>
      <c r="I184" s="1288"/>
      <c r="J184" s="1220"/>
      <c r="K184" s="1220"/>
      <c r="L184" s="1220"/>
      <c r="M184" s="1220"/>
      <c r="N184" s="1220"/>
      <c r="O184" s="1268"/>
    </row>
    <row r="185" spans="1:15" ht="45" customHeight="1" thickBot="1">
      <c r="A185" s="2292"/>
      <c r="B185" s="2279"/>
      <c r="C185" s="1289" t="s">
        <v>13</v>
      </c>
      <c r="D185" s="1317">
        <f>SUM(D178:D184)</f>
        <v>4</v>
      </c>
      <c r="E185" s="1292">
        <f>SUM(E178:E184)</f>
        <v>0</v>
      </c>
      <c r="F185" s="1292">
        <f>SUM(F178:F184)</f>
        <v>0</v>
      </c>
      <c r="G185" s="1378">
        <f t="shared" ref="G185:O185" si="20">SUM(G178:G184)</f>
        <v>4</v>
      </c>
      <c r="H185" s="1379">
        <f t="shared" si="20"/>
        <v>7</v>
      </c>
      <c r="I185" s="1291">
        <f t="shared" si="20"/>
        <v>0</v>
      </c>
      <c r="J185" s="1292">
        <f t="shared" si="20"/>
        <v>0</v>
      </c>
      <c r="K185" s="1292">
        <f t="shared" si="20"/>
        <v>0</v>
      </c>
      <c r="L185" s="1292">
        <f t="shared" si="20"/>
        <v>0</v>
      </c>
      <c r="M185" s="1292">
        <f t="shared" si="20"/>
        <v>1</v>
      </c>
      <c r="N185" s="1292">
        <f t="shared" si="20"/>
        <v>0</v>
      </c>
      <c r="O185" s="1293">
        <f t="shared" si="20"/>
        <v>3</v>
      </c>
    </row>
    <row r="186" spans="1:15" ht="33" customHeight="1" thickBot="1"/>
    <row r="187" spans="1:15" ht="19.5" customHeight="1">
      <c r="A187" s="2331" t="s">
        <v>125</v>
      </c>
      <c r="B187" s="2321" t="s">
        <v>447</v>
      </c>
      <c r="C187" s="2310" t="s">
        <v>9</v>
      </c>
      <c r="D187" s="2306" t="s">
        <v>126</v>
      </c>
      <c r="E187" s="2307"/>
      <c r="F187" s="2307"/>
      <c r="G187" s="2308"/>
      <c r="H187" s="2309" t="s">
        <v>127</v>
      </c>
      <c r="I187" s="2310"/>
      <c r="J187" s="2310"/>
      <c r="K187" s="2310"/>
      <c r="L187" s="2311"/>
    </row>
    <row r="188" spans="1:15" ht="120.75">
      <c r="A188" s="2332"/>
      <c r="B188" s="2322"/>
      <c r="C188" s="2333"/>
      <c r="D188" s="1434" t="s">
        <v>128</v>
      </c>
      <c r="E188" s="1434" t="s">
        <v>129</v>
      </c>
      <c r="F188" s="1434" t="s">
        <v>130</v>
      </c>
      <c r="G188" s="1435" t="s">
        <v>13</v>
      </c>
      <c r="H188" s="1436" t="s">
        <v>131</v>
      </c>
      <c r="I188" s="1434" t="s">
        <v>132</v>
      </c>
      <c r="J188" s="1434" t="s">
        <v>133</v>
      </c>
      <c r="K188" s="1434" t="s">
        <v>134</v>
      </c>
      <c r="L188" s="1437" t="s">
        <v>135</v>
      </c>
    </row>
    <row r="189" spans="1:15" ht="15" customHeight="1">
      <c r="A189" s="2312" t="s">
        <v>450</v>
      </c>
      <c r="B189" s="2313"/>
      <c r="C189" s="1438">
        <v>2014</v>
      </c>
      <c r="D189" s="1309"/>
      <c r="E189" s="1285"/>
      <c r="F189" s="1285"/>
      <c r="G189" s="1439">
        <f>SUM(D189:F189)</f>
        <v>0</v>
      </c>
      <c r="H189" s="1284"/>
      <c r="I189" s="1285"/>
      <c r="J189" s="1285"/>
      <c r="K189" s="1285"/>
      <c r="L189" s="1310"/>
    </row>
    <row r="190" spans="1:15">
      <c r="A190" s="2314"/>
      <c r="B190" s="2259"/>
      <c r="C190" s="1253">
        <v>2015</v>
      </c>
      <c r="D190" s="1219"/>
      <c r="E190" s="1220"/>
      <c r="F190" s="1220"/>
      <c r="G190" s="1439">
        <f t="shared" ref="G190:G195" si="21">SUM(D190:F190)</f>
        <v>0</v>
      </c>
      <c r="H190" s="1288"/>
      <c r="I190" s="1220"/>
      <c r="J190" s="1220"/>
      <c r="K190" s="1220"/>
      <c r="L190" s="1268"/>
    </row>
    <row r="191" spans="1:15">
      <c r="A191" s="2314"/>
      <c r="B191" s="2259"/>
      <c r="C191" s="1253">
        <v>2016</v>
      </c>
      <c r="D191" s="1219">
        <v>407</v>
      </c>
      <c r="E191" s="1220"/>
      <c r="F191" s="1220"/>
      <c r="G191" s="1439">
        <f t="shared" si="21"/>
        <v>407</v>
      </c>
      <c r="H191" s="1288"/>
      <c r="I191" s="1220">
        <v>27</v>
      </c>
      <c r="J191" s="1220"/>
      <c r="K191" s="1220"/>
      <c r="L191" s="1268">
        <v>380</v>
      </c>
    </row>
    <row r="192" spans="1:15">
      <c r="A192" s="2314"/>
      <c r="B192" s="2259"/>
      <c r="C192" s="1253">
        <v>2017</v>
      </c>
      <c r="D192" s="1219"/>
      <c r="E192" s="1220"/>
      <c r="F192" s="1220"/>
      <c r="G192" s="1439">
        <f t="shared" si="21"/>
        <v>0</v>
      </c>
      <c r="H192" s="1288"/>
      <c r="I192" s="1220"/>
      <c r="J192" s="1220"/>
      <c r="K192" s="1220"/>
      <c r="L192" s="1268"/>
    </row>
    <row r="193" spans="1:14">
      <c r="A193" s="2314"/>
      <c r="B193" s="2259"/>
      <c r="C193" s="1253">
        <v>2018</v>
      </c>
      <c r="D193" s="1219"/>
      <c r="E193" s="1220"/>
      <c r="F193" s="1220"/>
      <c r="G193" s="1439">
        <f t="shared" si="21"/>
        <v>0</v>
      </c>
      <c r="H193" s="1288"/>
      <c r="I193" s="1220"/>
      <c r="J193" s="1220"/>
      <c r="K193" s="1220"/>
      <c r="L193" s="1268"/>
    </row>
    <row r="194" spans="1:14">
      <c r="A194" s="2314"/>
      <c r="B194" s="2259"/>
      <c r="C194" s="1253">
        <v>2019</v>
      </c>
      <c r="D194" s="1219"/>
      <c r="E194" s="1220"/>
      <c r="F194" s="1220"/>
      <c r="G194" s="1439">
        <f t="shared" si="21"/>
        <v>0</v>
      </c>
      <c r="H194" s="1288"/>
      <c r="I194" s="1220"/>
      <c r="J194" s="1220"/>
      <c r="K194" s="1220"/>
      <c r="L194" s="1268"/>
    </row>
    <row r="195" spans="1:14">
      <c r="A195" s="2314"/>
      <c r="B195" s="2259"/>
      <c r="C195" s="1253">
        <v>2020</v>
      </c>
      <c r="D195" s="1219"/>
      <c r="E195" s="1220"/>
      <c r="F195" s="1220"/>
      <c r="G195" s="1439">
        <f t="shared" si="21"/>
        <v>0</v>
      </c>
      <c r="H195" s="1288"/>
      <c r="I195" s="1220"/>
      <c r="J195" s="1220"/>
      <c r="K195" s="1220"/>
      <c r="L195" s="1268"/>
    </row>
    <row r="196" spans="1:14" ht="16.5" thickBot="1">
      <c r="A196" s="2315"/>
      <c r="B196" s="2261"/>
      <c r="C196" s="1314" t="s">
        <v>13</v>
      </c>
      <c r="D196" s="1317">
        <f t="shared" ref="D196:L196" si="22">SUM(D189:D195)</f>
        <v>407</v>
      </c>
      <c r="E196" s="1292">
        <f t="shared" si="22"/>
        <v>0</v>
      </c>
      <c r="F196" s="1292">
        <f t="shared" si="22"/>
        <v>0</v>
      </c>
      <c r="G196" s="1440">
        <f t="shared" si="22"/>
        <v>407</v>
      </c>
      <c r="H196" s="1291">
        <f t="shared" si="22"/>
        <v>0</v>
      </c>
      <c r="I196" s="1292">
        <f t="shared" si="22"/>
        <v>27</v>
      </c>
      <c r="J196" s="1292">
        <f t="shared" si="22"/>
        <v>0</v>
      </c>
      <c r="K196" s="1292">
        <f t="shared" si="22"/>
        <v>0</v>
      </c>
      <c r="L196" s="1293">
        <f t="shared" si="22"/>
        <v>380</v>
      </c>
    </row>
    <row r="199" spans="1:14" ht="15.75">
      <c r="A199" s="1441" t="s">
        <v>137</v>
      </c>
      <c r="B199" s="1441"/>
      <c r="C199" s="1442"/>
      <c r="D199" s="1442"/>
      <c r="E199" s="1442"/>
      <c r="F199" s="1442"/>
      <c r="G199" s="1442"/>
      <c r="H199" s="1442"/>
      <c r="I199" s="1442"/>
      <c r="J199" s="1442"/>
      <c r="K199" s="1442"/>
      <c r="L199" s="1442"/>
      <c r="M199" s="1245"/>
      <c r="N199" s="1245"/>
    </row>
    <row r="200" spans="1:14" ht="10.5" customHeight="1" thickBot="1">
      <c r="A200" s="1441"/>
      <c r="B200" s="1441"/>
      <c r="C200" s="1442"/>
      <c r="D200" s="1442"/>
      <c r="E200" s="1442"/>
      <c r="F200" s="1442"/>
      <c r="G200" s="1442"/>
      <c r="H200" s="1442"/>
      <c r="I200" s="1442"/>
      <c r="J200" s="1442"/>
      <c r="K200" s="1442"/>
      <c r="L200" s="1442"/>
    </row>
    <row r="201" spans="1:14" s="1210" customFormat="1" ht="101.25" customHeight="1">
      <c r="A201" s="1443" t="s">
        <v>138</v>
      </c>
      <c r="B201" s="1444" t="s">
        <v>447</v>
      </c>
      <c r="C201" s="1445" t="s">
        <v>9</v>
      </c>
      <c r="D201" s="1446" t="s">
        <v>139</v>
      </c>
      <c r="E201" s="1447" t="s">
        <v>140</v>
      </c>
      <c r="F201" s="1447" t="s">
        <v>141</v>
      </c>
      <c r="G201" s="1445" t="s">
        <v>142</v>
      </c>
      <c r="H201" s="1448" t="s">
        <v>143</v>
      </c>
      <c r="I201" s="1449" t="s">
        <v>144</v>
      </c>
      <c r="J201" s="1450" t="s">
        <v>145</v>
      </c>
      <c r="K201" s="1447" t="s">
        <v>146</v>
      </c>
      <c r="L201" s="1451" t="s">
        <v>147</v>
      </c>
    </row>
    <row r="202" spans="1:14" ht="15" customHeight="1">
      <c r="A202" s="2258"/>
      <c r="B202" s="2259"/>
      <c r="C202" s="1252">
        <v>2014</v>
      </c>
      <c r="D202" s="1212"/>
      <c r="E202" s="1213"/>
      <c r="F202" s="1213"/>
      <c r="G202" s="1211"/>
      <c r="H202" s="1452"/>
      <c r="I202" s="1453"/>
      <c r="J202" s="1454"/>
      <c r="K202" s="1213"/>
      <c r="L202" s="1216"/>
    </row>
    <row r="203" spans="1:14">
      <c r="A203" s="2258"/>
      <c r="B203" s="2259"/>
      <c r="C203" s="1253">
        <v>2015</v>
      </c>
      <c r="D203" s="1219"/>
      <c r="E203" s="1220"/>
      <c r="F203" s="1220"/>
      <c r="G203" s="1218"/>
      <c r="H203" s="1455"/>
      <c r="I203" s="1456"/>
      <c r="J203" s="1457"/>
      <c r="K203" s="1220"/>
      <c r="L203" s="1268"/>
    </row>
    <row r="204" spans="1:14">
      <c r="A204" s="2258"/>
      <c r="B204" s="2259"/>
      <c r="C204" s="1253">
        <v>2016</v>
      </c>
      <c r="D204" s="1219"/>
      <c r="E204" s="1220"/>
      <c r="F204" s="1220"/>
      <c r="G204" s="1218"/>
      <c r="H204" s="1455"/>
      <c r="I204" s="1456"/>
      <c r="J204" s="1457"/>
      <c r="K204" s="1220"/>
      <c r="L204" s="1268"/>
    </row>
    <row r="205" spans="1:14">
      <c r="A205" s="2258"/>
      <c r="B205" s="2259"/>
      <c r="C205" s="1253">
        <v>2017</v>
      </c>
      <c r="D205" s="1219"/>
      <c r="E205" s="1220"/>
      <c r="F205" s="1220"/>
      <c r="G205" s="1218"/>
      <c r="H205" s="1455"/>
      <c r="I205" s="1456"/>
      <c r="J205" s="1457"/>
      <c r="K205" s="1220"/>
      <c r="L205" s="1268"/>
    </row>
    <row r="206" spans="1:14">
      <c r="A206" s="2258"/>
      <c r="B206" s="2259"/>
      <c r="C206" s="1253">
        <v>2018</v>
      </c>
      <c r="D206" s="1219"/>
      <c r="E206" s="1220"/>
      <c r="F206" s="1220"/>
      <c r="G206" s="1218"/>
      <c r="H206" s="1455"/>
      <c r="I206" s="1456"/>
      <c r="J206" s="1457"/>
      <c r="K206" s="1220"/>
      <c r="L206" s="1268"/>
    </row>
    <row r="207" spans="1:14">
      <c r="A207" s="2258"/>
      <c r="B207" s="2259"/>
      <c r="C207" s="1253">
        <v>2019</v>
      </c>
      <c r="D207" s="1219"/>
      <c r="E207" s="1220"/>
      <c r="F207" s="1220"/>
      <c r="G207" s="1218"/>
      <c r="H207" s="1455"/>
      <c r="I207" s="1456"/>
      <c r="J207" s="1457"/>
      <c r="K207" s="1220"/>
      <c r="L207" s="1268"/>
    </row>
    <row r="208" spans="1:14">
      <c r="A208" s="2258"/>
      <c r="B208" s="2259"/>
      <c r="C208" s="1253">
        <v>2020</v>
      </c>
      <c r="D208" s="1458"/>
      <c r="E208" s="1459"/>
      <c r="F208" s="1459"/>
      <c r="G208" s="1460"/>
      <c r="H208" s="1461"/>
      <c r="I208" s="1462"/>
      <c r="J208" s="1463"/>
      <c r="K208" s="1459"/>
      <c r="L208" s="1464"/>
    </row>
    <row r="209" spans="1:12" ht="20.25" customHeight="1" thickBot="1">
      <c r="A209" s="2260"/>
      <c r="B209" s="2261"/>
      <c r="C209" s="1314" t="s">
        <v>13</v>
      </c>
      <c r="D209" s="1317">
        <f>SUM(D202:D208)</f>
        <v>0</v>
      </c>
      <c r="E209" s="1317">
        <f t="shared" ref="E209:L209" si="23">SUM(E202:E208)</f>
        <v>0</v>
      </c>
      <c r="F209" s="1317">
        <f t="shared" si="23"/>
        <v>0</v>
      </c>
      <c r="G209" s="1317">
        <f t="shared" si="23"/>
        <v>0</v>
      </c>
      <c r="H209" s="1317">
        <f t="shared" si="23"/>
        <v>0</v>
      </c>
      <c r="I209" s="1317">
        <f t="shared" si="23"/>
        <v>0</v>
      </c>
      <c r="J209" s="1317">
        <f t="shared" si="23"/>
        <v>0</v>
      </c>
      <c r="K209" s="1317">
        <f t="shared" si="23"/>
        <v>0</v>
      </c>
      <c r="L209" s="1317">
        <f t="shared" si="23"/>
        <v>0</v>
      </c>
    </row>
    <row r="211" spans="1:12" ht="15.75" thickBot="1"/>
    <row r="212" spans="1:12" ht="45.75">
      <c r="A212" s="1465" t="s">
        <v>148</v>
      </c>
      <c r="B212" s="1466" t="s">
        <v>451</v>
      </c>
      <c r="C212" s="1467">
        <v>2014</v>
      </c>
      <c r="D212" s="1468">
        <v>2015</v>
      </c>
      <c r="E212" s="1468">
        <v>2016</v>
      </c>
      <c r="F212" s="1468">
        <v>2017</v>
      </c>
      <c r="G212" s="1468">
        <v>2018</v>
      </c>
      <c r="H212" s="1468">
        <v>2019</v>
      </c>
      <c r="I212" s="1469">
        <v>2020</v>
      </c>
    </row>
    <row r="213" spans="1:12" ht="15" customHeight="1">
      <c r="A213" s="1405" t="s">
        <v>150</v>
      </c>
      <c r="B213" s="2328"/>
      <c r="C213" s="1252"/>
      <c r="D213" s="1470"/>
      <c r="E213" s="1470">
        <f>E214+E216+E217+E219</f>
        <v>864205.58</v>
      </c>
      <c r="F213" s="1471">
        <v>1000</v>
      </c>
      <c r="G213" s="1311"/>
      <c r="H213" s="1311"/>
      <c r="I213" s="1472"/>
    </row>
    <row r="214" spans="1:12">
      <c r="A214" s="1405" t="s">
        <v>153</v>
      </c>
      <c r="B214" s="2329"/>
      <c r="C214" s="1252"/>
      <c r="D214" s="1470"/>
      <c r="E214" s="1311">
        <v>760767.79</v>
      </c>
      <c r="F214" s="1470">
        <v>1000</v>
      </c>
      <c r="G214" s="1311"/>
      <c r="H214" s="1311"/>
      <c r="I214" s="1472"/>
    </row>
    <row r="215" spans="1:12">
      <c r="A215" s="1405" t="s">
        <v>155</v>
      </c>
      <c r="B215" s="2329"/>
      <c r="C215" s="1252"/>
      <c r="D215" s="1311"/>
      <c r="E215" s="1311"/>
      <c r="F215" s="1311"/>
      <c r="G215" s="1311"/>
      <c r="H215" s="1311"/>
      <c r="I215" s="1472"/>
    </row>
    <row r="216" spans="1:12">
      <c r="A216" s="1405" t="s">
        <v>157</v>
      </c>
      <c r="B216" s="2329"/>
      <c r="C216" s="1252"/>
      <c r="D216" s="1311"/>
      <c r="E216" s="1470">
        <v>33324.19</v>
      </c>
      <c r="F216" s="1311"/>
      <c r="G216" s="1311"/>
      <c r="H216" s="1311"/>
      <c r="I216" s="1472"/>
    </row>
    <row r="217" spans="1:12">
      <c r="A217" s="1405" t="s">
        <v>158</v>
      </c>
      <c r="B217" s="2329"/>
      <c r="C217" s="1252"/>
      <c r="D217" s="1311"/>
      <c r="E217" s="1470">
        <v>19944</v>
      </c>
      <c r="F217" s="1311"/>
      <c r="G217" s="1311"/>
      <c r="H217" s="1311"/>
      <c r="I217" s="1472"/>
    </row>
    <row r="218" spans="1:12" ht="30">
      <c r="A218" s="1473" t="s">
        <v>159</v>
      </c>
      <c r="B218" s="2329"/>
      <c r="C218" s="1252"/>
      <c r="D218" s="1311"/>
      <c r="E218" s="1311">
        <v>269886.19</v>
      </c>
      <c r="F218" s="1311">
        <v>1595</v>
      </c>
      <c r="G218" s="1311"/>
      <c r="H218" s="1311"/>
      <c r="I218" s="1472"/>
      <c r="J218" s="1474"/>
    </row>
    <row r="219" spans="1:12">
      <c r="A219" s="1473" t="s">
        <v>452</v>
      </c>
      <c r="B219" s="2329"/>
      <c r="C219" s="1475"/>
      <c r="D219" s="1476"/>
      <c r="E219" s="1476">
        <v>50169.599999999999</v>
      </c>
      <c r="F219" s="1476"/>
      <c r="G219" s="1476"/>
      <c r="H219" s="1476"/>
      <c r="I219" s="1477"/>
    </row>
    <row r="220" spans="1:12" ht="16.5" thickBot="1">
      <c r="A220" s="1478"/>
      <c r="B220" s="2330"/>
      <c r="C220" s="1224" t="s">
        <v>13</v>
      </c>
      <c r="D220" s="1479"/>
      <c r="E220" s="1480">
        <f>SUM(E214:E219)</f>
        <v>1134091.77</v>
      </c>
      <c r="F220" s="1479">
        <f>F213+F218</f>
        <v>2595</v>
      </c>
      <c r="G220" s="1480">
        <f t="shared" ref="G220:I220" si="24">SUM(G214:G218)</f>
        <v>0</v>
      </c>
      <c r="H220" s="1480">
        <f t="shared" si="24"/>
        <v>0</v>
      </c>
      <c r="I220" s="1481">
        <f t="shared" si="24"/>
        <v>0</v>
      </c>
    </row>
    <row r="222" spans="1:12" ht="60">
      <c r="A222" s="1210" t="s">
        <v>453</v>
      </c>
    </row>
    <row r="224" spans="1:12">
      <c r="E224" s="1474"/>
    </row>
    <row r="228" spans="1:1">
      <c r="A228" s="1210"/>
    </row>
  </sheetData>
  <mergeCells count="56">
    <mergeCell ref="A202:B209"/>
    <mergeCell ref="B213:B220"/>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37</vt:i4>
      </vt:variant>
    </vt:vector>
  </HeadingPairs>
  <TitlesOfParts>
    <vt:vector size="37"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Agencja Rynku Rolnego</vt:lpstr>
      <vt:lpstr>ARiMR</vt:lpstr>
      <vt:lpstr>MRiRW</vt:lpstr>
      <vt:lpstr>Centrum Doradztwa Rolniczego</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lpstr>Podsumowanie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zrw</dc:creator>
  <cp:lastModifiedBy>Agnieszka Sagan</cp:lastModifiedBy>
  <cp:lastPrinted>2017-08-30T07:38:20Z</cp:lastPrinted>
  <dcterms:created xsi:type="dcterms:W3CDTF">2017-08-20T08:25:30Z</dcterms:created>
  <dcterms:modified xsi:type="dcterms:W3CDTF">2017-09-29T10:14:07Z</dcterms:modified>
</cp:coreProperties>
</file>