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0" yWindow="0" windowWidth="25440" windowHeight="12435" firstSheet="32" activeTab="36"/>
  </bookViews>
  <sheets>
    <sheet name="dolnośląskie" sheetId="1" r:id="rId1"/>
    <sheet name="kujawsko-pomorskie" sheetId="4" r:id="rId2"/>
    <sheet name="lubelskie" sheetId="5" r:id="rId3"/>
    <sheet name="lubuskie" sheetId="6" r:id="rId4"/>
    <sheet name="łódzkie" sheetId="7" r:id="rId5"/>
    <sheet name="małopolskie" sheetId="8" r:id="rId6"/>
    <sheet name="mazowieckie" sheetId="9" r:id="rId7"/>
    <sheet name="opolskie" sheetId="10" r:id="rId8"/>
    <sheet name="podkarpackie" sheetId="11" r:id="rId9"/>
    <sheet name="podlaskie" sheetId="12" r:id="rId10"/>
    <sheet name="pomorskie" sheetId="13" r:id="rId11"/>
    <sheet name="ślaskie" sheetId="14" r:id="rId12"/>
    <sheet name="świętokrzyskie" sheetId="15" r:id="rId13"/>
    <sheet name="warmińsko-mazurskie" sheetId="16" r:id="rId14"/>
    <sheet name="wielkopolskie" sheetId="17" r:id="rId15"/>
    <sheet name="zachodniopomorskie" sheetId="18" r:id="rId16"/>
    <sheet name="Agencja Rynku Rolnego" sheetId="19" r:id="rId17"/>
    <sheet name="ARiMR" sheetId="20" r:id="rId18"/>
    <sheet name="MRiRW" sheetId="21" r:id="rId19"/>
    <sheet name="Centrum Doradztwa Rolniczego" sheetId="22" r:id="rId20"/>
    <sheet name="ODR woj. dolnośląskie" sheetId="23" r:id="rId21"/>
    <sheet name="ODR woj. kujawsko-pomorskie" sheetId="24" r:id="rId22"/>
    <sheet name="ODR woj. lubelskie" sheetId="25" r:id="rId23"/>
    <sheet name="ODR woj. lubuskie" sheetId="26" r:id="rId24"/>
    <sheet name="ODR woj. łódzkie" sheetId="27" r:id="rId25"/>
    <sheet name="ODR woj. małopolskie" sheetId="28" r:id="rId26"/>
    <sheet name="ODR woj. mazowieckie" sheetId="29" r:id="rId27"/>
    <sheet name="ODR woj. opolskie" sheetId="30" r:id="rId28"/>
    <sheet name="ODR woj. podkarpackie" sheetId="31" r:id="rId29"/>
    <sheet name="ODR woj. podlaskie" sheetId="32" r:id="rId30"/>
    <sheet name="ODR woj. pomorskie" sheetId="33" r:id="rId31"/>
    <sheet name="ODR woj. ślaskie" sheetId="34" r:id="rId32"/>
    <sheet name="ODR woj. świętokrzyskie" sheetId="35" r:id="rId33"/>
    <sheet name="ODR woj. warmińsko-mazurskie" sheetId="36" r:id="rId34"/>
    <sheet name="ODR woj. wielkopolskie" sheetId="37" r:id="rId35"/>
    <sheet name="ODR woj. zachodniopomorskie" sheetId="38" r:id="rId36"/>
    <sheet name="RAZEM" sheetId="2" r:id="rId37"/>
  </sheets>
  <externalReferences>
    <externalReference r:id="rId38"/>
  </externalReferences>
  <calcPr calcId="152511"/>
</workbook>
</file>

<file path=xl/calcChain.xml><?xml version="1.0" encoding="utf-8"?>
<calcChain xmlns="http://schemas.openxmlformats.org/spreadsheetml/2006/main">
  <c r="E219" i="32" l="1"/>
  <c r="E213" i="32"/>
  <c r="E213" i="38" l="1"/>
  <c r="E226" i="13" l="1"/>
  <c r="E221" i="35" l="1"/>
  <c r="E220" i="35"/>
  <c r="E220" i="33"/>
  <c r="E219" i="29"/>
  <c r="D219" i="14"/>
  <c r="E213" i="11"/>
  <c r="D213" i="11"/>
  <c r="D213" i="1"/>
  <c r="E215" i="2" l="1"/>
  <c r="D215" i="2"/>
  <c r="L204" i="2"/>
  <c r="K204" i="2"/>
  <c r="J204" i="2"/>
  <c r="I204" i="2"/>
  <c r="H204" i="2"/>
  <c r="G204" i="2"/>
  <c r="F204" i="2"/>
  <c r="E204" i="2"/>
  <c r="D204" i="2"/>
  <c r="L203" i="2"/>
  <c r="L209" i="2" s="1"/>
  <c r="K203" i="2"/>
  <c r="J203" i="2"/>
  <c r="I203" i="2"/>
  <c r="H203" i="2"/>
  <c r="G203" i="2"/>
  <c r="F203" i="2"/>
  <c r="F209" i="2" s="1"/>
  <c r="E203" i="2"/>
  <c r="D203" i="2"/>
  <c r="D209" i="2" s="1"/>
  <c r="J190" i="2"/>
  <c r="I190" i="2"/>
  <c r="H190" i="2"/>
  <c r="F190" i="2"/>
  <c r="E190" i="2"/>
  <c r="N180" i="2"/>
  <c r="J180" i="2"/>
  <c r="O179" i="2"/>
  <c r="N179" i="2"/>
  <c r="M179" i="2"/>
  <c r="L179" i="2"/>
  <c r="K179" i="2"/>
  <c r="J179" i="2"/>
  <c r="I179" i="2"/>
  <c r="F179" i="2"/>
  <c r="E179" i="2"/>
  <c r="D179" i="2"/>
  <c r="I167" i="2"/>
  <c r="H167" i="2"/>
  <c r="G167" i="2"/>
  <c r="F167" i="2"/>
  <c r="E167" i="2"/>
  <c r="D167" i="2"/>
  <c r="I166" i="2"/>
  <c r="H166" i="2"/>
  <c r="G166" i="2"/>
  <c r="F166" i="2"/>
  <c r="F172" i="2" s="1"/>
  <c r="E166" i="2"/>
  <c r="D166" i="2"/>
  <c r="J157" i="2"/>
  <c r="J162" i="2" s="1"/>
  <c r="I157" i="2"/>
  <c r="I162" i="2" s="1"/>
  <c r="H157" i="2"/>
  <c r="J156" i="2"/>
  <c r="I156" i="2"/>
  <c r="H156" i="2"/>
  <c r="F157" i="2"/>
  <c r="E157" i="2"/>
  <c r="D157" i="2"/>
  <c r="F156" i="2"/>
  <c r="G156" i="2" s="1"/>
  <c r="E156" i="2"/>
  <c r="D156" i="2"/>
  <c r="K111" i="2"/>
  <c r="J111" i="2"/>
  <c r="I111" i="2"/>
  <c r="H111" i="2"/>
  <c r="G111" i="2"/>
  <c r="F111" i="2"/>
  <c r="E111" i="2"/>
  <c r="D111" i="2"/>
  <c r="N145" i="2"/>
  <c r="M145" i="2"/>
  <c r="L145" i="2"/>
  <c r="K145" i="2"/>
  <c r="J145" i="2"/>
  <c r="H146" i="2"/>
  <c r="G146" i="2"/>
  <c r="F146" i="2"/>
  <c r="E146" i="2"/>
  <c r="D146" i="2"/>
  <c r="H145" i="2"/>
  <c r="G145" i="2"/>
  <c r="G151" i="2" s="1"/>
  <c r="F145" i="2"/>
  <c r="E145" i="2"/>
  <c r="E151" i="2" s="1"/>
  <c r="D145" i="2"/>
  <c r="F132" i="2"/>
  <c r="F131" i="2"/>
  <c r="E131" i="2"/>
  <c r="D131" i="2"/>
  <c r="L122" i="2"/>
  <c r="K122" i="2"/>
  <c r="J122" i="2"/>
  <c r="I122" i="2"/>
  <c r="H122" i="2"/>
  <c r="G122" i="2"/>
  <c r="E122" i="2"/>
  <c r="L121" i="2"/>
  <c r="K121" i="2"/>
  <c r="K127" i="2" s="1"/>
  <c r="J121" i="2"/>
  <c r="I121" i="2"/>
  <c r="I127" i="2" s="1"/>
  <c r="H121" i="2"/>
  <c r="G121" i="2"/>
  <c r="F121" i="2"/>
  <c r="E121" i="2"/>
  <c r="E127" i="2" s="1"/>
  <c r="L110" i="2"/>
  <c r="K110" i="2"/>
  <c r="J110" i="2"/>
  <c r="I110" i="2"/>
  <c r="H110" i="2"/>
  <c r="H116" i="2" s="1"/>
  <c r="G110" i="2"/>
  <c r="F110" i="2"/>
  <c r="E110" i="2"/>
  <c r="D110" i="2"/>
  <c r="M100" i="2"/>
  <c r="L100" i="2"/>
  <c r="K100" i="2"/>
  <c r="J100" i="2"/>
  <c r="I100" i="2"/>
  <c r="H100" i="2"/>
  <c r="G100" i="2"/>
  <c r="F100" i="2"/>
  <c r="M99" i="2"/>
  <c r="L99" i="2"/>
  <c r="K99" i="2"/>
  <c r="J99" i="2"/>
  <c r="I99" i="2"/>
  <c r="H99" i="2"/>
  <c r="G99" i="2"/>
  <c r="G105" i="2" s="1"/>
  <c r="F99" i="2"/>
  <c r="F105" i="2" s="1"/>
  <c r="D100" i="2"/>
  <c r="D99" i="2"/>
  <c r="D105" i="2" s="1"/>
  <c r="K87" i="2"/>
  <c r="J87" i="2"/>
  <c r="I87" i="2"/>
  <c r="H87" i="2"/>
  <c r="G87" i="2"/>
  <c r="F87" i="2"/>
  <c r="E87" i="2"/>
  <c r="K86" i="2"/>
  <c r="K92" i="2" s="1"/>
  <c r="J86" i="2"/>
  <c r="I86" i="2"/>
  <c r="H86" i="2"/>
  <c r="G86" i="2"/>
  <c r="F86" i="2"/>
  <c r="E86" i="2"/>
  <c r="D87" i="2"/>
  <c r="D86" i="2"/>
  <c r="N74" i="2"/>
  <c r="M74" i="2"/>
  <c r="L74" i="2"/>
  <c r="J74" i="2"/>
  <c r="H74" i="2"/>
  <c r="O73" i="2"/>
  <c r="N73" i="2"/>
  <c r="N79" i="2" s="1"/>
  <c r="M73" i="2"/>
  <c r="L73" i="2"/>
  <c r="L79" i="2" s="1"/>
  <c r="J73" i="2"/>
  <c r="J79" i="2" s="1"/>
  <c r="I73" i="2"/>
  <c r="F74" i="2"/>
  <c r="E74" i="2"/>
  <c r="F73" i="2"/>
  <c r="E73" i="2"/>
  <c r="K64" i="2"/>
  <c r="K69" i="2" s="1"/>
  <c r="J64" i="2"/>
  <c r="I64" i="2"/>
  <c r="H64" i="2"/>
  <c r="F64" i="2"/>
  <c r="E64" i="2"/>
  <c r="L63" i="2"/>
  <c r="K63" i="2"/>
  <c r="J63" i="2"/>
  <c r="I63" i="2"/>
  <c r="H63" i="2"/>
  <c r="H69" i="2" s="1"/>
  <c r="G63" i="2"/>
  <c r="F63" i="2"/>
  <c r="E63" i="2"/>
  <c r="E69" i="2" s="1"/>
  <c r="D63" i="2"/>
  <c r="K53" i="2"/>
  <c r="J53" i="2"/>
  <c r="I53" i="2"/>
  <c r="H53" i="2"/>
  <c r="G53" i="2"/>
  <c r="F53" i="2"/>
  <c r="E53" i="2"/>
  <c r="D53" i="2"/>
  <c r="K52" i="2"/>
  <c r="K58" i="2" s="1"/>
  <c r="J52" i="2"/>
  <c r="I52" i="2"/>
  <c r="H52" i="2"/>
  <c r="H58" i="2" s="1"/>
  <c r="G52" i="2"/>
  <c r="G58" i="2" s="1"/>
  <c r="F52" i="2"/>
  <c r="E52" i="2"/>
  <c r="D52" i="2"/>
  <c r="F29" i="2"/>
  <c r="N19" i="2"/>
  <c r="M19" i="2"/>
  <c r="J19" i="2"/>
  <c r="O18" i="2"/>
  <c r="N18" i="2"/>
  <c r="N24" i="2" s="1"/>
  <c r="M18" i="2"/>
  <c r="L18" i="2"/>
  <c r="J18" i="2"/>
  <c r="J24" i="2" s="1"/>
  <c r="E19" i="2"/>
  <c r="F18" i="2"/>
  <c r="I219" i="2"/>
  <c r="H219" i="2"/>
  <c r="G219" i="2"/>
  <c r="F219" i="2"/>
  <c r="J209" i="2"/>
  <c r="H209" i="2"/>
  <c r="E209" i="2"/>
  <c r="G195" i="2"/>
  <c r="G194" i="2"/>
  <c r="G193" i="2"/>
  <c r="G192" i="2"/>
  <c r="G189" i="2"/>
  <c r="G184" i="2"/>
  <c r="G183" i="2"/>
  <c r="G182" i="2"/>
  <c r="G181" i="2"/>
  <c r="N185" i="2"/>
  <c r="J185" i="2"/>
  <c r="G178" i="2"/>
  <c r="K171" i="2"/>
  <c r="J171" i="2"/>
  <c r="K170" i="2"/>
  <c r="J170" i="2"/>
  <c r="K169" i="2"/>
  <c r="J169" i="2"/>
  <c r="K168" i="2"/>
  <c r="J168" i="2"/>
  <c r="G172" i="2"/>
  <c r="K166" i="2"/>
  <c r="K165" i="2"/>
  <c r="J165" i="2"/>
  <c r="G161" i="2"/>
  <c r="G160" i="2"/>
  <c r="G159" i="2"/>
  <c r="G158" i="2"/>
  <c r="E162" i="2"/>
  <c r="D162" i="2"/>
  <c r="G155" i="2"/>
  <c r="I150" i="2"/>
  <c r="I149" i="2"/>
  <c r="I148" i="2"/>
  <c r="I147" i="2"/>
  <c r="I144" i="2"/>
  <c r="G136" i="2"/>
  <c r="G135" i="2"/>
  <c r="G134" i="2"/>
  <c r="G133" i="2"/>
  <c r="L127" i="2"/>
  <c r="H127" i="2"/>
  <c r="G127" i="2"/>
  <c r="K105" i="2"/>
  <c r="M105" i="2"/>
  <c r="L105" i="2"/>
  <c r="J105" i="2"/>
  <c r="I105" i="2"/>
  <c r="H105" i="2"/>
  <c r="G92" i="2"/>
  <c r="M79" i="2"/>
  <c r="G78" i="2"/>
  <c r="G77" i="2"/>
  <c r="G76" i="2"/>
  <c r="G75" i="2"/>
  <c r="G72" i="2"/>
  <c r="I69" i="2"/>
  <c r="J58" i="2"/>
  <c r="I58" i="2"/>
  <c r="F58" i="2"/>
  <c r="E58" i="2"/>
  <c r="D58" i="2"/>
  <c r="G34" i="2"/>
  <c r="G33" i="2"/>
  <c r="G32" i="2"/>
  <c r="G31" i="2"/>
  <c r="G28" i="2"/>
  <c r="M24" i="2"/>
  <c r="G23" i="2"/>
  <c r="G22" i="2"/>
  <c r="G21" i="2"/>
  <c r="G20" i="2"/>
  <c r="G17" i="2"/>
  <c r="F162" i="2" l="1"/>
  <c r="F69" i="2"/>
  <c r="E79" i="2"/>
  <c r="F79" i="2"/>
  <c r="H92" i="2"/>
  <c r="E92" i="2"/>
  <c r="I92" i="2"/>
  <c r="F137" i="2"/>
  <c r="D92" i="2"/>
  <c r="F151" i="2"/>
  <c r="H162" i="2"/>
  <c r="E172" i="2"/>
  <c r="I172" i="2"/>
  <c r="G209" i="2"/>
  <c r="K209" i="2"/>
  <c r="F92" i="2"/>
  <c r="J92" i="2"/>
  <c r="D116" i="2"/>
  <c r="G162" i="2"/>
  <c r="G131" i="2"/>
  <c r="D151" i="2"/>
  <c r="H151" i="2"/>
  <c r="J166" i="2"/>
  <c r="J172" i="2" s="1"/>
  <c r="H172" i="2"/>
  <c r="J167" i="2"/>
  <c r="I209" i="2"/>
  <c r="G179" i="2"/>
  <c r="I145" i="2"/>
  <c r="E116" i="2"/>
  <c r="I116" i="2"/>
  <c r="F116" i="2"/>
  <c r="G116" i="2"/>
  <c r="K116" i="2"/>
  <c r="I146" i="2"/>
  <c r="I151" i="2" s="1"/>
  <c r="D172" i="2"/>
  <c r="K167" i="2"/>
  <c r="K172" i="2" s="1"/>
  <c r="I219" i="21" l="1"/>
  <c r="H219" i="21"/>
  <c r="G219" i="21"/>
  <c r="F219" i="21"/>
  <c r="E219" i="21"/>
  <c r="D218" i="21"/>
  <c r="D217" i="21"/>
  <c r="D217" i="2" s="1"/>
  <c r="D216" i="21"/>
  <c r="D214" i="21"/>
  <c r="E213" i="21"/>
  <c r="L209" i="21"/>
  <c r="K209" i="21"/>
  <c r="J209" i="21"/>
  <c r="I209" i="21"/>
  <c r="H209" i="21"/>
  <c r="G209" i="21"/>
  <c r="F209" i="21"/>
  <c r="E209" i="21"/>
  <c r="D209" i="21"/>
  <c r="L196" i="21"/>
  <c r="K196" i="21"/>
  <c r="J196" i="21"/>
  <c r="I196" i="21"/>
  <c r="H196" i="21"/>
  <c r="F196" i="21"/>
  <c r="E196" i="21"/>
  <c r="D196" i="21"/>
  <c r="G195" i="21"/>
  <c r="G194" i="21"/>
  <c r="G193" i="21"/>
  <c r="G192" i="21"/>
  <c r="G191" i="21"/>
  <c r="G190" i="21"/>
  <c r="G196" i="21" s="1"/>
  <c r="G189" i="21"/>
  <c r="O185" i="21"/>
  <c r="N185" i="21"/>
  <c r="M185" i="21"/>
  <c r="L185" i="21"/>
  <c r="K185" i="21"/>
  <c r="J185" i="21"/>
  <c r="I185" i="21"/>
  <c r="H185" i="21"/>
  <c r="F185" i="21"/>
  <c r="E185" i="21"/>
  <c r="D185" i="21"/>
  <c r="G184" i="21"/>
  <c r="G183" i="21"/>
  <c r="G182" i="21"/>
  <c r="G181" i="21"/>
  <c r="G180" i="21"/>
  <c r="G179" i="21"/>
  <c r="G178" i="21"/>
  <c r="I172" i="21"/>
  <c r="H172" i="21"/>
  <c r="G172" i="21"/>
  <c r="F172" i="21"/>
  <c r="E172" i="21"/>
  <c r="D172" i="21"/>
  <c r="K171" i="21"/>
  <c r="J171" i="21"/>
  <c r="K170" i="21"/>
  <c r="J170" i="21"/>
  <c r="K169" i="21"/>
  <c r="J169" i="21"/>
  <c r="K168" i="21"/>
  <c r="J168" i="21"/>
  <c r="K167" i="21"/>
  <c r="J167" i="21"/>
  <c r="K166" i="21"/>
  <c r="J166" i="21"/>
  <c r="K165" i="21"/>
  <c r="J165" i="21"/>
  <c r="J172" i="21" s="1"/>
  <c r="J162" i="21"/>
  <c r="I162" i="21"/>
  <c r="H162" i="21"/>
  <c r="F162" i="21"/>
  <c r="E162" i="21"/>
  <c r="D162" i="21"/>
  <c r="G161" i="21"/>
  <c r="G160" i="21"/>
  <c r="G159" i="21"/>
  <c r="G158" i="21"/>
  <c r="G157" i="21"/>
  <c r="G156" i="21"/>
  <c r="G155" i="21"/>
  <c r="G162" i="21" s="1"/>
  <c r="M151" i="21"/>
  <c r="H151" i="21"/>
  <c r="G151" i="21"/>
  <c r="F151" i="21"/>
  <c r="E151" i="21"/>
  <c r="D151" i="21"/>
  <c r="I150" i="21"/>
  <c r="I149" i="21"/>
  <c r="I148" i="21"/>
  <c r="I147" i="21"/>
  <c r="N146" i="21"/>
  <c r="M146" i="21"/>
  <c r="M146" i="2" s="1"/>
  <c r="M151" i="2" s="1"/>
  <c r="L146" i="21"/>
  <c r="L146" i="2" s="1"/>
  <c r="L151" i="2" s="1"/>
  <c r="K146" i="21"/>
  <c r="K146" i="2" s="1"/>
  <c r="K151" i="2" s="1"/>
  <c r="J146" i="21"/>
  <c r="I146" i="21"/>
  <c r="I145" i="21"/>
  <c r="I144" i="21"/>
  <c r="I151" i="21" s="1"/>
  <c r="F137" i="21"/>
  <c r="E137" i="21"/>
  <c r="D137" i="21"/>
  <c r="G136" i="21"/>
  <c r="G135" i="21"/>
  <c r="G134" i="21"/>
  <c r="G133" i="21"/>
  <c r="G132" i="21"/>
  <c r="G137" i="21" s="1"/>
  <c r="G131" i="21"/>
  <c r="L127" i="21"/>
  <c r="K127" i="21"/>
  <c r="I127" i="21"/>
  <c r="H127" i="21"/>
  <c r="G127" i="21"/>
  <c r="F127" i="21"/>
  <c r="E127" i="21"/>
  <c r="D127" i="21"/>
  <c r="L116" i="21"/>
  <c r="K116" i="21"/>
  <c r="I116" i="21"/>
  <c r="H116" i="21"/>
  <c r="G116" i="21"/>
  <c r="F116" i="21"/>
  <c r="E116" i="21"/>
  <c r="D116" i="21"/>
  <c r="M105" i="21"/>
  <c r="L105" i="21"/>
  <c r="K105" i="21"/>
  <c r="J105" i="21"/>
  <c r="I105" i="21"/>
  <c r="H105" i="21"/>
  <c r="G105" i="21"/>
  <c r="F105" i="21"/>
  <c r="E105" i="21"/>
  <c r="D105" i="21"/>
  <c r="K92" i="21"/>
  <c r="J92" i="21"/>
  <c r="I92" i="21"/>
  <c r="H92" i="21"/>
  <c r="G92" i="21"/>
  <c r="F92" i="21"/>
  <c r="E92" i="21"/>
  <c r="D92" i="21"/>
  <c r="O79" i="21"/>
  <c r="N79" i="21"/>
  <c r="M79" i="21"/>
  <c r="L79" i="21"/>
  <c r="K79" i="21"/>
  <c r="J79" i="21"/>
  <c r="I79" i="21"/>
  <c r="F79" i="21"/>
  <c r="E79" i="21"/>
  <c r="D79" i="21"/>
  <c r="G78" i="21"/>
  <c r="G77" i="21"/>
  <c r="G76" i="21"/>
  <c r="G75" i="21"/>
  <c r="G74" i="21"/>
  <c r="G73" i="21"/>
  <c r="G72" i="21"/>
  <c r="L69" i="21"/>
  <c r="K69" i="21"/>
  <c r="I69" i="21"/>
  <c r="H69" i="21"/>
  <c r="G69" i="21"/>
  <c r="F69" i="21"/>
  <c r="E69" i="21"/>
  <c r="D69" i="21"/>
  <c r="K58" i="21"/>
  <c r="J58" i="21"/>
  <c r="I58" i="21"/>
  <c r="H58" i="21"/>
  <c r="G58" i="21"/>
  <c r="F58" i="21"/>
  <c r="E58" i="21"/>
  <c r="D58" i="21"/>
  <c r="E47" i="21"/>
  <c r="D47" i="21"/>
  <c r="F35" i="21"/>
  <c r="D35" i="21"/>
  <c r="G34" i="21"/>
  <c r="G33" i="21"/>
  <c r="G32" i="21"/>
  <c r="G31" i="21"/>
  <c r="G30" i="21"/>
  <c r="E29" i="21"/>
  <c r="G29" i="21" s="1"/>
  <c r="G28" i="21"/>
  <c r="O24" i="21"/>
  <c r="N24" i="21"/>
  <c r="M24" i="21"/>
  <c r="L24" i="21"/>
  <c r="K24" i="21"/>
  <c r="J24" i="21"/>
  <c r="I24" i="21"/>
  <c r="H24" i="21"/>
  <c r="G24" i="21"/>
  <c r="F24" i="21"/>
  <c r="E24" i="21"/>
  <c r="D24" i="21"/>
  <c r="G23" i="21"/>
  <c r="G22" i="21"/>
  <c r="G21" i="21"/>
  <c r="G20" i="21"/>
  <c r="G19" i="21"/>
  <c r="G18" i="21"/>
  <c r="G17" i="21"/>
  <c r="G79" i="21" l="1"/>
  <c r="K151" i="21"/>
  <c r="D219" i="21"/>
  <c r="L151" i="21"/>
  <c r="K172" i="21"/>
  <c r="G185" i="21"/>
  <c r="J151" i="21"/>
  <c r="J146" i="2"/>
  <c r="J151" i="2" s="1"/>
  <c r="N151" i="21"/>
  <c r="N146" i="2"/>
  <c r="N151" i="2" s="1"/>
  <c r="D213" i="21"/>
  <c r="E35" i="21"/>
  <c r="G35" i="21" s="1"/>
  <c r="I219" i="35" l="1"/>
  <c r="H219" i="35"/>
  <c r="G219" i="35"/>
  <c r="F219" i="35"/>
  <c r="E219" i="35"/>
  <c r="D219" i="35"/>
  <c r="L209" i="35"/>
  <c r="K209" i="35"/>
  <c r="J209" i="35"/>
  <c r="I209" i="35"/>
  <c r="H209" i="35"/>
  <c r="G209" i="35"/>
  <c r="F209" i="35"/>
  <c r="E209" i="35"/>
  <c r="D209" i="35"/>
  <c r="L196" i="35"/>
  <c r="K196" i="35"/>
  <c r="J196" i="35"/>
  <c r="I196" i="35"/>
  <c r="H196" i="35"/>
  <c r="F196" i="35"/>
  <c r="E196" i="35"/>
  <c r="D196" i="35"/>
  <c r="G195" i="35"/>
  <c r="G194" i="35"/>
  <c r="G193" i="35"/>
  <c r="G192" i="35"/>
  <c r="G191" i="35"/>
  <c r="G190" i="35"/>
  <c r="G189" i="35"/>
  <c r="O185" i="35"/>
  <c r="N185" i="35"/>
  <c r="M185" i="35"/>
  <c r="L185" i="35"/>
  <c r="K185" i="35"/>
  <c r="J185" i="35"/>
  <c r="I185" i="35"/>
  <c r="H185" i="35"/>
  <c r="F185" i="35"/>
  <c r="E185" i="35"/>
  <c r="D185" i="35"/>
  <c r="G184" i="35"/>
  <c r="G183" i="35"/>
  <c r="G182" i="35"/>
  <c r="G181" i="35"/>
  <c r="G180" i="35"/>
  <c r="G179" i="35"/>
  <c r="G178" i="35"/>
  <c r="I172" i="35"/>
  <c r="H172" i="35"/>
  <c r="G172" i="35"/>
  <c r="F172" i="35"/>
  <c r="E172" i="35"/>
  <c r="D172" i="35"/>
  <c r="K171" i="35"/>
  <c r="J171" i="35"/>
  <c r="K170" i="35"/>
  <c r="J170" i="35"/>
  <c r="K169" i="35"/>
  <c r="J169" i="35"/>
  <c r="K168" i="35"/>
  <c r="J168" i="35"/>
  <c r="K167" i="35"/>
  <c r="J167" i="35"/>
  <c r="K166" i="35"/>
  <c r="J166" i="35"/>
  <c r="K165" i="35"/>
  <c r="J165" i="35"/>
  <c r="J162" i="35"/>
  <c r="I162" i="35"/>
  <c r="H162" i="35"/>
  <c r="F162" i="35"/>
  <c r="E162" i="35"/>
  <c r="D162" i="35"/>
  <c r="G161" i="35"/>
  <c r="G160" i="35"/>
  <c r="G159" i="35"/>
  <c r="G158" i="35"/>
  <c r="G157" i="35"/>
  <c r="G156" i="35"/>
  <c r="G155" i="35"/>
  <c r="N151" i="35"/>
  <c r="M151" i="35"/>
  <c r="L151" i="35"/>
  <c r="K151" i="35"/>
  <c r="J151" i="35"/>
  <c r="H151" i="35"/>
  <c r="G151" i="35"/>
  <c r="F151" i="35"/>
  <c r="E151" i="35"/>
  <c r="D151" i="35"/>
  <c r="I150" i="35"/>
  <c r="I149" i="35"/>
  <c r="I148" i="35"/>
  <c r="I147" i="35"/>
  <c r="I146" i="35"/>
  <c r="I145" i="35"/>
  <c r="I144" i="35"/>
  <c r="F137" i="35"/>
  <c r="E137" i="35"/>
  <c r="D137" i="35"/>
  <c r="G136" i="35"/>
  <c r="G135" i="35"/>
  <c r="G134" i="35"/>
  <c r="G133" i="35"/>
  <c r="G132" i="35"/>
  <c r="G131" i="35"/>
  <c r="L127" i="35"/>
  <c r="K127" i="35"/>
  <c r="I127" i="35"/>
  <c r="H127" i="35"/>
  <c r="G127" i="35"/>
  <c r="F127" i="35"/>
  <c r="E127" i="35"/>
  <c r="D127" i="35"/>
  <c r="L116" i="35"/>
  <c r="K116" i="35"/>
  <c r="I116" i="35"/>
  <c r="H116" i="35"/>
  <c r="G116" i="35"/>
  <c r="F116" i="35"/>
  <c r="E116" i="35"/>
  <c r="D116" i="35"/>
  <c r="M105" i="35"/>
  <c r="L105" i="35"/>
  <c r="K105" i="35"/>
  <c r="J105" i="35"/>
  <c r="I105" i="35"/>
  <c r="H105" i="35"/>
  <c r="G105" i="35"/>
  <c r="F105" i="35"/>
  <c r="E105" i="35"/>
  <c r="D105" i="35"/>
  <c r="K92" i="35"/>
  <c r="J92" i="35"/>
  <c r="I92" i="35"/>
  <c r="H92" i="35"/>
  <c r="G92" i="35"/>
  <c r="F92" i="35"/>
  <c r="E92" i="35"/>
  <c r="D92" i="35"/>
  <c r="O79" i="35"/>
  <c r="N79" i="35"/>
  <c r="M79" i="35"/>
  <c r="L79" i="35"/>
  <c r="K79" i="35"/>
  <c r="J79" i="35"/>
  <c r="I79" i="35"/>
  <c r="F79" i="35"/>
  <c r="E79" i="35"/>
  <c r="D79" i="35"/>
  <c r="G78" i="35"/>
  <c r="G77" i="35"/>
  <c r="G76" i="35"/>
  <c r="G75" i="35"/>
  <c r="G74" i="35"/>
  <c r="G79" i="35" s="1"/>
  <c r="G73" i="35"/>
  <c r="G72" i="35"/>
  <c r="L69" i="35"/>
  <c r="K69" i="35"/>
  <c r="I69" i="35"/>
  <c r="H69" i="35"/>
  <c r="G69" i="35"/>
  <c r="F69" i="35"/>
  <c r="E69" i="35"/>
  <c r="D69" i="35"/>
  <c r="K58" i="35"/>
  <c r="J58" i="35"/>
  <c r="I58" i="35"/>
  <c r="H58" i="35"/>
  <c r="G58" i="35"/>
  <c r="F58" i="35"/>
  <c r="E58" i="35"/>
  <c r="D58" i="35"/>
  <c r="E47" i="35"/>
  <c r="D47" i="35"/>
  <c r="F35" i="35"/>
  <c r="E35" i="35"/>
  <c r="D35" i="35"/>
  <c r="G35" i="35" s="1"/>
  <c r="G34" i="35"/>
  <c r="G33" i="35"/>
  <c r="G32" i="35"/>
  <c r="G31" i="35"/>
  <c r="G30" i="35"/>
  <c r="G29" i="35"/>
  <c r="G28" i="35"/>
  <c r="O24" i="35"/>
  <c r="N24" i="35"/>
  <c r="M24" i="35"/>
  <c r="L24" i="35"/>
  <c r="K24" i="35"/>
  <c r="J24" i="35"/>
  <c r="I24" i="35"/>
  <c r="H24" i="35"/>
  <c r="F24" i="35"/>
  <c r="G24" i="35" s="1"/>
  <c r="E24" i="35"/>
  <c r="D24" i="35"/>
  <c r="G23" i="35"/>
  <c r="G22" i="35"/>
  <c r="G21" i="35"/>
  <c r="G20" i="35"/>
  <c r="G19" i="35"/>
  <c r="G18" i="35"/>
  <c r="G17" i="35"/>
  <c r="J172" i="35" l="1"/>
  <c r="I151" i="35"/>
  <c r="G196" i="35"/>
  <c r="G185" i="35"/>
  <c r="G137" i="35"/>
  <c r="G162" i="35"/>
  <c r="K172" i="35"/>
  <c r="I219" i="38"/>
  <c r="H219" i="38"/>
  <c r="G219" i="38"/>
  <c r="F219" i="38"/>
  <c r="E219" i="38"/>
  <c r="D219" i="38"/>
  <c r="L209" i="38"/>
  <c r="K209" i="38"/>
  <c r="J209" i="38"/>
  <c r="I209" i="38"/>
  <c r="H209" i="38"/>
  <c r="G209" i="38"/>
  <c r="F209" i="38"/>
  <c r="E209" i="38"/>
  <c r="D209" i="38"/>
  <c r="L196" i="38"/>
  <c r="K196" i="38"/>
  <c r="J196" i="38"/>
  <c r="I196" i="38"/>
  <c r="H196" i="38"/>
  <c r="F196" i="38"/>
  <c r="E196" i="38"/>
  <c r="G195" i="38"/>
  <c r="G194" i="38"/>
  <c r="G193" i="38"/>
  <c r="G192" i="38"/>
  <c r="G191" i="38"/>
  <c r="G190" i="38"/>
  <c r="G189" i="38"/>
  <c r="G196" i="38" s="1"/>
  <c r="O185" i="38"/>
  <c r="N185" i="38"/>
  <c r="M185" i="38"/>
  <c r="L185" i="38"/>
  <c r="F185" i="38"/>
  <c r="G184" i="38"/>
  <c r="G183" i="38"/>
  <c r="G182" i="38"/>
  <c r="G181" i="38"/>
  <c r="G180" i="38"/>
  <c r="G179" i="38"/>
  <c r="G178" i="38"/>
  <c r="G185" i="38" s="1"/>
  <c r="I172" i="38"/>
  <c r="H172" i="38"/>
  <c r="G172" i="38"/>
  <c r="F172" i="38"/>
  <c r="E172" i="38"/>
  <c r="D172" i="38"/>
  <c r="K171" i="38"/>
  <c r="J171" i="38"/>
  <c r="K170" i="38"/>
  <c r="J170" i="38"/>
  <c r="K169" i="38"/>
  <c r="J169" i="38"/>
  <c r="K168" i="38"/>
  <c r="J168" i="38"/>
  <c r="K167" i="38"/>
  <c r="J167" i="38"/>
  <c r="K166" i="38"/>
  <c r="K172" i="38" s="1"/>
  <c r="J166" i="38"/>
  <c r="K165" i="38"/>
  <c r="J165" i="38"/>
  <c r="J162" i="38"/>
  <c r="I162" i="38"/>
  <c r="H162" i="38"/>
  <c r="F162" i="38"/>
  <c r="E162" i="38"/>
  <c r="D162" i="38"/>
  <c r="G161" i="38"/>
  <c r="G160" i="38"/>
  <c r="G159" i="38"/>
  <c r="G158" i="38"/>
  <c r="G156" i="38"/>
  <c r="G155" i="38"/>
  <c r="G162" i="38" s="1"/>
  <c r="N151" i="38"/>
  <c r="M151" i="38"/>
  <c r="L151" i="38"/>
  <c r="K151" i="38"/>
  <c r="J151" i="38"/>
  <c r="H151" i="38"/>
  <c r="G151" i="38"/>
  <c r="F151" i="38"/>
  <c r="E151" i="38"/>
  <c r="D151" i="38"/>
  <c r="I150" i="38"/>
  <c r="I149" i="38"/>
  <c r="I148" i="38"/>
  <c r="I147" i="38"/>
  <c r="I146" i="38"/>
  <c r="I145" i="38"/>
  <c r="I144" i="38"/>
  <c r="F137" i="38"/>
  <c r="E137" i="38"/>
  <c r="D137" i="38"/>
  <c r="G136" i="38"/>
  <c r="G135" i="38"/>
  <c r="G134" i="38"/>
  <c r="G133" i="38"/>
  <c r="G132" i="38"/>
  <c r="G131" i="38"/>
  <c r="L127" i="38"/>
  <c r="K127" i="38"/>
  <c r="I127" i="38"/>
  <c r="H127" i="38"/>
  <c r="G127" i="38"/>
  <c r="F127" i="38"/>
  <c r="E127" i="38"/>
  <c r="D127" i="38"/>
  <c r="L116" i="38"/>
  <c r="K116" i="38"/>
  <c r="I116" i="38"/>
  <c r="H116" i="38"/>
  <c r="G116" i="38"/>
  <c r="F116" i="38"/>
  <c r="E116" i="38"/>
  <c r="D116" i="38"/>
  <c r="M105" i="38"/>
  <c r="L105" i="38"/>
  <c r="K105" i="38"/>
  <c r="J105" i="38"/>
  <c r="I105" i="38"/>
  <c r="H105" i="38"/>
  <c r="G105" i="38"/>
  <c r="F105" i="38"/>
  <c r="E105" i="38"/>
  <c r="D105" i="38"/>
  <c r="K92" i="38"/>
  <c r="J92" i="38"/>
  <c r="I92" i="38"/>
  <c r="H92" i="38"/>
  <c r="G92" i="38"/>
  <c r="F92" i="38"/>
  <c r="E92" i="38"/>
  <c r="D92" i="38"/>
  <c r="O79" i="38"/>
  <c r="N79" i="38"/>
  <c r="M79" i="38"/>
  <c r="L79" i="38"/>
  <c r="K79" i="38"/>
  <c r="J79" i="38"/>
  <c r="I79" i="38"/>
  <c r="F79" i="38"/>
  <c r="E79" i="38"/>
  <c r="D79" i="38"/>
  <c r="G78" i="38"/>
  <c r="G77" i="38"/>
  <c r="G76" i="38"/>
  <c r="G75" i="38"/>
  <c r="G72" i="38"/>
  <c r="L69" i="38"/>
  <c r="K69" i="38"/>
  <c r="I69" i="38"/>
  <c r="H69" i="38"/>
  <c r="G69" i="38"/>
  <c r="F69" i="38"/>
  <c r="E69" i="38"/>
  <c r="D69" i="38"/>
  <c r="K58" i="38"/>
  <c r="J58" i="38"/>
  <c r="I58" i="38"/>
  <c r="H58" i="38"/>
  <c r="G58" i="38"/>
  <c r="F58" i="38"/>
  <c r="E58" i="38"/>
  <c r="D58" i="38"/>
  <c r="E47" i="38"/>
  <c r="D47" i="38"/>
  <c r="F35" i="38"/>
  <c r="E35" i="38"/>
  <c r="D35" i="38"/>
  <c r="G35" i="38" s="1"/>
  <c r="G34" i="38"/>
  <c r="G33" i="38"/>
  <c r="G32" i="38"/>
  <c r="G31" i="38"/>
  <c r="G30" i="38"/>
  <c r="G29" i="38"/>
  <c r="G28" i="38"/>
  <c r="O24" i="38"/>
  <c r="N24" i="38"/>
  <c r="M24" i="38"/>
  <c r="L24" i="38"/>
  <c r="K24" i="38"/>
  <c r="J24" i="38"/>
  <c r="I24" i="38"/>
  <c r="H24" i="38"/>
  <c r="F24" i="38"/>
  <c r="E24" i="38"/>
  <c r="D24" i="38"/>
  <c r="G23" i="38"/>
  <c r="G22" i="38"/>
  <c r="G21" i="38"/>
  <c r="G20" i="38"/>
  <c r="G19" i="38"/>
  <c r="G18" i="38"/>
  <c r="G17" i="38"/>
  <c r="G79" i="38" l="1"/>
  <c r="I151" i="38"/>
  <c r="G24" i="38"/>
  <c r="G137" i="38"/>
  <c r="J172" i="38"/>
  <c r="I219" i="37"/>
  <c r="H219" i="37"/>
  <c r="G219" i="37"/>
  <c r="F219" i="37"/>
  <c r="E219" i="37"/>
  <c r="D219" i="37"/>
  <c r="L209" i="37"/>
  <c r="K209" i="37"/>
  <c r="J209" i="37"/>
  <c r="I209" i="37"/>
  <c r="H209" i="37"/>
  <c r="G209" i="37"/>
  <c r="F209" i="37"/>
  <c r="E209" i="37"/>
  <c r="D209" i="37"/>
  <c r="L196" i="37"/>
  <c r="K196" i="37"/>
  <c r="J196" i="37"/>
  <c r="I196" i="37"/>
  <c r="H196" i="37"/>
  <c r="E196" i="37"/>
  <c r="D196" i="37"/>
  <c r="G195" i="37"/>
  <c r="G194" i="37"/>
  <c r="G193" i="37"/>
  <c r="G192" i="37"/>
  <c r="G191" i="37"/>
  <c r="G190" i="37"/>
  <c r="G189" i="37"/>
  <c r="O185" i="37"/>
  <c r="N185" i="37"/>
  <c r="M185" i="37"/>
  <c r="L185" i="37"/>
  <c r="K185" i="37"/>
  <c r="J185" i="37"/>
  <c r="I185" i="37"/>
  <c r="H185" i="37"/>
  <c r="F185" i="37"/>
  <c r="E185" i="37"/>
  <c r="D185" i="37"/>
  <c r="G184" i="37"/>
  <c r="G183" i="37"/>
  <c r="G182" i="37"/>
  <c r="G181" i="37"/>
  <c r="G179" i="37"/>
  <c r="G178" i="37"/>
  <c r="I172" i="37"/>
  <c r="H172" i="37"/>
  <c r="G172" i="37"/>
  <c r="F172" i="37"/>
  <c r="E172" i="37"/>
  <c r="D172" i="37"/>
  <c r="K171" i="37"/>
  <c r="J171" i="37"/>
  <c r="K170" i="37"/>
  <c r="J170" i="37"/>
  <c r="K169" i="37"/>
  <c r="J169" i="37"/>
  <c r="K168" i="37"/>
  <c r="J168" i="37"/>
  <c r="K167" i="37"/>
  <c r="J167" i="37"/>
  <c r="K166" i="37"/>
  <c r="J166" i="37"/>
  <c r="K165" i="37"/>
  <c r="J165" i="37"/>
  <c r="J162" i="37"/>
  <c r="I162" i="37"/>
  <c r="H162" i="37"/>
  <c r="F162" i="37"/>
  <c r="E162" i="37"/>
  <c r="D162" i="37"/>
  <c r="G161" i="37"/>
  <c r="G160" i="37"/>
  <c r="G159" i="37"/>
  <c r="G158" i="37"/>
  <c r="G157" i="37"/>
  <c r="G156" i="37"/>
  <c r="G155" i="37"/>
  <c r="N151" i="37"/>
  <c r="M151" i="37"/>
  <c r="L151" i="37"/>
  <c r="K151" i="37"/>
  <c r="J151" i="37"/>
  <c r="H151" i="37"/>
  <c r="G151" i="37"/>
  <c r="F151" i="37"/>
  <c r="E151" i="37"/>
  <c r="D151" i="37"/>
  <c r="I150" i="37"/>
  <c r="I149" i="37"/>
  <c r="I148" i="37"/>
  <c r="I147" i="37"/>
  <c r="I146" i="37"/>
  <c r="I145" i="37"/>
  <c r="I144" i="37"/>
  <c r="F137" i="37"/>
  <c r="E137" i="37"/>
  <c r="D137" i="37"/>
  <c r="G136" i="37"/>
  <c r="G135" i="37"/>
  <c r="G134" i="37"/>
  <c r="G133" i="37"/>
  <c r="G132" i="37"/>
  <c r="G131" i="37"/>
  <c r="L127" i="37"/>
  <c r="K127" i="37"/>
  <c r="I127" i="37"/>
  <c r="H127" i="37"/>
  <c r="G127" i="37"/>
  <c r="F127" i="37"/>
  <c r="E127" i="37"/>
  <c r="D127" i="37"/>
  <c r="L116" i="37"/>
  <c r="K116" i="37"/>
  <c r="I116" i="37"/>
  <c r="H116" i="37"/>
  <c r="G116" i="37"/>
  <c r="F116" i="37"/>
  <c r="E116" i="37"/>
  <c r="D116" i="37"/>
  <c r="M105" i="37"/>
  <c r="L105" i="37"/>
  <c r="K105" i="37"/>
  <c r="J105" i="37"/>
  <c r="I105" i="37"/>
  <c r="H105" i="37"/>
  <c r="G105" i="37"/>
  <c r="F105" i="37"/>
  <c r="E105" i="37"/>
  <c r="D105" i="37"/>
  <c r="K92" i="37"/>
  <c r="J92" i="37"/>
  <c r="I92" i="37"/>
  <c r="H92" i="37"/>
  <c r="G92" i="37"/>
  <c r="F92" i="37"/>
  <c r="E92" i="37"/>
  <c r="D92" i="37"/>
  <c r="O79" i="37"/>
  <c r="N79" i="37"/>
  <c r="M79" i="37"/>
  <c r="L79" i="37"/>
  <c r="K79" i="37"/>
  <c r="J79" i="37"/>
  <c r="I79" i="37"/>
  <c r="F79" i="37"/>
  <c r="E79" i="37"/>
  <c r="D79" i="37"/>
  <c r="G78" i="37"/>
  <c r="G77" i="37"/>
  <c r="G76" i="37"/>
  <c r="G75" i="37"/>
  <c r="G74" i="37"/>
  <c r="G73" i="37"/>
  <c r="G72" i="37"/>
  <c r="L69" i="37"/>
  <c r="K69" i="37"/>
  <c r="I69" i="37"/>
  <c r="H69" i="37"/>
  <c r="G69" i="37"/>
  <c r="F69" i="37"/>
  <c r="E69" i="37"/>
  <c r="D69" i="37"/>
  <c r="K58" i="37"/>
  <c r="J58" i="37"/>
  <c r="I58" i="37"/>
  <c r="H58" i="37"/>
  <c r="G58" i="37"/>
  <c r="F58" i="37"/>
  <c r="E58" i="37"/>
  <c r="D58" i="37"/>
  <c r="E47" i="37"/>
  <c r="D47" i="37"/>
  <c r="F35" i="37"/>
  <c r="E35" i="37"/>
  <c r="D35" i="37"/>
  <c r="G34" i="37"/>
  <c r="G33" i="37"/>
  <c r="G32" i="37"/>
  <c r="G31" i="37"/>
  <c r="G28" i="37"/>
  <c r="O24" i="37"/>
  <c r="N24" i="37"/>
  <c r="M24" i="37"/>
  <c r="L24" i="37"/>
  <c r="K24" i="37"/>
  <c r="J24" i="37"/>
  <c r="I24" i="37"/>
  <c r="H24" i="37"/>
  <c r="F24" i="37"/>
  <c r="E24" i="37"/>
  <c r="D24" i="37"/>
  <c r="G23" i="37"/>
  <c r="G22" i="37"/>
  <c r="G21" i="37"/>
  <c r="G20" i="37"/>
  <c r="G19" i="37"/>
  <c r="G17" i="37"/>
  <c r="G79" i="37" l="1"/>
  <c r="J172" i="37"/>
  <c r="G185" i="37"/>
  <c r="G35" i="37"/>
  <c r="G137" i="37"/>
  <c r="G162" i="37"/>
  <c r="K172" i="37"/>
  <c r="G196" i="37"/>
  <c r="G24" i="37"/>
  <c r="I151" i="37"/>
  <c r="I219" i="36"/>
  <c r="H219" i="36"/>
  <c r="G219" i="36"/>
  <c r="F219" i="36"/>
  <c r="E219" i="36"/>
  <c r="D219" i="36"/>
  <c r="E213" i="36"/>
  <c r="L209" i="36"/>
  <c r="K209" i="36"/>
  <c r="J209" i="36"/>
  <c r="I209" i="36"/>
  <c r="H209" i="36"/>
  <c r="G209" i="36"/>
  <c r="F209" i="36"/>
  <c r="E209" i="36"/>
  <c r="D209" i="36"/>
  <c r="L196" i="36"/>
  <c r="K196" i="36"/>
  <c r="J196" i="36"/>
  <c r="I196" i="36"/>
  <c r="H196" i="36"/>
  <c r="F196" i="36"/>
  <c r="E196" i="36"/>
  <c r="D196" i="36"/>
  <c r="G195" i="36"/>
  <c r="G194" i="36"/>
  <c r="G193" i="36"/>
  <c r="G192" i="36"/>
  <c r="G191" i="36"/>
  <c r="G190" i="36"/>
  <c r="G189" i="36"/>
  <c r="O185" i="36"/>
  <c r="N185" i="36"/>
  <c r="M185" i="36"/>
  <c r="L185" i="36"/>
  <c r="K185" i="36"/>
  <c r="J185" i="36"/>
  <c r="I185" i="36"/>
  <c r="H185" i="36"/>
  <c r="F185" i="36"/>
  <c r="E185" i="36"/>
  <c r="D185" i="36"/>
  <c r="G184" i="36"/>
  <c r="G183" i="36"/>
  <c r="G182" i="36"/>
  <c r="G181" i="36"/>
  <c r="G180" i="36"/>
  <c r="G179" i="36"/>
  <c r="G178" i="36"/>
  <c r="I172" i="36"/>
  <c r="H172" i="36"/>
  <c r="G172" i="36"/>
  <c r="F172" i="36"/>
  <c r="E172" i="36"/>
  <c r="D172" i="36"/>
  <c r="K171" i="36"/>
  <c r="J171" i="36"/>
  <c r="K170" i="36"/>
  <c r="J170" i="36"/>
  <c r="K169" i="36"/>
  <c r="J169" i="36"/>
  <c r="K168" i="36"/>
  <c r="J168" i="36"/>
  <c r="K167" i="36"/>
  <c r="J167" i="36"/>
  <c r="K166" i="36"/>
  <c r="J166" i="36"/>
  <c r="K165" i="36"/>
  <c r="J165" i="36"/>
  <c r="J162" i="36"/>
  <c r="I162" i="36"/>
  <c r="H162" i="36"/>
  <c r="F162" i="36"/>
  <c r="E162" i="36"/>
  <c r="D162" i="36"/>
  <c r="G161" i="36"/>
  <c r="G160" i="36"/>
  <c r="G159" i="36"/>
  <c r="G158" i="36"/>
  <c r="G157" i="36"/>
  <c r="G156" i="36"/>
  <c r="G155" i="36"/>
  <c r="N151" i="36"/>
  <c r="M151" i="36"/>
  <c r="L151" i="36"/>
  <c r="K151" i="36"/>
  <c r="J151" i="36"/>
  <c r="H151" i="36"/>
  <c r="G151" i="36"/>
  <c r="F151" i="36"/>
  <c r="E151" i="36"/>
  <c r="D151" i="36"/>
  <c r="I150" i="36"/>
  <c r="I149" i="36"/>
  <c r="I148" i="36"/>
  <c r="I147" i="36"/>
  <c r="I146" i="36"/>
  <c r="I145" i="36"/>
  <c r="I144" i="36"/>
  <c r="F137" i="36"/>
  <c r="E137" i="36"/>
  <c r="D137" i="36"/>
  <c r="G136" i="36"/>
  <c r="G135" i="36"/>
  <c r="G134" i="36"/>
  <c r="G133" i="36"/>
  <c r="G132" i="36"/>
  <c r="G131" i="36"/>
  <c r="L127" i="36"/>
  <c r="K127" i="36"/>
  <c r="I127" i="36"/>
  <c r="H127" i="36"/>
  <c r="G127" i="36"/>
  <c r="F127" i="36"/>
  <c r="E127" i="36"/>
  <c r="D127" i="36"/>
  <c r="L116" i="36"/>
  <c r="K116" i="36"/>
  <c r="I116" i="36"/>
  <c r="H116" i="36"/>
  <c r="G116" i="36"/>
  <c r="F116" i="36"/>
  <c r="E116" i="36"/>
  <c r="D116" i="36"/>
  <c r="M105" i="36"/>
  <c r="L105" i="36"/>
  <c r="K105" i="36"/>
  <c r="J105" i="36"/>
  <c r="I105" i="36"/>
  <c r="H105" i="36"/>
  <c r="G105" i="36"/>
  <c r="F105" i="36"/>
  <c r="E105" i="36"/>
  <c r="D105" i="36"/>
  <c r="K92" i="36"/>
  <c r="J92" i="36"/>
  <c r="I92" i="36"/>
  <c r="H92" i="36"/>
  <c r="G92" i="36"/>
  <c r="F92" i="36"/>
  <c r="E92" i="36"/>
  <c r="D92" i="36"/>
  <c r="O79" i="36"/>
  <c r="N79" i="36"/>
  <c r="M79" i="36"/>
  <c r="L79" i="36"/>
  <c r="K79" i="36"/>
  <c r="J79" i="36"/>
  <c r="I79" i="36"/>
  <c r="F79" i="36"/>
  <c r="E79" i="36"/>
  <c r="D79" i="36"/>
  <c r="G78" i="36"/>
  <c r="G77" i="36"/>
  <c r="G76" i="36"/>
  <c r="G75" i="36"/>
  <c r="G74" i="36"/>
  <c r="G73" i="36"/>
  <c r="G79" i="36" s="1"/>
  <c r="G72" i="36"/>
  <c r="L69" i="36"/>
  <c r="K69" i="36"/>
  <c r="I69" i="36"/>
  <c r="H69" i="36"/>
  <c r="G69" i="36"/>
  <c r="F69" i="36"/>
  <c r="E69" i="36"/>
  <c r="D69" i="36"/>
  <c r="K58" i="36"/>
  <c r="J58" i="36"/>
  <c r="I58" i="36"/>
  <c r="H58" i="36"/>
  <c r="G58" i="36"/>
  <c r="F58" i="36"/>
  <c r="E58" i="36"/>
  <c r="D58" i="36"/>
  <c r="E47" i="36"/>
  <c r="D47" i="36"/>
  <c r="G35" i="36"/>
  <c r="F35" i="36"/>
  <c r="E35" i="36"/>
  <c r="D35" i="36"/>
  <c r="G34" i="36"/>
  <c r="G33" i="36"/>
  <c r="G32" i="36"/>
  <c r="G31" i="36"/>
  <c r="G30" i="36"/>
  <c r="G29" i="36"/>
  <c r="G28" i="36"/>
  <c r="O24" i="36"/>
  <c r="N24" i="36"/>
  <c r="M24" i="36"/>
  <c r="L24" i="36"/>
  <c r="K24" i="36"/>
  <c r="J24" i="36"/>
  <c r="I24" i="36"/>
  <c r="H24" i="36"/>
  <c r="F24" i="36"/>
  <c r="E24" i="36"/>
  <c r="D24" i="36"/>
  <c r="G23" i="36"/>
  <c r="G22" i="36"/>
  <c r="G21" i="36"/>
  <c r="G20" i="36"/>
  <c r="G19" i="36"/>
  <c r="G18" i="36"/>
  <c r="G17" i="36"/>
  <c r="G162" i="36" l="1"/>
  <c r="J172" i="36"/>
  <c r="G196" i="36"/>
  <c r="K172" i="36"/>
  <c r="G24" i="36"/>
  <c r="G137" i="36"/>
  <c r="I151" i="36"/>
  <c r="G185" i="36"/>
  <c r="I219" i="34"/>
  <c r="H219" i="34"/>
  <c r="G219" i="34"/>
  <c r="F219" i="34"/>
  <c r="E219" i="34"/>
  <c r="D219" i="34"/>
  <c r="D213" i="34"/>
  <c r="L209" i="34"/>
  <c r="K209" i="34"/>
  <c r="J209" i="34"/>
  <c r="I209" i="34"/>
  <c r="H209" i="34"/>
  <c r="G209" i="34"/>
  <c r="F209" i="34"/>
  <c r="E209" i="34"/>
  <c r="D209" i="34"/>
  <c r="L196" i="34"/>
  <c r="K196" i="34"/>
  <c r="J196" i="34"/>
  <c r="I196" i="34"/>
  <c r="H196" i="34"/>
  <c r="F196" i="34"/>
  <c r="E196" i="34"/>
  <c r="D196" i="34"/>
  <c r="G195" i="34"/>
  <c r="G194" i="34"/>
  <c r="G193" i="34"/>
  <c r="G192" i="34"/>
  <c r="G191" i="34"/>
  <c r="G190" i="34"/>
  <c r="G189" i="34"/>
  <c r="O185" i="34"/>
  <c r="N185" i="34"/>
  <c r="M185" i="34"/>
  <c r="L185" i="34"/>
  <c r="K185" i="34"/>
  <c r="J185" i="34"/>
  <c r="I185" i="34"/>
  <c r="H185" i="34"/>
  <c r="F185" i="34"/>
  <c r="E185" i="34"/>
  <c r="D185" i="34"/>
  <c r="G184" i="34"/>
  <c r="G183" i="34"/>
  <c r="G182" i="34"/>
  <c r="G181" i="34"/>
  <c r="G180" i="34"/>
  <c r="G179" i="34"/>
  <c r="G185" i="34" s="1"/>
  <c r="G178" i="34"/>
  <c r="I172" i="34"/>
  <c r="H172" i="34"/>
  <c r="G172" i="34"/>
  <c r="F172" i="34"/>
  <c r="E172" i="34"/>
  <c r="D172" i="34"/>
  <c r="K171" i="34"/>
  <c r="J171" i="34"/>
  <c r="K170" i="34"/>
  <c r="J170" i="34"/>
  <c r="K169" i="34"/>
  <c r="J169" i="34"/>
  <c r="K168" i="34"/>
  <c r="J168" i="34"/>
  <c r="K167" i="34"/>
  <c r="J167" i="34"/>
  <c r="K166" i="34"/>
  <c r="J166" i="34"/>
  <c r="K165" i="34"/>
  <c r="K172" i="34" s="1"/>
  <c r="J165" i="34"/>
  <c r="J172" i="34" s="1"/>
  <c r="J162" i="34"/>
  <c r="I162" i="34"/>
  <c r="H162" i="34"/>
  <c r="F162" i="34"/>
  <c r="E162" i="34"/>
  <c r="D162" i="34"/>
  <c r="G161" i="34"/>
  <c r="G160" i="34"/>
  <c r="G159" i="34"/>
  <c r="G158" i="34"/>
  <c r="G157" i="34"/>
  <c r="G156" i="34"/>
  <c r="G155" i="34"/>
  <c r="N151" i="34"/>
  <c r="M151" i="34"/>
  <c r="L151" i="34"/>
  <c r="K151" i="34"/>
  <c r="J151" i="34"/>
  <c r="H151" i="34"/>
  <c r="G151" i="34"/>
  <c r="F151" i="34"/>
  <c r="E151" i="34"/>
  <c r="D151" i="34"/>
  <c r="I150" i="34"/>
  <c r="I149" i="34"/>
  <c r="I148" i="34"/>
  <c r="I147" i="34"/>
  <c r="I146" i="34"/>
  <c r="I145" i="34"/>
  <c r="I144" i="34"/>
  <c r="F137" i="34"/>
  <c r="E137" i="34"/>
  <c r="D137" i="34"/>
  <c r="G136" i="34"/>
  <c r="G135" i="34"/>
  <c r="G134" i="34"/>
  <c r="G133" i="34"/>
  <c r="G132" i="34"/>
  <c r="G131" i="34"/>
  <c r="L127" i="34"/>
  <c r="K127" i="34"/>
  <c r="I127" i="34"/>
  <c r="H127" i="34"/>
  <c r="G127" i="34"/>
  <c r="F127" i="34"/>
  <c r="E127" i="34"/>
  <c r="D127" i="34"/>
  <c r="L116" i="34"/>
  <c r="K116" i="34"/>
  <c r="I116" i="34"/>
  <c r="H116" i="34"/>
  <c r="G116" i="34"/>
  <c r="F116" i="34"/>
  <c r="E116" i="34"/>
  <c r="D116" i="34"/>
  <c r="M105" i="34"/>
  <c r="L105" i="34"/>
  <c r="K105" i="34"/>
  <c r="J105" i="34"/>
  <c r="I105" i="34"/>
  <c r="H105" i="34"/>
  <c r="G105" i="34"/>
  <c r="F105" i="34"/>
  <c r="E105" i="34"/>
  <c r="D105" i="34"/>
  <c r="K92" i="34"/>
  <c r="J92" i="34"/>
  <c r="I92" i="34"/>
  <c r="H92" i="34"/>
  <c r="G92" i="34"/>
  <c r="F92" i="34"/>
  <c r="E92" i="34"/>
  <c r="D92" i="34"/>
  <c r="O79" i="34"/>
  <c r="N79" i="34"/>
  <c r="M79" i="34"/>
  <c r="L79" i="34"/>
  <c r="K79" i="34"/>
  <c r="J79" i="34"/>
  <c r="I79" i="34"/>
  <c r="F79" i="34"/>
  <c r="E79" i="34"/>
  <c r="D79" i="34"/>
  <c r="G78" i="34"/>
  <c r="G77" i="34"/>
  <c r="G76" i="34"/>
  <c r="G75" i="34"/>
  <c r="G74" i="34"/>
  <c r="G73" i="34"/>
  <c r="G72" i="34"/>
  <c r="L69" i="34"/>
  <c r="K69" i="34"/>
  <c r="I69" i="34"/>
  <c r="H69" i="34"/>
  <c r="G69" i="34"/>
  <c r="F69" i="34"/>
  <c r="E69" i="34"/>
  <c r="D69" i="34"/>
  <c r="K58" i="34"/>
  <c r="J58" i="34"/>
  <c r="I58" i="34"/>
  <c r="H58" i="34"/>
  <c r="G58" i="34"/>
  <c r="F58" i="34"/>
  <c r="E58" i="34"/>
  <c r="D58" i="34"/>
  <c r="E47" i="34"/>
  <c r="D47" i="34"/>
  <c r="F35" i="34"/>
  <c r="E35" i="34"/>
  <c r="D35" i="34"/>
  <c r="G35" i="34" s="1"/>
  <c r="G34" i="34"/>
  <c r="G33" i="34"/>
  <c r="G32" i="34"/>
  <c r="G31" i="34"/>
  <c r="G30" i="34"/>
  <c r="G29" i="34"/>
  <c r="G28" i="34"/>
  <c r="O24" i="34"/>
  <c r="N24" i="34"/>
  <c r="M24" i="34"/>
  <c r="L24" i="34"/>
  <c r="K24" i="34"/>
  <c r="J24" i="34"/>
  <c r="I24" i="34"/>
  <c r="H24" i="34"/>
  <c r="F24" i="34"/>
  <c r="E24" i="34"/>
  <c r="G24" i="34" s="1"/>
  <c r="D24" i="34"/>
  <c r="G23" i="34"/>
  <c r="G22" i="34"/>
  <c r="G21" i="34"/>
  <c r="G20" i="34"/>
  <c r="G19" i="34"/>
  <c r="G18" i="34"/>
  <c r="G17" i="34"/>
  <c r="G79" i="34" l="1"/>
  <c r="G137" i="34"/>
  <c r="I151" i="34"/>
  <c r="G162" i="34"/>
  <c r="G196" i="34"/>
  <c r="I219" i="32"/>
  <c r="H219" i="32"/>
  <c r="G219" i="32"/>
  <c r="F219" i="32"/>
  <c r="D219" i="32"/>
  <c r="L209" i="32"/>
  <c r="K209" i="32"/>
  <c r="J209" i="32"/>
  <c r="I209" i="32"/>
  <c r="H209" i="32"/>
  <c r="G209" i="32"/>
  <c r="F209" i="32"/>
  <c r="E209" i="32"/>
  <c r="D209" i="32"/>
  <c r="L196" i="32"/>
  <c r="K196" i="32"/>
  <c r="J196" i="32"/>
  <c r="I196" i="32"/>
  <c r="H196" i="32"/>
  <c r="F196" i="32"/>
  <c r="E196" i="32"/>
  <c r="D196" i="32"/>
  <c r="G195" i="32"/>
  <c r="G194" i="32"/>
  <c r="G193" i="32"/>
  <c r="G192" i="32"/>
  <c r="G191" i="32"/>
  <c r="G190" i="32"/>
  <c r="G189" i="32"/>
  <c r="O185" i="32"/>
  <c r="N185" i="32"/>
  <c r="M185" i="32"/>
  <c r="L185" i="32"/>
  <c r="K185" i="32"/>
  <c r="J185" i="32"/>
  <c r="I185" i="32"/>
  <c r="H185" i="32"/>
  <c r="F185" i="32"/>
  <c r="E185" i="32"/>
  <c r="D185" i="32"/>
  <c r="G184" i="32"/>
  <c r="G183" i="32"/>
  <c r="G182" i="32"/>
  <c r="G181" i="32"/>
  <c r="G180" i="32"/>
  <c r="G179" i="32"/>
  <c r="G178" i="32"/>
  <c r="I172" i="32"/>
  <c r="H172" i="32"/>
  <c r="G172" i="32"/>
  <c r="F172" i="32"/>
  <c r="E172" i="32"/>
  <c r="D172" i="32"/>
  <c r="K171" i="32"/>
  <c r="J171" i="32"/>
  <c r="K170" i="32"/>
  <c r="J170" i="32"/>
  <c r="K169" i="32"/>
  <c r="J169" i="32"/>
  <c r="K168" i="32"/>
  <c r="J168" i="32"/>
  <c r="K167" i="32"/>
  <c r="J167" i="32"/>
  <c r="K166" i="32"/>
  <c r="J166" i="32"/>
  <c r="K165" i="32"/>
  <c r="K172" i="32" s="1"/>
  <c r="J165" i="32"/>
  <c r="J162" i="32"/>
  <c r="I162" i="32"/>
  <c r="H162" i="32"/>
  <c r="F162" i="32"/>
  <c r="E162" i="32"/>
  <c r="D162" i="32"/>
  <c r="G161" i="32"/>
  <c r="G160" i="32"/>
  <c r="G159" i="32"/>
  <c r="G158" i="32"/>
  <c r="G157" i="32"/>
  <c r="G156" i="32"/>
  <c r="G155" i="32"/>
  <c r="N151" i="32"/>
  <c r="M151" i="32"/>
  <c r="L151" i="32"/>
  <c r="K151" i="32"/>
  <c r="J151" i="32"/>
  <c r="H151" i="32"/>
  <c r="G151" i="32"/>
  <c r="F151" i="32"/>
  <c r="E151" i="32"/>
  <c r="D151" i="32"/>
  <c r="I150" i="32"/>
  <c r="I149" i="32"/>
  <c r="I148" i="32"/>
  <c r="I147" i="32"/>
  <c r="I146" i="32"/>
  <c r="I145" i="32"/>
  <c r="I144" i="32"/>
  <c r="F137" i="32"/>
  <c r="E137" i="32"/>
  <c r="D137" i="32"/>
  <c r="G136" i="32"/>
  <c r="G135" i="32"/>
  <c r="G134" i="32"/>
  <c r="G133" i="32"/>
  <c r="G132" i="32"/>
  <c r="G131" i="32"/>
  <c r="L127" i="32"/>
  <c r="K127" i="32"/>
  <c r="I127" i="32"/>
  <c r="H127" i="32"/>
  <c r="G127" i="32"/>
  <c r="F127" i="32"/>
  <c r="E127" i="32"/>
  <c r="D127" i="32"/>
  <c r="L116" i="32"/>
  <c r="K116" i="32"/>
  <c r="I116" i="32"/>
  <c r="H116" i="32"/>
  <c r="G116" i="32"/>
  <c r="F116" i="32"/>
  <c r="E116" i="32"/>
  <c r="D116" i="32"/>
  <c r="M105" i="32"/>
  <c r="L105" i="32"/>
  <c r="K105" i="32"/>
  <c r="J105" i="32"/>
  <c r="I105" i="32"/>
  <c r="H105" i="32"/>
  <c r="G105" i="32"/>
  <c r="F105" i="32"/>
  <c r="E105" i="32"/>
  <c r="D105" i="32"/>
  <c r="K92" i="32"/>
  <c r="J92" i="32"/>
  <c r="I92" i="32"/>
  <c r="H92" i="32"/>
  <c r="G92" i="32"/>
  <c r="F92" i="32"/>
  <c r="E92" i="32"/>
  <c r="D92" i="32"/>
  <c r="O79" i="32"/>
  <c r="N79" i="32"/>
  <c r="M79" i="32"/>
  <c r="L79" i="32"/>
  <c r="K79" i="32"/>
  <c r="J79" i="32"/>
  <c r="I79" i="32"/>
  <c r="F79" i="32"/>
  <c r="E79" i="32"/>
  <c r="D79" i="32"/>
  <c r="G78" i="32"/>
  <c r="G77" i="32"/>
  <c r="G76" i="32"/>
  <c r="G75" i="32"/>
  <c r="G74" i="32"/>
  <c r="G73" i="32"/>
  <c r="G72" i="32"/>
  <c r="L69" i="32"/>
  <c r="K69" i="32"/>
  <c r="I69" i="32"/>
  <c r="H69" i="32"/>
  <c r="G69" i="32"/>
  <c r="F69" i="32"/>
  <c r="E69" i="32"/>
  <c r="D69" i="32"/>
  <c r="K58" i="32"/>
  <c r="J58" i="32"/>
  <c r="I58" i="32"/>
  <c r="H58" i="32"/>
  <c r="G58" i="32"/>
  <c r="F58" i="32"/>
  <c r="E58" i="32"/>
  <c r="D58" i="32"/>
  <c r="E47" i="32"/>
  <c r="D47" i="32"/>
  <c r="F35" i="32"/>
  <c r="E35" i="32"/>
  <c r="D35" i="32"/>
  <c r="G34" i="32"/>
  <c r="G33" i="32"/>
  <c r="G32" i="32"/>
  <c r="G31" i="32"/>
  <c r="G30" i="32"/>
  <c r="G29" i="32"/>
  <c r="G28" i="32"/>
  <c r="O24" i="32"/>
  <c r="N24" i="32"/>
  <c r="M24" i="32"/>
  <c r="L24" i="32"/>
  <c r="K24" i="32"/>
  <c r="J24" i="32"/>
  <c r="I24" i="32"/>
  <c r="H24" i="32"/>
  <c r="F24" i="32"/>
  <c r="G24" i="32" s="1"/>
  <c r="E24" i="32"/>
  <c r="D24" i="32"/>
  <c r="G23" i="32"/>
  <c r="G22" i="32"/>
  <c r="G21" i="32"/>
  <c r="G20" i="32"/>
  <c r="G19" i="32"/>
  <c r="G18" i="32"/>
  <c r="G17" i="32"/>
  <c r="G79" i="32" l="1"/>
  <c r="G162" i="32"/>
  <c r="J172" i="32"/>
  <c r="G185" i="32"/>
  <c r="G196" i="32"/>
  <c r="G35" i="32"/>
  <c r="G137" i="32"/>
  <c r="I151" i="32"/>
  <c r="I219" i="31"/>
  <c r="H219" i="31"/>
  <c r="G219" i="31"/>
  <c r="F219" i="31"/>
  <c r="E217" i="31"/>
  <c r="E214" i="31"/>
  <c r="E213" i="31" s="1"/>
  <c r="D214" i="31"/>
  <c r="D218" i="31" s="1"/>
  <c r="D219" i="31" s="1"/>
  <c r="D213" i="31"/>
  <c r="L209" i="31"/>
  <c r="K209" i="31"/>
  <c r="J209" i="31"/>
  <c r="I209" i="31"/>
  <c r="H209" i="31"/>
  <c r="G209" i="31"/>
  <c r="F209" i="31"/>
  <c r="E209" i="31"/>
  <c r="D209" i="31"/>
  <c r="K196" i="31"/>
  <c r="J196" i="31"/>
  <c r="I196" i="31"/>
  <c r="H196" i="31"/>
  <c r="F196" i="31"/>
  <c r="G195" i="31"/>
  <c r="G194" i="31"/>
  <c r="G193" i="31"/>
  <c r="G192" i="31"/>
  <c r="E191" i="31"/>
  <c r="G191" i="31" s="1"/>
  <c r="L191" i="31" s="1"/>
  <c r="D191" i="31"/>
  <c r="D196" i="31" s="1"/>
  <c r="G190" i="31"/>
  <c r="L190" i="31" s="1"/>
  <c r="G189" i="31"/>
  <c r="O185" i="31"/>
  <c r="N185" i="31"/>
  <c r="M185" i="31"/>
  <c r="L185" i="31"/>
  <c r="K185" i="31"/>
  <c r="J185" i="31"/>
  <c r="I185" i="31"/>
  <c r="G184" i="31"/>
  <c r="G183" i="31"/>
  <c r="G182" i="31"/>
  <c r="G181" i="31"/>
  <c r="H180" i="31"/>
  <c r="F180" i="31"/>
  <c r="E180" i="31"/>
  <c r="E185" i="31" s="1"/>
  <c r="D180" i="31"/>
  <c r="D185" i="31" s="1"/>
  <c r="H179" i="31"/>
  <c r="H179" i="2" s="1"/>
  <c r="G179" i="31"/>
  <c r="G178" i="31"/>
  <c r="I172" i="31"/>
  <c r="H172" i="31"/>
  <c r="G172" i="31"/>
  <c r="F172" i="31"/>
  <c r="E172" i="31"/>
  <c r="D172" i="31"/>
  <c r="K171" i="31"/>
  <c r="J171" i="31"/>
  <c r="K170" i="31"/>
  <c r="J170" i="31"/>
  <c r="K169" i="31"/>
  <c r="J169" i="31"/>
  <c r="K168" i="31"/>
  <c r="J168" i="31"/>
  <c r="K167" i="31"/>
  <c r="J167" i="31"/>
  <c r="K166" i="31"/>
  <c r="J166" i="31"/>
  <c r="J172" i="31" s="1"/>
  <c r="K165" i="31"/>
  <c r="J165" i="31"/>
  <c r="J162" i="31"/>
  <c r="I162" i="31"/>
  <c r="H162" i="31"/>
  <c r="F162" i="31"/>
  <c r="E162" i="31"/>
  <c r="D162" i="31"/>
  <c r="G161" i="31"/>
  <c r="G160" i="31"/>
  <c r="G159" i="31"/>
  <c r="G158" i="31"/>
  <c r="G157" i="31"/>
  <c r="G156" i="31"/>
  <c r="G155" i="31"/>
  <c r="N151" i="31"/>
  <c r="M151" i="31"/>
  <c r="L151" i="31"/>
  <c r="K151" i="31"/>
  <c r="J151" i="31"/>
  <c r="H151" i="31"/>
  <c r="G151" i="31"/>
  <c r="F151" i="31"/>
  <c r="E151" i="31"/>
  <c r="D151" i="31"/>
  <c r="I150" i="31"/>
  <c r="I149" i="31"/>
  <c r="I148" i="31"/>
  <c r="I147" i="31"/>
  <c r="I146" i="31"/>
  <c r="I145" i="31"/>
  <c r="I144" i="31"/>
  <c r="F137" i="31"/>
  <c r="D137" i="31"/>
  <c r="G136" i="31"/>
  <c r="G135" i="31"/>
  <c r="G134" i="31"/>
  <c r="G133" i="31"/>
  <c r="E132" i="31"/>
  <c r="E137" i="31" s="1"/>
  <c r="G131" i="31"/>
  <c r="L127" i="31"/>
  <c r="K127" i="31"/>
  <c r="I127" i="31"/>
  <c r="H127" i="31"/>
  <c r="G127" i="31"/>
  <c r="E127" i="31"/>
  <c r="F122" i="31"/>
  <c r="D122" i="31"/>
  <c r="D122" i="2" s="1"/>
  <c r="D121" i="31"/>
  <c r="K116" i="31"/>
  <c r="I116" i="31"/>
  <c r="H116" i="31"/>
  <c r="G116" i="31"/>
  <c r="F116" i="31"/>
  <c r="E116" i="31"/>
  <c r="D116" i="31"/>
  <c r="L111" i="31"/>
  <c r="M105" i="31"/>
  <c r="L105" i="31"/>
  <c r="K105" i="31"/>
  <c r="J105" i="31"/>
  <c r="I105" i="31"/>
  <c r="H105" i="31"/>
  <c r="G105" i="31"/>
  <c r="F105" i="31"/>
  <c r="E105" i="31"/>
  <c r="D105" i="31"/>
  <c r="K92" i="31"/>
  <c r="J92" i="31"/>
  <c r="I92" i="31"/>
  <c r="H92" i="31"/>
  <c r="G92" i="31"/>
  <c r="F92" i="31"/>
  <c r="E92" i="31"/>
  <c r="D92" i="31"/>
  <c r="O79" i="31"/>
  <c r="N79" i="31"/>
  <c r="M79" i="31"/>
  <c r="L79" i="31"/>
  <c r="K79" i="31"/>
  <c r="J79" i="31"/>
  <c r="I79" i="31"/>
  <c r="F79" i="31"/>
  <c r="E79" i="31"/>
  <c r="D79" i="31"/>
  <c r="G78" i="31"/>
  <c r="G77" i="31"/>
  <c r="G76" i="31"/>
  <c r="G75" i="31"/>
  <c r="G74" i="31"/>
  <c r="G73" i="31"/>
  <c r="G72" i="31"/>
  <c r="L69" i="31"/>
  <c r="K69" i="31"/>
  <c r="I69" i="31"/>
  <c r="H69" i="31"/>
  <c r="G69" i="31"/>
  <c r="F69" i="31"/>
  <c r="E69" i="31"/>
  <c r="D69" i="31"/>
  <c r="K58" i="31"/>
  <c r="J58" i="31"/>
  <c r="I58" i="31"/>
  <c r="H58" i="31"/>
  <c r="G58" i="31"/>
  <c r="F58" i="31"/>
  <c r="E58" i="31"/>
  <c r="D58" i="31"/>
  <c r="E47" i="31"/>
  <c r="D47" i="31"/>
  <c r="F35" i="31"/>
  <c r="E35" i="31"/>
  <c r="G34" i="31"/>
  <c r="G33" i="31"/>
  <c r="G32" i="31"/>
  <c r="G31" i="31"/>
  <c r="G30" i="31"/>
  <c r="D30" i="31"/>
  <c r="D35" i="31" s="1"/>
  <c r="G35" i="31" s="1"/>
  <c r="G29" i="31"/>
  <c r="G28" i="31"/>
  <c r="O24" i="31"/>
  <c r="N24" i="31"/>
  <c r="M24" i="31"/>
  <c r="L24" i="31"/>
  <c r="K24" i="31"/>
  <c r="J24" i="31"/>
  <c r="I24" i="31"/>
  <c r="H24" i="31"/>
  <c r="F24" i="31"/>
  <c r="E24" i="31"/>
  <c r="G23" i="31"/>
  <c r="G22" i="31"/>
  <c r="G21" i="31"/>
  <c r="G20" i="31"/>
  <c r="D19" i="31"/>
  <c r="G19" i="31" s="1"/>
  <c r="G18" i="31"/>
  <c r="G17" i="31"/>
  <c r="G162" i="31" l="1"/>
  <c r="K172" i="31"/>
  <c r="E196" i="31"/>
  <c r="D24" i="31"/>
  <c r="G24" i="31" s="1"/>
  <c r="L116" i="31"/>
  <c r="L111" i="2"/>
  <c r="L116" i="2" s="1"/>
  <c r="D127" i="31"/>
  <c r="D121" i="2"/>
  <c r="D127" i="2" s="1"/>
  <c r="I151" i="31"/>
  <c r="L196" i="31"/>
  <c r="F127" i="31"/>
  <c r="F122" i="2"/>
  <c r="F127" i="2" s="1"/>
  <c r="G132" i="31"/>
  <c r="E132" i="2"/>
  <c r="E137" i="2" s="1"/>
  <c r="H185" i="31"/>
  <c r="G79" i="31"/>
  <c r="G137" i="31"/>
  <c r="F185" i="31"/>
  <c r="F180" i="2"/>
  <c r="F185" i="2" s="1"/>
  <c r="G196" i="31"/>
  <c r="E218" i="31"/>
  <c r="E219" i="31" s="1"/>
  <c r="G180" i="31"/>
  <c r="G185" i="31" s="1"/>
  <c r="I219" i="30" l="1"/>
  <c r="H219" i="30"/>
  <c r="G219" i="30"/>
  <c r="F219" i="30"/>
  <c r="E219" i="30"/>
  <c r="D219" i="30"/>
  <c r="L209" i="30"/>
  <c r="K209" i="30"/>
  <c r="J209" i="30"/>
  <c r="I209" i="30"/>
  <c r="H209" i="30"/>
  <c r="G209" i="30"/>
  <c r="F209" i="30"/>
  <c r="E209" i="30"/>
  <c r="D209" i="30"/>
  <c r="L196" i="30"/>
  <c r="K196" i="30"/>
  <c r="J196" i="30"/>
  <c r="I196" i="30"/>
  <c r="H196" i="30"/>
  <c r="F196" i="30"/>
  <c r="E196" i="30"/>
  <c r="D196" i="30"/>
  <c r="G195" i="30"/>
  <c r="G194" i="30"/>
  <c r="G193" i="30"/>
  <c r="G192" i="30"/>
  <c r="G191" i="30"/>
  <c r="G190" i="30"/>
  <c r="G196" i="30" s="1"/>
  <c r="G189" i="30"/>
  <c r="O185" i="30"/>
  <c r="N185" i="30"/>
  <c r="M185" i="30"/>
  <c r="L185" i="30"/>
  <c r="K185" i="30"/>
  <c r="J185" i="30"/>
  <c r="I185" i="30"/>
  <c r="H185" i="30"/>
  <c r="F185" i="30"/>
  <c r="E185" i="30"/>
  <c r="D185" i="30"/>
  <c r="G184" i="30"/>
  <c r="G183" i="30"/>
  <c r="G182" i="30"/>
  <c r="G181" i="30"/>
  <c r="G180" i="30"/>
  <c r="G179" i="30"/>
  <c r="G178" i="30"/>
  <c r="I172" i="30"/>
  <c r="H172" i="30"/>
  <c r="G172" i="30"/>
  <c r="F172" i="30"/>
  <c r="E172" i="30"/>
  <c r="D172" i="30"/>
  <c r="K171" i="30"/>
  <c r="J171" i="30"/>
  <c r="K170" i="30"/>
  <c r="J170" i="30"/>
  <c r="K169" i="30"/>
  <c r="J169" i="30"/>
  <c r="K168" i="30"/>
  <c r="J168" i="30"/>
  <c r="K167" i="30"/>
  <c r="J167" i="30"/>
  <c r="K166" i="30"/>
  <c r="K172" i="30" s="1"/>
  <c r="J166" i="30"/>
  <c r="K165" i="30"/>
  <c r="J165" i="30"/>
  <c r="J172" i="30" s="1"/>
  <c r="J162" i="30"/>
  <c r="I162" i="30"/>
  <c r="H162" i="30"/>
  <c r="F162" i="30"/>
  <c r="E162" i="30"/>
  <c r="D162" i="30"/>
  <c r="G161" i="30"/>
  <c r="G160" i="30"/>
  <c r="G159" i="30"/>
  <c r="G158" i="30"/>
  <c r="G157" i="30"/>
  <c r="G156" i="30"/>
  <c r="G155" i="30"/>
  <c r="N151" i="30"/>
  <c r="M151" i="30"/>
  <c r="L151" i="30"/>
  <c r="K151" i="30"/>
  <c r="J151" i="30"/>
  <c r="H151" i="30"/>
  <c r="G151" i="30"/>
  <c r="F151" i="30"/>
  <c r="E151" i="30"/>
  <c r="D151" i="30"/>
  <c r="I150" i="30"/>
  <c r="I149" i="30"/>
  <c r="I148" i="30"/>
  <c r="I147" i="30"/>
  <c r="I146" i="30"/>
  <c r="I145" i="30"/>
  <c r="I144" i="30"/>
  <c r="F137" i="30"/>
  <c r="E137" i="30"/>
  <c r="D137" i="30"/>
  <c r="G136" i="30"/>
  <c r="G135" i="30"/>
  <c r="G134" i="30"/>
  <c r="G133" i="30"/>
  <c r="G132" i="30"/>
  <c r="G131" i="30"/>
  <c r="L127" i="30"/>
  <c r="K127" i="30"/>
  <c r="I127" i="30"/>
  <c r="H127" i="30"/>
  <c r="G127" i="30"/>
  <c r="F127" i="30"/>
  <c r="E127" i="30"/>
  <c r="D127" i="30"/>
  <c r="L116" i="30"/>
  <c r="K116" i="30"/>
  <c r="I116" i="30"/>
  <c r="H116" i="30"/>
  <c r="G116" i="30"/>
  <c r="F116" i="30"/>
  <c r="E116" i="30"/>
  <c r="D116" i="30"/>
  <c r="M105" i="30"/>
  <c r="L105" i="30"/>
  <c r="K105" i="30"/>
  <c r="J105" i="30"/>
  <c r="I105" i="30"/>
  <c r="H105" i="30"/>
  <c r="G105" i="30"/>
  <c r="F105" i="30"/>
  <c r="E105" i="30"/>
  <c r="D105" i="30"/>
  <c r="K92" i="30"/>
  <c r="J92" i="30"/>
  <c r="I92" i="30"/>
  <c r="H92" i="30"/>
  <c r="G92" i="30"/>
  <c r="F92" i="30"/>
  <c r="E92" i="30"/>
  <c r="D92" i="30"/>
  <c r="O79" i="30"/>
  <c r="N79" i="30"/>
  <c r="M79" i="30"/>
  <c r="L79" i="30"/>
  <c r="K79" i="30"/>
  <c r="J79" i="30"/>
  <c r="I79" i="30"/>
  <c r="F79" i="30"/>
  <c r="E79" i="30"/>
  <c r="D79" i="30"/>
  <c r="G78" i="30"/>
  <c r="G77" i="30"/>
  <c r="G76" i="30"/>
  <c r="G75" i="30"/>
  <c r="G74" i="30"/>
  <c r="G73" i="30"/>
  <c r="G72" i="30"/>
  <c r="L69" i="30"/>
  <c r="K69" i="30"/>
  <c r="I69" i="30"/>
  <c r="H69" i="30"/>
  <c r="G69" i="30"/>
  <c r="F69" i="30"/>
  <c r="E69" i="30"/>
  <c r="D69" i="30"/>
  <c r="K58" i="30"/>
  <c r="J58" i="30"/>
  <c r="I58" i="30"/>
  <c r="H58" i="30"/>
  <c r="G58" i="30"/>
  <c r="F58" i="30"/>
  <c r="E58" i="30"/>
  <c r="D58" i="30"/>
  <c r="E47" i="30"/>
  <c r="D47" i="30"/>
  <c r="F35" i="30"/>
  <c r="E35" i="30"/>
  <c r="D35" i="30"/>
  <c r="G34" i="30"/>
  <c r="G33" i="30"/>
  <c r="G32" i="30"/>
  <c r="G31" i="30"/>
  <c r="G30" i="30"/>
  <c r="G29" i="30"/>
  <c r="G28" i="30"/>
  <c r="O24" i="30"/>
  <c r="N24" i="30"/>
  <c r="M24" i="30"/>
  <c r="L24" i="30"/>
  <c r="K24" i="30"/>
  <c r="J24" i="30"/>
  <c r="I24" i="30"/>
  <c r="H24" i="30"/>
  <c r="F24" i="30"/>
  <c r="E24" i="30"/>
  <c r="D24" i="30"/>
  <c r="G24" i="30" s="1"/>
  <c r="G23" i="30"/>
  <c r="G22" i="30"/>
  <c r="G21" i="30"/>
  <c r="G20" i="30"/>
  <c r="G19" i="30"/>
  <c r="G18" i="30"/>
  <c r="G17" i="30"/>
  <c r="G162" i="30" l="1"/>
  <c r="G137" i="30"/>
  <c r="G35" i="30"/>
  <c r="G79" i="30"/>
  <c r="I151" i="30"/>
  <c r="G185" i="30"/>
  <c r="I219" i="29"/>
  <c r="H219" i="29"/>
  <c r="G219" i="29"/>
  <c r="F219" i="29"/>
  <c r="D219" i="29"/>
  <c r="L209" i="29"/>
  <c r="K209" i="29"/>
  <c r="J209" i="29"/>
  <c r="I209" i="29"/>
  <c r="H209" i="29"/>
  <c r="G209" i="29"/>
  <c r="F209" i="29"/>
  <c r="E209" i="29"/>
  <c r="D209" i="29"/>
  <c r="L196" i="29"/>
  <c r="K196" i="29"/>
  <c r="J196" i="29"/>
  <c r="I196" i="29"/>
  <c r="H196" i="29"/>
  <c r="E196" i="29"/>
  <c r="D196" i="29"/>
  <c r="G195" i="29"/>
  <c r="G194" i="29"/>
  <c r="G193" i="29"/>
  <c r="G192" i="29"/>
  <c r="F191" i="29"/>
  <c r="G190" i="29"/>
  <c r="G189" i="29"/>
  <c r="O185" i="29"/>
  <c r="N185" i="29"/>
  <c r="M185" i="29"/>
  <c r="L185" i="29"/>
  <c r="K185" i="29"/>
  <c r="J185" i="29"/>
  <c r="I185" i="29"/>
  <c r="H185" i="29"/>
  <c r="F185" i="29"/>
  <c r="E185" i="29"/>
  <c r="D185" i="29"/>
  <c r="G184" i="29"/>
  <c r="G183" i="29"/>
  <c r="G182" i="29"/>
  <c r="G181" i="29"/>
  <c r="G180" i="29"/>
  <c r="G179" i="29"/>
  <c r="G178" i="29"/>
  <c r="I172" i="29"/>
  <c r="H172" i="29"/>
  <c r="G172" i="29"/>
  <c r="F172" i="29"/>
  <c r="E172" i="29"/>
  <c r="D172" i="29"/>
  <c r="K171" i="29"/>
  <c r="J171" i="29"/>
  <c r="K170" i="29"/>
  <c r="J170" i="29"/>
  <c r="K169" i="29"/>
  <c r="J169" i="29"/>
  <c r="K168" i="29"/>
  <c r="J168" i="29"/>
  <c r="K167" i="29"/>
  <c r="J167" i="29"/>
  <c r="K166" i="29"/>
  <c r="J166" i="29"/>
  <c r="K165" i="29"/>
  <c r="J165" i="29"/>
  <c r="J172" i="29" s="1"/>
  <c r="J162" i="29"/>
  <c r="I162" i="29"/>
  <c r="H162" i="29"/>
  <c r="F162" i="29"/>
  <c r="E162" i="29"/>
  <c r="D162" i="29"/>
  <c r="G161" i="29"/>
  <c r="G160" i="29"/>
  <c r="G159" i="29"/>
  <c r="G158" i="29"/>
  <c r="G157" i="29"/>
  <c r="G156" i="29"/>
  <c r="G155" i="29"/>
  <c r="N151" i="29"/>
  <c r="M151" i="29"/>
  <c r="L151" i="29"/>
  <c r="K151" i="29"/>
  <c r="J151" i="29"/>
  <c r="H151" i="29"/>
  <c r="G151" i="29"/>
  <c r="F151" i="29"/>
  <c r="E151" i="29"/>
  <c r="D151" i="29"/>
  <c r="I150" i="29"/>
  <c r="I149" i="29"/>
  <c r="I148" i="29"/>
  <c r="I147" i="29"/>
  <c r="I146" i="29"/>
  <c r="I145" i="29"/>
  <c r="I144" i="29"/>
  <c r="F137" i="29"/>
  <c r="E137" i="29"/>
  <c r="D137" i="29"/>
  <c r="G136" i="29"/>
  <c r="G135" i="29"/>
  <c r="G134" i="29"/>
  <c r="G133" i="29"/>
  <c r="G132" i="29"/>
  <c r="G131" i="29"/>
  <c r="G137" i="29" s="1"/>
  <c r="L127" i="29"/>
  <c r="K127" i="29"/>
  <c r="I127" i="29"/>
  <c r="H127" i="29"/>
  <c r="G127" i="29"/>
  <c r="F127" i="29"/>
  <c r="E127" i="29"/>
  <c r="D127" i="29"/>
  <c r="L116" i="29"/>
  <c r="K116" i="29"/>
  <c r="I116" i="29"/>
  <c r="H116" i="29"/>
  <c r="G116" i="29"/>
  <c r="F116" i="29"/>
  <c r="E116" i="29"/>
  <c r="D116" i="29"/>
  <c r="M105" i="29"/>
  <c r="L105" i="29"/>
  <c r="K105" i="29"/>
  <c r="J105" i="29"/>
  <c r="I105" i="29"/>
  <c r="H105" i="29"/>
  <c r="G105" i="29"/>
  <c r="F105" i="29"/>
  <c r="E105" i="29"/>
  <c r="D105" i="29"/>
  <c r="K92" i="29"/>
  <c r="J92" i="29"/>
  <c r="I92" i="29"/>
  <c r="H92" i="29"/>
  <c r="G92" i="29"/>
  <c r="F92" i="29"/>
  <c r="E92" i="29"/>
  <c r="D92" i="29"/>
  <c r="O79" i="29"/>
  <c r="N79" i="29"/>
  <c r="M79" i="29"/>
  <c r="L79" i="29"/>
  <c r="K79" i="29"/>
  <c r="J79" i="29"/>
  <c r="I79" i="29"/>
  <c r="H79" i="29"/>
  <c r="F79" i="29"/>
  <c r="E79" i="29"/>
  <c r="D79" i="29"/>
  <c r="G78" i="29"/>
  <c r="G77" i="29"/>
  <c r="G76" i="29"/>
  <c r="G75" i="29"/>
  <c r="G74" i="29"/>
  <c r="G73" i="29"/>
  <c r="G72" i="29"/>
  <c r="L69" i="29"/>
  <c r="K69" i="29"/>
  <c r="I69" i="29"/>
  <c r="H69" i="29"/>
  <c r="G69" i="29"/>
  <c r="F69" i="29"/>
  <c r="E69" i="29"/>
  <c r="D69" i="29"/>
  <c r="K58" i="29"/>
  <c r="J58" i="29"/>
  <c r="I58" i="29"/>
  <c r="H58" i="29"/>
  <c r="G58" i="29"/>
  <c r="F58" i="29"/>
  <c r="E58" i="29"/>
  <c r="D58" i="29"/>
  <c r="E47" i="29"/>
  <c r="D47" i="29"/>
  <c r="F35" i="29"/>
  <c r="E35" i="29"/>
  <c r="D35" i="29"/>
  <c r="G34" i="29"/>
  <c r="G33" i="29"/>
  <c r="G32" i="29"/>
  <c r="G31" i="29"/>
  <c r="G30" i="29"/>
  <c r="G29" i="29"/>
  <c r="G28" i="29"/>
  <c r="O24" i="29"/>
  <c r="N24" i="29"/>
  <c r="M24" i="29"/>
  <c r="L24" i="29"/>
  <c r="K24" i="29"/>
  <c r="J24" i="29"/>
  <c r="I24" i="29"/>
  <c r="H24" i="29"/>
  <c r="F24" i="29"/>
  <c r="G24" i="29" s="1"/>
  <c r="D24" i="29"/>
  <c r="G23" i="29"/>
  <c r="G22" i="29"/>
  <c r="G21" i="29"/>
  <c r="G20" i="29"/>
  <c r="G19" i="29"/>
  <c r="G18" i="29"/>
  <c r="G17" i="29"/>
  <c r="G79" i="29" l="1"/>
  <c r="G162" i="29"/>
  <c r="K172" i="29"/>
  <c r="G35" i="29"/>
  <c r="I151" i="29"/>
  <c r="G185" i="29"/>
  <c r="G191" i="29"/>
  <c r="G196" i="29" s="1"/>
  <c r="F191" i="2"/>
  <c r="F196" i="2" s="1"/>
  <c r="I219" i="28"/>
  <c r="H219" i="28"/>
  <c r="G219" i="28"/>
  <c r="F219" i="28"/>
  <c r="E219" i="28"/>
  <c r="D219" i="28"/>
  <c r="L209" i="28"/>
  <c r="K209" i="28"/>
  <c r="J209" i="28"/>
  <c r="I209" i="28"/>
  <c r="H209" i="28"/>
  <c r="G209" i="28"/>
  <c r="F209" i="28"/>
  <c r="E209" i="28"/>
  <c r="D209" i="28"/>
  <c r="L196" i="28"/>
  <c r="K196" i="28"/>
  <c r="J196" i="28"/>
  <c r="I196" i="28"/>
  <c r="H196" i="28"/>
  <c r="F196" i="28"/>
  <c r="E196" i="28"/>
  <c r="D196" i="28"/>
  <c r="G195" i="28"/>
  <c r="G194" i="28"/>
  <c r="G193" i="28"/>
  <c r="G192" i="28"/>
  <c r="G191" i="28"/>
  <c r="G190" i="28"/>
  <c r="G189" i="28"/>
  <c r="O185" i="28"/>
  <c r="N185" i="28"/>
  <c r="M185" i="28"/>
  <c r="L185" i="28"/>
  <c r="K185" i="28"/>
  <c r="J185" i="28"/>
  <c r="I185" i="28"/>
  <c r="H185" i="28"/>
  <c r="F185" i="28"/>
  <c r="E185" i="28"/>
  <c r="D185" i="28"/>
  <c r="G184" i="28"/>
  <c r="G183" i="28"/>
  <c r="G182" i="28"/>
  <c r="G181" i="28"/>
  <c r="G180" i="28"/>
  <c r="G179" i="28"/>
  <c r="G178" i="28"/>
  <c r="G185" i="28" s="1"/>
  <c r="I172" i="28"/>
  <c r="H172" i="28"/>
  <c r="G172" i="28"/>
  <c r="F172" i="28"/>
  <c r="E172" i="28"/>
  <c r="D172" i="28"/>
  <c r="K171" i="28"/>
  <c r="J171" i="28"/>
  <c r="K170" i="28"/>
  <c r="J170" i="28"/>
  <c r="K169" i="28"/>
  <c r="J169" i="28"/>
  <c r="K168" i="28"/>
  <c r="J168" i="28"/>
  <c r="K167" i="28"/>
  <c r="J167" i="28"/>
  <c r="K166" i="28"/>
  <c r="J166" i="28"/>
  <c r="K165" i="28"/>
  <c r="J165" i="28"/>
  <c r="J172" i="28" s="1"/>
  <c r="J162" i="28"/>
  <c r="I162" i="28"/>
  <c r="H162" i="28"/>
  <c r="F162" i="28"/>
  <c r="E162" i="28"/>
  <c r="D162" i="28"/>
  <c r="G161" i="28"/>
  <c r="G160" i="28"/>
  <c r="G159" i="28"/>
  <c r="G158" i="28"/>
  <c r="G157" i="28"/>
  <c r="G156" i="28"/>
  <c r="G155" i="28"/>
  <c r="N151" i="28"/>
  <c r="M151" i="28"/>
  <c r="L151" i="28"/>
  <c r="K151" i="28"/>
  <c r="J151" i="28"/>
  <c r="H151" i="28"/>
  <c r="G151" i="28"/>
  <c r="F151" i="28"/>
  <c r="E151" i="28"/>
  <c r="D151" i="28"/>
  <c r="I150" i="28"/>
  <c r="I149" i="28"/>
  <c r="I148" i="28"/>
  <c r="I147" i="28"/>
  <c r="I146" i="28"/>
  <c r="I145" i="28"/>
  <c r="I144" i="28"/>
  <c r="F137" i="28"/>
  <c r="E137" i="28"/>
  <c r="D137" i="28"/>
  <c r="G136" i="28"/>
  <c r="G135" i="28"/>
  <c r="G134" i="28"/>
  <c r="G133" i="28"/>
  <c r="G132" i="28"/>
  <c r="G131" i="28"/>
  <c r="L127" i="28"/>
  <c r="K127" i="28"/>
  <c r="I127" i="28"/>
  <c r="H127" i="28"/>
  <c r="G127" i="28"/>
  <c r="F127" i="28"/>
  <c r="E127" i="28"/>
  <c r="D127" i="28"/>
  <c r="L116" i="28"/>
  <c r="K116" i="28"/>
  <c r="I116" i="28"/>
  <c r="H116" i="28"/>
  <c r="G116" i="28"/>
  <c r="F116" i="28"/>
  <c r="E116" i="28"/>
  <c r="D116" i="28"/>
  <c r="M105" i="28"/>
  <c r="L105" i="28"/>
  <c r="K105" i="28"/>
  <c r="J105" i="28"/>
  <c r="I105" i="28"/>
  <c r="H105" i="28"/>
  <c r="G105" i="28"/>
  <c r="F105" i="28"/>
  <c r="E105" i="28"/>
  <c r="D105" i="28"/>
  <c r="K92" i="28"/>
  <c r="J92" i="28"/>
  <c r="I92" i="28"/>
  <c r="H92" i="28"/>
  <c r="G92" i="28"/>
  <c r="F92" i="28"/>
  <c r="E92" i="28"/>
  <c r="D92" i="28"/>
  <c r="O79" i="28"/>
  <c r="N79" i="28"/>
  <c r="M79" i="28"/>
  <c r="L79" i="28"/>
  <c r="K79" i="28"/>
  <c r="J79" i="28"/>
  <c r="I79" i="28"/>
  <c r="F79" i="28"/>
  <c r="E79" i="28"/>
  <c r="D79" i="28"/>
  <c r="G78" i="28"/>
  <c r="G77" i="28"/>
  <c r="G76" i="28"/>
  <c r="G75" i="28"/>
  <c r="G74" i="28"/>
  <c r="G73" i="28"/>
  <c r="G72" i="28"/>
  <c r="L69" i="28"/>
  <c r="K69" i="28"/>
  <c r="I69" i="28"/>
  <c r="H69" i="28"/>
  <c r="G69" i="28"/>
  <c r="F69" i="28"/>
  <c r="E69" i="28"/>
  <c r="D69" i="28"/>
  <c r="K58" i="28"/>
  <c r="J58" i="28"/>
  <c r="I58" i="28"/>
  <c r="H58" i="28"/>
  <c r="G58" i="28"/>
  <c r="F58" i="28"/>
  <c r="E58" i="28"/>
  <c r="D58" i="28"/>
  <c r="E47" i="28"/>
  <c r="D47" i="28"/>
  <c r="F35" i="28"/>
  <c r="E35" i="28"/>
  <c r="D35" i="28"/>
  <c r="G34" i="28"/>
  <c r="G33" i="28"/>
  <c r="G32" i="28"/>
  <c r="G31" i="28"/>
  <c r="G30" i="28"/>
  <c r="G29" i="28"/>
  <c r="G28" i="28"/>
  <c r="O24" i="28"/>
  <c r="N24" i="28"/>
  <c r="M24" i="28"/>
  <c r="L24" i="28"/>
  <c r="K24" i="28"/>
  <c r="J24" i="28"/>
  <c r="I24" i="28"/>
  <c r="H24" i="28"/>
  <c r="F24" i="28"/>
  <c r="E24" i="28"/>
  <c r="D24" i="28"/>
  <c r="G23" i="28"/>
  <c r="G22" i="28"/>
  <c r="G21" i="28"/>
  <c r="G20" i="28"/>
  <c r="G19" i="28"/>
  <c r="G18" i="28"/>
  <c r="G17" i="28"/>
  <c r="G35" i="28" l="1"/>
  <c r="G79" i="28"/>
  <c r="I151" i="28"/>
  <c r="G137" i="28"/>
  <c r="K172" i="28"/>
  <c r="G24" i="28"/>
  <c r="G162" i="28"/>
  <c r="G196" i="28"/>
  <c r="I219" i="27"/>
  <c r="H219" i="27"/>
  <c r="G219" i="27"/>
  <c r="F219" i="27"/>
  <c r="E219" i="27"/>
  <c r="D219" i="27"/>
  <c r="L209" i="27"/>
  <c r="K209" i="27"/>
  <c r="J209" i="27"/>
  <c r="I209" i="27"/>
  <c r="H209" i="27"/>
  <c r="G209" i="27"/>
  <c r="F209" i="27"/>
  <c r="E209" i="27"/>
  <c r="D209" i="27"/>
  <c r="L196" i="27"/>
  <c r="K196" i="27"/>
  <c r="J196" i="27"/>
  <c r="I196" i="27"/>
  <c r="H196" i="27"/>
  <c r="F196" i="27"/>
  <c r="E196" i="27"/>
  <c r="D196" i="27"/>
  <c r="G195" i="27"/>
  <c r="G194" i="27"/>
  <c r="G193" i="27"/>
  <c r="G192" i="27"/>
  <c r="G191" i="27"/>
  <c r="G190" i="27"/>
  <c r="G189" i="27"/>
  <c r="O185" i="27"/>
  <c r="N185" i="27"/>
  <c r="M185" i="27"/>
  <c r="L185" i="27"/>
  <c r="K185" i="27"/>
  <c r="J185" i="27"/>
  <c r="I185" i="27"/>
  <c r="H185" i="27"/>
  <c r="F185" i="27"/>
  <c r="E185" i="27"/>
  <c r="D185" i="27"/>
  <c r="G184" i="27"/>
  <c r="G183" i="27"/>
  <c r="G182" i="27"/>
  <c r="G181" i="27"/>
  <c r="G180" i="27"/>
  <c r="G179" i="27"/>
  <c r="G178" i="27"/>
  <c r="I172" i="27"/>
  <c r="H172" i="27"/>
  <c r="G172" i="27"/>
  <c r="F172" i="27"/>
  <c r="E172" i="27"/>
  <c r="D172" i="27"/>
  <c r="K171" i="27"/>
  <c r="J171" i="27"/>
  <c r="K170" i="27"/>
  <c r="J170" i="27"/>
  <c r="K169" i="27"/>
  <c r="J169" i="27"/>
  <c r="K168" i="27"/>
  <c r="J168" i="27"/>
  <c r="K167" i="27"/>
  <c r="J167" i="27"/>
  <c r="K166" i="27"/>
  <c r="K172" i="27" s="1"/>
  <c r="J166" i="27"/>
  <c r="K165" i="27"/>
  <c r="J165" i="27"/>
  <c r="J172" i="27" s="1"/>
  <c r="J162" i="27"/>
  <c r="I162" i="27"/>
  <c r="H162" i="27"/>
  <c r="F162" i="27"/>
  <c r="E162" i="27"/>
  <c r="D162" i="27"/>
  <c r="G161" i="27"/>
  <c r="G160" i="27"/>
  <c r="G159" i="27"/>
  <c r="G158" i="27"/>
  <c r="G157" i="27"/>
  <c r="G156" i="27"/>
  <c r="G155" i="27"/>
  <c r="N151" i="27"/>
  <c r="M151" i="27"/>
  <c r="L151" i="27"/>
  <c r="K151" i="27"/>
  <c r="J151" i="27"/>
  <c r="H151" i="27"/>
  <c r="G151" i="27"/>
  <c r="F151" i="27"/>
  <c r="E151" i="27"/>
  <c r="D151" i="27"/>
  <c r="I150" i="27"/>
  <c r="I149" i="27"/>
  <c r="I148" i="27"/>
  <c r="I147" i="27"/>
  <c r="I146" i="27"/>
  <c r="I145" i="27"/>
  <c r="I144" i="27"/>
  <c r="F137" i="27"/>
  <c r="E137" i="27"/>
  <c r="D137" i="27"/>
  <c r="G136" i="27"/>
  <c r="G135" i="27"/>
  <c r="G134" i="27"/>
  <c r="G133" i="27"/>
  <c r="G132" i="27"/>
  <c r="G131" i="27"/>
  <c r="L127" i="27"/>
  <c r="K127" i="27"/>
  <c r="I127" i="27"/>
  <c r="H127" i="27"/>
  <c r="G127" i="27"/>
  <c r="F127" i="27"/>
  <c r="E127" i="27"/>
  <c r="D127" i="27"/>
  <c r="L116" i="27"/>
  <c r="K116" i="27"/>
  <c r="I116" i="27"/>
  <c r="H116" i="27"/>
  <c r="G116" i="27"/>
  <c r="F116" i="27"/>
  <c r="E116" i="27"/>
  <c r="D116" i="27"/>
  <c r="M105" i="27"/>
  <c r="L105" i="27"/>
  <c r="K105" i="27"/>
  <c r="J105" i="27"/>
  <c r="I105" i="27"/>
  <c r="H105" i="27"/>
  <c r="G105" i="27"/>
  <c r="F105" i="27"/>
  <c r="E105" i="27"/>
  <c r="D105" i="27"/>
  <c r="K92" i="27"/>
  <c r="J92" i="27"/>
  <c r="I92" i="27"/>
  <c r="H92" i="27"/>
  <c r="G92" i="27"/>
  <c r="F92" i="27"/>
  <c r="E92" i="27"/>
  <c r="D92" i="27"/>
  <c r="O79" i="27"/>
  <c r="N79" i="27"/>
  <c r="M79" i="27"/>
  <c r="L79" i="27"/>
  <c r="K79" i="27"/>
  <c r="J79" i="27"/>
  <c r="I79" i="27"/>
  <c r="F79" i="27"/>
  <c r="E79" i="27"/>
  <c r="D79" i="27"/>
  <c r="G78" i="27"/>
  <c r="G77" i="27"/>
  <c r="G76" i="27"/>
  <c r="G75" i="27"/>
  <c r="G74" i="27"/>
  <c r="G73" i="27"/>
  <c r="G72" i="27"/>
  <c r="L69" i="27"/>
  <c r="K69" i="27"/>
  <c r="I69" i="27"/>
  <c r="H69" i="27"/>
  <c r="G69" i="27"/>
  <c r="F69" i="27"/>
  <c r="E69" i="27"/>
  <c r="D69" i="27"/>
  <c r="K58" i="27"/>
  <c r="J58" i="27"/>
  <c r="I58" i="27"/>
  <c r="H58" i="27"/>
  <c r="G58" i="27"/>
  <c r="F58" i="27"/>
  <c r="E58" i="27"/>
  <c r="D58" i="27"/>
  <c r="E47" i="27"/>
  <c r="D47" i="27"/>
  <c r="F35" i="27"/>
  <c r="E35" i="27"/>
  <c r="D35" i="27"/>
  <c r="G35" i="27" s="1"/>
  <c r="G34" i="27"/>
  <c r="G33" i="27"/>
  <c r="G32" i="27"/>
  <c r="G31" i="27"/>
  <c r="G30" i="27"/>
  <c r="G29" i="27"/>
  <c r="G28" i="27"/>
  <c r="O24" i="27"/>
  <c r="N24" i="27"/>
  <c r="M24" i="27"/>
  <c r="L24" i="27"/>
  <c r="K24" i="27"/>
  <c r="J24" i="27"/>
  <c r="I24" i="27"/>
  <c r="H24" i="27"/>
  <c r="F24" i="27"/>
  <c r="E24" i="27"/>
  <c r="D24" i="27"/>
  <c r="G23" i="27"/>
  <c r="G22" i="27"/>
  <c r="G21" i="27"/>
  <c r="G20" i="27"/>
  <c r="G19" i="27"/>
  <c r="G18" i="27"/>
  <c r="G17" i="27"/>
  <c r="G137" i="27" l="1"/>
  <c r="G79" i="27"/>
  <c r="I151" i="27"/>
  <c r="G185" i="27"/>
  <c r="G24" i="27"/>
  <c r="G162" i="27"/>
  <c r="G196" i="27"/>
  <c r="I219" i="26"/>
  <c r="H219" i="26"/>
  <c r="G219" i="26"/>
  <c r="F219" i="26"/>
  <c r="E219" i="26"/>
  <c r="D219" i="26"/>
  <c r="L209" i="26"/>
  <c r="K209" i="26"/>
  <c r="J209" i="26"/>
  <c r="I209" i="26"/>
  <c r="H209" i="26"/>
  <c r="G209" i="26"/>
  <c r="F209" i="26"/>
  <c r="E209" i="26"/>
  <c r="D209" i="26"/>
  <c r="L196" i="26"/>
  <c r="K196" i="26"/>
  <c r="J196" i="26"/>
  <c r="I196" i="26"/>
  <c r="H196" i="26"/>
  <c r="F196" i="26"/>
  <c r="E196" i="26"/>
  <c r="D196" i="26"/>
  <c r="G195" i="26"/>
  <c r="G194" i="26"/>
  <c r="G193" i="26"/>
  <c r="G192" i="26"/>
  <c r="G191" i="26"/>
  <c r="G190" i="26"/>
  <c r="G189" i="26"/>
  <c r="O185" i="26"/>
  <c r="N185" i="26"/>
  <c r="M185" i="26"/>
  <c r="L185" i="26"/>
  <c r="K185" i="26"/>
  <c r="J185" i="26"/>
  <c r="I185" i="26"/>
  <c r="H185" i="26"/>
  <c r="F185" i="26"/>
  <c r="E185" i="26"/>
  <c r="D185" i="26"/>
  <c r="G184" i="26"/>
  <c r="G183" i="26"/>
  <c r="G182" i="26"/>
  <c r="G181" i="26"/>
  <c r="G180" i="26"/>
  <c r="G179" i="26"/>
  <c r="G178" i="26"/>
  <c r="I172" i="26"/>
  <c r="H172" i="26"/>
  <c r="G172" i="26"/>
  <c r="F172" i="26"/>
  <c r="E172" i="26"/>
  <c r="D172" i="26"/>
  <c r="K171" i="26"/>
  <c r="J171" i="26"/>
  <c r="K170" i="26"/>
  <c r="J170" i="26"/>
  <c r="K169" i="26"/>
  <c r="J169" i="26"/>
  <c r="K168" i="26"/>
  <c r="J168" i="26"/>
  <c r="K167" i="26"/>
  <c r="J167" i="26"/>
  <c r="K166" i="26"/>
  <c r="J166" i="26"/>
  <c r="J172" i="26" s="1"/>
  <c r="K165" i="26"/>
  <c r="J165" i="26"/>
  <c r="J162" i="26"/>
  <c r="I162" i="26"/>
  <c r="H162" i="26"/>
  <c r="F162" i="26"/>
  <c r="E162" i="26"/>
  <c r="D162" i="26"/>
  <c r="G161" i="26"/>
  <c r="G160" i="26"/>
  <c r="G159" i="26"/>
  <c r="G158" i="26"/>
  <c r="G157" i="26"/>
  <c r="G156" i="26"/>
  <c r="G155" i="26"/>
  <c r="G162" i="26" s="1"/>
  <c r="N151" i="26"/>
  <c r="M151" i="26"/>
  <c r="L151" i="26"/>
  <c r="K151" i="26"/>
  <c r="J151" i="26"/>
  <c r="H151" i="26"/>
  <c r="G151" i="26"/>
  <c r="F151" i="26"/>
  <c r="E151" i="26"/>
  <c r="D151" i="26"/>
  <c r="I150" i="26"/>
  <c r="I149" i="26"/>
  <c r="I148" i="26"/>
  <c r="I147" i="26"/>
  <c r="I146" i="26"/>
  <c r="I145" i="26"/>
  <c r="I151" i="26" s="1"/>
  <c r="I144" i="26"/>
  <c r="F137" i="26"/>
  <c r="E137" i="26"/>
  <c r="D137" i="26"/>
  <c r="G136" i="26"/>
  <c r="G135" i="26"/>
  <c r="G134" i="26"/>
  <c r="G133" i="26"/>
  <c r="G132" i="26"/>
  <c r="G131" i="26"/>
  <c r="L127" i="26"/>
  <c r="K127" i="26"/>
  <c r="I127" i="26"/>
  <c r="H127" i="26"/>
  <c r="G127" i="26"/>
  <c r="F127" i="26"/>
  <c r="E127" i="26"/>
  <c r="D127" i="26"/>
  <c r="L116" i="26"/>
  <c r="K116" i="26"/>
  <c r="I116" i="26"/>
  <c r="H116" i="26"/>
  <c r="G116" i="26"/>
  <c r="F116" i="26"/>
  <c r="E116" i="26"/>
  <c r="D116" i="26"/>
  <c r="M105" i="26"/>
  <c r="L105" i="26"/>
  <c r="K105" i="26"/>
  <c r="J105" i="26"/>
  <c r="I105" i="26"/>
  <c r="H105" i="26"/>
  <c r="G105" i="26"/>
  <c r="F105" i="26"/>
  <c r="E105" i="26"/>
  <c r="D105" i="26"/>
  <c r="K92" i="26"/>
  <c r="J92" i="26"/>
  <c r="I92" i="26"/>
  <c r="H92" i="26"/>
  <c r="G92" i="26"/>
  <c r="F92" i="26"/>
  <c r="E92" i="26"/>
  <c r="D92" i="26"/>
  <c r="O79" i="26"/>
  <c r="N79" i="26"/>
  <c r="M79" i="26"/>
  <c r="L79" i="26"/>
  <c r="K79" i="26"/>
  <c r="J79" i="26"/>
  <c r="I79" i="26"/>
  <c r="F79" i="26"/>
  <c r="E79" i="26"/>
  <c r="D79" i="26"/>
  <c r="G78" i="26"/>
  <c r="G77" i="26"/>
  <c r="G76" i="26"/>
  <c r="G75" i="26"/>
  <c r="G74" i="26"/>
  <c r="G73" i="26"/>
  <c r="G72" i="26"/>
  <c r="L69" i="26"/>
  <c r="K69" i="26"/>
  <c r="I69" i="26"/>
  <c r="H69" i="26"/>
  <c r="G69" i="26"/>
  <c r="F69" i="26"/>
  <c r="E69" i="26"/>
  <c r="D69" i="26"/>
  <c r="K58" i="26"/>
  <c r="J58" i="26"/>
  <c r="I58" i="26"/>
  <c r="H58" i="26"/>
  <c r="G58" i="26"/>
  <c r="F58" i="26"/>
  <c r="E58" i="26"/>
  <c r="D58" i="26"/>
  <c r="E47" i="26"/>
  <c r="D47" i="26"/>
  <c r="F35" i="26"/>
  <c r="E35" i="26"/>
  <c r="D35" i="26"/>
  <c r="G34" i="26"/>
  <c r="G33" i="26"/>
  <c r="G32" i="26"/>
  <c r="G31" i="26"/>
  <c r="G30" i="26"/>
  <c r="G29" i="26"/>
  <c r="G28" i="26"/>
  <c r="O24" i="26"/>
  <c r="N24" i="26"/>
  <c r="M24" i="26"/>
  <c r="L24" i="26"/>
  <c r="K24" i="26"/>
  <c r="J24" i="26"/>
  <c r="I24" i="26"/>
  <c r="H24" i="26"/>
  <c r="F24" i="26"/>
  <c r="E24" i="26"/>
  <c r="D24" i="26"/>
  <c r="G24" i="26" s="1"/>
  <c r="G23" i="26"/>
  <c r="G22" i="26"/>
  <c r="G21" i="26"/>
  <c r="G20" i="26"/>
  <c r="G19" i="26"/>
  <c r="G18" i="26"/>
  <c r="G17" i="26"/>
  <c r="G185" i="26" l="1"/>
  <c r="G137" i="26"/>
  <c r="K172" i="26"/>
  <c r="G79" i="26"/>
  <c r="G196" i="26"/>
  <c r="G35" i="26"/>
  <c r="I219" i="25"/>
  <c r="H219" i="25"/>
  <c r="G219" i="25"/>
  <c r="F219" i="25"/>
  <c r="E219" i="25"/>
  <c r="D219" i="25"/>
  <c r="L209" i="25"/>
  <c r="K209" i="25"/>
  <c r="J209" i="25"/>
  <c r="I209" i="25"/>
  <c r="H209" i="25"/>
  <c r="G209" i="25"/>
  <c r="F209" i="25"/>
  <c r="E209" i="25"/>
  <c r="D209" i="25"/>
  <c r="L196" i="25"/>
  <c r="K196" i="25"/>
  <c r="J196" i="25"/>
  <c r="I196" i="25"/>
  <c r="H196" i="25"/>
  <c r="F196" i="25"/>
  <c r="E196" i="25"/>
  <c r="D196" i="25"/>
  <c r="G195" i="25"/>
  <c r="G194" i="25"/>
  <c r="G193" i="25"/>
  <c r="G192" i="25"/>
  <c r="G191" i="25"/>
  <c r="G190" i="25"/>
  <c r="G189" i="25"/>
  <c r="O185" i="25"/>
  <c r="N185" i="25"/>
  <c r="M185" i="25"/>
  <c r="L185" i="25"/>
  <c r="K185" i="25"/>
  <c r="J185" i="25"/>
  <c r="I185" i="25"/>
  <c r="H185" i="25"/>
  <c r="F185" i="25"/>
  <c r="E185" i="25"/>
  <c r="D185" i="25"/>
  <c r="G184" i="25"/>
  <c r="G183" i="25"/>
  <c r="G182" i="25"/>
  <c r="G181" i="25"/>
  <c r="G180" i="25"/>
  <c r="G179" i="25"/>
  <c r="G178" i="25"/>
  <c r="I172" i="25"/>
  <c r="H172" i="25"/>
  <c r="G172" i="25"/>
  <c r="F172" i="25"/>
  <c r="E172" i="25"/>
  <c r="D172" i="25"/>
  <c r="K171" i="25"/>
  <c r="J171" i="25"/>
  <c r="K170" i="25"/>
  <c r="J170" i="25"/>
  <c r="K169" i="25"/>
  <c r="J169" i="25"/>
  <c r="K168" i="25"/>
  <c r="J168" i="25"/>
  <c r="K167" i="25"/>
  <c r="J167" i="25"/>
  <c r="K166" i="25"/>
  <c r="J166" i="25"/>
  <c r="J172" i="25" s="1"/>
  <c r="K165" i="25"/>
  <c r="J165" i="25"/>
  <c r="J162" i="25"/>
  <c r="I162" i="25"/>
  <c r="H162" i="25"/>
  <c r="F162" i="25"/>
  <c r="E162" i="25"/>
  <c r="D162" i="25"/>
  <c r="G161" i="25"/>
  <c r="G160" i="25"/>
  <c r="G159" i="25"/>
  <c r="G158" i="25"/>
  <c r="G157" i="25"/>
  <c r="G156" i="25"/>
  <c r="G155" i="25"/>
  <c r="N151" i="25"/>
  <c r="M151" i="25"/>
  <c r="L151" i="25"/>
  <c r="K151" i="25"/>
  <c r="J151" i="25"/>
  <c r="H151" i="25"/>
  <c r="G151" i="25"/>
  <c r="F151" i="25"/>
  <c r="E151" i="25"/>
  <c r="D151" i="25"/>
  <c r="I150" i="25"/>
  <c r="I149" i="25"/>
  <c r="I148" i="25"/>
  <c r="I147" i="25"/>
  <c r="I146" i="25"/>
  <c r="I145" i="25"/>
  <c r="I144" i="25"/>
  <c r="F137" i="25"/>
  <c r="E137" i="25"/>
  <c r="D137" i="25"/>
  <c r="G136" i="25"/>
  <c r="G135" i="25"/>
  <c r="G134" i="25"/>
  <c r="G133" i="25"/>
  <c r="G132" i="25"/>
  <c r="G131" i="25"/>
  <c r="L127" i="25"/>
  <c r="K127" i="25"/>
  <c r="I127" i="25"/>
  <c r="H127" i="25"/>
  <c r="G127" i="25"/>
  <c r="F127" i="25"/>
  <c r="E127" i="25"/>
  <c r="D127" i="25"/>
  <c r="L116" i="25"/>
  <c r="K116" i="25"/>
  <c r="I116" i="25"/>
  <c r="H116" i="25"/>
  <c r="G116" i="25"/>
  <c r="F116" i="25"/>
  <c r="E116" i="25"/>
  <c r="D116" i="25"/>
  <c r="M105" i="25"/>
  <c r="L105" i="25"/>
  <c r="K105" i="25"/>
  <c r="J105" i="25"/>
  <c r="I105" i="25"/>
  <c r="H105" i="25"/>
  <c r="G105" i="25"/>
  <c r="F105" i="25"/>
  <c r="E105" i="25"/>
  <c r="D105" i="25"/>
  <c r="K92" i="25"/>
  <c r="J92" i="25"/>
  <c r="I92" i="25"/>
  <c r="H92" i="25"/>
  <c r="G92" i="25"/>
  <c r="F92" i="25"/>
  <c r="E92" i="25"/>
  <c r="D92" i="25"/>
  <c r="O79" i="25"/>
  <c r="N79" i="25"/>
  <c r="M79" i="25"/>
  <c r="L79" i="25"/>
  <c r="K79" i="25"/>
  <c r="J79" i="25"/>
  <c r="I79" i="25"/>
  <c r="F79" i="25"/>
  <c r="E79" i="25"/>
  <c r="D79" i="25"/>
  <c r="G78" i="25"/>
  <c r="G77" i="25"/>
  <c r="G76" i="25"/>
  <c r="G75" i="25"/>
  <c r="G74" i="25"/>
  <c r="G73" i="25"/>
  <c r="G72" i="25"/>
  <c r="G79" i="25" s="1"/>
  <c r="L69" i="25"/>
  <c r="K69" i="25"/>
  <c r="I69" i="25"/>
  <c r="H69" i="25"/>
  <c r="G69" i="25"/>
  <c r="F69" i="25"/>
  <c r="E69" i="25"/>
  <c r="D69" i="25"/>
  <c r="K58" i="25"/>
  <c r="J58" i="25"/>
  <c r="I58" i="25"/>
  <c r="H58" i="25"/>
  <c r="G58" i="25"/>
  <c r="F58" i="25"/>
  <c r="E58" i="25"/>
  <c r="D58" i="25"/>
  <c r="E47" i="25"/>
  <c r="D47" i="25"/>
  <c r="F35" i="25"/>
  <c r="E35" i="25"/>
  <c r="D35" i="25"/>
  <c r="G34" i="25"/>
  <c r="G33" i="25"/>
  <c r="G32" i="25"/>
  <c r="G31" i="25"/>
  <c r="G30" i="25"/>
  <c r="G29" i="25"/>
  <c r="G28" i="25"/>
  <c r="O24" i="25"/>
  <c r="N24" i="25"/>
  <c r="M24" i="25"/>
  <c r="L24" i="25"/>
  <c r="K24" i="25"/>
  <c r="J24" i="25"/>
  <c r="I24" i="25"/>
  <c r="H24" i="25"/>
  <c r="F24" i="25"/>
  <c r="E24" i="25"/>
  <c r="D24" i="25"/>
  <c r="G23" i="25"/>
  <c r="G22" i="25"/>
  <c r="G21" i="25"/>
  <c r="G20" i="25"/>
  <c r="G19" i="25"/>
  <c r="G18" i="25"/>
  <c r="G17" i="25"/>
  <c r="G162" i="25" l="1"/>
  <c r="K172" i="25"/>
  <c r="G196" i="25"/>
  <c r="G24" i="25"/>
  <c r="I151" i="25"/>
  <c r="G185" i="25"/>
  <c r="G35" i="25"/>
  <c r="G137" i="25"/>
  <c r="I219" i="24"/>
  <c r="H219" i="24"/>
  <c r="G219" i="24"/>
  <c r="F219" i="24"/>
  <c r="L209" i="24"/>
  <c r="K209" i="24"/>
  <c r="J209" i="24"/>
  <c r="I209" i="24"/>
  <c r="H209" i="24"/>
  <c r="G209" i="24"/>
  <c r="F209" i="24"/>
  <c r="E209" i="24"/>
  <c r="D209" i="24"/>
  <c r="L196" i="24"/>
  <c r="K196" i="24"/>
  <c r="J196" i="24"/>
  <c r="I196" i="24"/>
  <c r="H196" i="24"/>
  <c r="D196" i="24"/>
  <c r="G195" i="24"/>
  <c r="G194" i="24"/>
  <c r="G193" i="24"/>
  <c r="G192" i="24"/>
  <c r="G191" i="24"/>
  <c r="G190" i="24"/>
  <c r="G189" i="24"/>
  <c r="O185" i="24"/>
  <c r="N185" i="24"/>
  <c r="M185" i="24"/>
  <c r="L185" i="24"/>
  <c r="K185" i="24"/>
  <c r="J185" i="24"/>
  <c r="I185" i="24"/>
  <c r="H185" i="24"/>
  <c r="F185" i="24"/>
  <c r="E185" i="24"/>
  <c r="D185" i="24"/>
  <c r="G184" i="24"/>
  <c r="G183" i="24"/>
  <c r="G182" i="24"/>
  <c r="G181" i="24"/>
  <c r="G180" i="24"/>
  <c r="G179" i="24"/>
  <c r="G178" i="24"/>
  <c r="G185" i="24" s="1"/>
  <c r="I172" i="24"/>
  <c r="H172" i="24"/>
  <c r="G172" i="24"/>
  <c r="F172" i="24"/>
  <c r="E172" i="24"/>
  <c r="D172" i="24"/>
  <c r="K171" i="24"/>
  <c r="J171" i="24"/>
  <c r="K170" i="24"/>
  <c r="J170" i="24"/>
  <c r="K169" i="24"/>
  <c r="J169" i="24"/>
  <c r="K168" i="24"/>
  <c r="J168" i="24"/>
  <c r="K167" i="24"/>
  <c r="J167" i="24"/>
  <c r="J172" i="24" s="1"/>
  <c r="K166" i="24"/>
  <c r="J166" i="24"/>
  <c r="K165" i="24"/>
  <c r="J165" i="24"/>
  <c r="J162" i="24"/>
  <c r="I162" i="24"/>
  <c r="H162" i="24"/>
  <c r="F162" i="24"/>
  <c r="E162" i="24"/>
  <c r="D162" i="24"/>
  <c r="G161" i="24"/>
  <c r="G160" i="24"/>
  <c r="G159" i="24"/>
  <c r="G158" i="24"/>
  <c r="G157" i="24"/>
  <c r="G156" i="24"/>
  <c r="G155" i="24"/>
  <c r="N151" i="24"/>
  <c r="M151" i="24"/>
  <c r="L151" i="24"/>
  <c r="K151" i="24"/>
  <c r="J151" i="24"/>
  <c r="H151" i="24"/>
  <c r="G151" i="24"/>
  <c r="F151" i="24"/>
  <c r="E151" i="24"/>
  <c r="D151" i="24"/>
  <c r="I150" i="24"/>
  <c r="I149" i="24"/>
  <c r="I148" i="24"/>
  <c r="I147" i="24"/>
  <c r="I146" i="24"/>
  <c r="I145" i="24"/>
  <c r="I144" i="24"/>
  <c r="F137" i="24"/>
  <c r="E137" i="24"/>
  <c r="D137" i="24"/>
  <c r="G136" i="24"/>
  <c r="G135" i="24"/>
  <c r="G134" i="24"/>
  <c r="G133" i="24"/>
  <c r="G132" i="24"/>
  <c r="G131" i="24"/>
  <c r="L127" i="24"/>
  <c r="K127" i="24"/>
  <c r="I127" i="24"/>
  <c r="H127" i="24"/>
  <c r="G127" i="24"/>
  <c r="F127" i="24"/>
  <c r="E127" i="24"/>
  <c r="D127" i="24"/>
  <c r="L116" i="24"/>
  <c r="K116" i="24"/>
  <c r="I116" i="24"/>
  <c r="H116" i="24"/>
  <c r="G116" i="24"/>
  <c r="F116" i="24"/>
  <c r="E116" i="24"/>
  <c r="D116" i="24"/>
  <c r="M105" i="24"/>
  <c r="L105" i="24"/>
  <c r="K105" i="24"/>
  <c r="J105" i="24"/>
  <c r="I105" i="24"/>
  <c r="H105" i="24"/>
  <c r="G105" i="24"/>
  <c r="F105" i="24"/>
  <c r="E105" i="24"/>
  <c r="D105" i="24"/>
  <c r="K92" i="24"/>
  <c r="J92" i="24"/>
  <c r="I92" i="24"/>
  <c r="H92" i="24"/>
  <c r="G92" i="24"/>
  <c r="F92" i="24"/>
  <c r="E92" i="24"/>
  <c r="D92" i="24"/>
  <c r="O79" i="24"/>
  <c r="N79" i="24"/>
  <c r="M79" i="24"/>
  <c r="L79" i="24"/>
  <c r="K79" i="24"/>
  <c r="J79" i="24"/>
  <c r="I79" i="24"/>
  <c r="F79" i="24"/>
  <c r="E79" i="24"/>
  <c r="D79" i="24"/>
  <c r="G78" i="24"/>
  <c r="G77" i="24"/>
  <c r="G76" i="24"/>
  <c r="G75" i="24"/>
  <c r="G74" i="24"/>
  <c r="G79" i="24" s="1"/>
  <c r="G73" i="24"/>
  <c r="G72" i="24"/>
  <c r="L69" i="24"/>
  <c r="K69" i="24"/>
  <c r="I69" i="24"/>
  <c r="H69" i="24"/>
  <c r="G69" i="24"/>
  <c r="F69" i="24"/>
  <c r="E69" i="24"/>
  <c r="D69" i="24"/>
  <c r="K58" i="24"/>
  <c r="J58" i="24"/>
  <c r="I58" i="24"/>
  <c r="H58" i="24"/>
  <c r="G58" i="24"/>
  <c r="F58" i="24"/>
  <c r="E58" i="24"/>
  <c r="D58" i="24"/>
  <c r="E47" i="24"/>
  <c r="D47" i="24"/>
  <c r="F35" i="24"/>
  <c r="E35" i="24"/>
  <c r="D35" i="24"/>
  <c r="G35" i="24" s="1"/>
  <c r="G34" i="24"/>
  <c r="G33" i="24"/>
  <c r="G32" i="24"/>
  <c r="G31" i="24"/>
  <c r="G30" i="24"/>
  <c r="G29" i="24"/>
  <c r="G28" i="24"/>
  <c r="O24" i="24"/>
  <c r="N24" i="24"/>
  <c r="M24" i="24"/>
  <c r="L24" i="24"/>
  <c r="K24" i="24"/>
  <c r="J24" i="24"/>
  <c r="I24" i="24"/>
  <c r="H24" i="24"/>
  <c r="F24" i="24"/>
  <c r="E24" i="24"/>
  <c r="D24" i="24"/>
  <c r="G23" i="24"/>
  <c r="G22" i="24"/>
  <c r="G21" i="24"/>
  <c r="G20" i="24"/>
  <c r="G19" i="24"/>
  <c r="G18" i="24"/>
  <c r="G17" i="24"/>
  <c r="G137" i="24" l="1"/>
  <c r="G162" i="24"/>
  <c r="K172" i="24"/>
  <c r="G196" i="24"/>
  <c r="G24" i="24"/>
  <c r="I151" i="24"/>
  <c r="I219" i="23"/>
  <c r="H219" i="23"/>
  <c r="G219" i="23"/>
  <c r="F219" i="23"/>
  <c r="D219" i="23"/>
  <c r="E218" i="23"/>
  <c r="E217" i="23"/>
  <c r="E213" i="23" s="1"/>
  <c r="D213" i="23"/>
  <c r="L209" i="23"/>
  <c r="K209" i="23"/>
  <c r="J209" i="23"/>
  <c r="I209" i="23"/>
  <c r="H209" i="23"/>
  <c r="G209" i="23"/>
  <c r="F209" i="23"/>
  <c r="E209" i="23"/>
  <c r="D209" i="23"/>
  <c r="F196" i="23"/>
  <c r="D196" i="23"/>
  <c r="G195" i="23"/>
  <c r="G194" i="23"/>
  <c r="G193" i="23"/>
  <c r="G192" i="23"/>
  <c r="L191" i="23"/>
  <c r="L196" i="23" s="1"/>
  <c r="K191" i="23"/>
  <c r="J191" i="23"/>
  <c r="I191" i="23"/>
  <c r="I196" i="23" s="1"/>
  <c r="H191" i="23"/>
  <c r="G191" i="23"/>
  <c r="E191" i="23"/>
  <c r="E191" i="2" s="1"/>
  <c r="E196" i="2" s="1"/>
  <c r="G190" i="23"/>
  <c r="G189" i="23"/>
  <c r="O185" i="23"/>
  <c r="N185" i="23"/>
  <c r="M185" i="23"/>
  <c r="L185" i="23"/>
  <c r="K185" i="23"/>
  <c r="J185" i="23"/>
  <c r="F185" i="23"/>
  <c r="D185" i="23"/>
  <c r="G184" i="23"/>
  <c r="G183" i="23"/>
  <c r="G182" i="23"/>
  <c r="G181" i="23"/>
  <c r="I180" i="23"/>
  <c r="H180" i="23"/>
  <c r="H185" i="23" s="1"/>
  <c r="E180" i="23"/>
  <c r="G179" i="23"/>
  <c r="G178" i="23"/>
  <c r="I172" i="23"/>
  <c r="H172" i="23"/>
  <c r="G172" i="23"/>
  <c r="F172" i="23"/>
  <c r="E172" i="23"/>
  <c r="D172" i="23"/>
  <c r="K171" i="23"/>
  <c r="J171" i="23"/>
  <c r="K170" i="23"/>
  <c r="J170" i="23"/>
  <c r="K169" i="23"/>
  <c r="J169" i="23"/>
  <c r="K168" i="23"/>
  <c r="J168" i="23"/>
  <c r="K167" i="23"/>
  <c r="J167" i="23"/>
  <c r="K166" i="23"/>
  <c r="J166" i="23"/>
  <c r="K165" i="23"/>
  <c r="J165" i="23"/>
  <c r="J162" i="23"/>
  <c r="I162" i="23"/>
  <c r="H162" i="23"/>
  <c r="F162" i="23"/>
  <c r="E162" i="23"/>
  <c r="D162" i="23"/>
  <c r="G161" i="23"/>
  <c r="G160" i="23"/>
  <c r="G159" i="23"/>
  <c r="G158" i="23"/>
  <c r="G157" i="23"/>
  <c r="G156" i="23"/>
  <c r="G155" i="23"/>
  <c r="N151" i="23"/>
  <c r="M151" i="23"/>
  <c r="L151" i="23"/>
  <c r="K151" i="23"/>
  <c r="J151" i="23"/>
  <c r="H151" i="23"/>
  <c r="G151" i="23"/>
  <c r="F151" i="23"/>
  <c r="E151" i="23"/>
  <c r="D151" i="23"/>
  <c r="I150" i="23"/>
  <c r="I149" i="23"/>
  <c r="I148" i="23"/>
  <c r="I147" i="23"/>
  <c r="I146" i="23"/>
  <c r="I145" i="23"/>
  <c r="I144" i="23"/>
  <c r="F137" i="23"/>
  <c r="E137" i="23"/>
  <c r="D137" i="23"/>
  <c r="G136" i="23"/>
  <c r="G135" i="23"/>
  <c r="G134" i="23"/>
  <c r="G133" i="23"/>
  <c r="G132" i="23"/>
  <c r="G131" i="23"/>
  <c r="L126" i="23"/>
  <c r="K126" i="23"/>
  <c r="I126" i="23"/>
  <c r="H126" i="23"/>
  <c r="G126" i="23"/>
  <c r="F126" i="23"/>
  <c r="E126" i="23"/>
  <c r="D126" i="23"/>
  <c r="L116" i="23"/>
  <c r="K116" i="23"/>
  <c r="I116" i="23"/>
  <c r="H116" i="23"/>
  <c r="G116" i="23"/>
  <c r="F116" i="23"/>
  <c r="E116" i="23"/>
  <c r="D116" i="23"/>
  <c r="M105" i="23"/>
  <c r="L105" i="23"/>
  <c r="K105" i="23"/>
  <c r="J105" i="23"/>
  <c r="I105" i="23"/>
  <c r="H105" i="23"/>
  <c r="G105" i="23"/>
  <c r="F105" i="23"/>
  <c r="E105" i="23"/>
  <c r="D105" i="23"/>
  <c r="K92" i="23"/>
  <c r="J92" i="23"/>
  <c r="I92" i="23"/>
  <c r="H92" i="23"/>
  <c r="G92" i="23"/>
  <c r="F92" i="23"/>
  <c r="E92" i="23"/>
  <c r="D92" i="23"/>
  <c r="O79" i="23"/>
  <c r="N79" i="23"/>
  <c r="M79" i="23"/>
  <c r="L79" i="23"/>
  <c r="K79" i="23"/>
  <c r="J79" i="23"/>
  <c r="I79" i="23"/>
  <c r="F79" i="23"/>
  <c r="E79" i="23"/>
  <c r="D79" i="23"/>
  <c r="G78" i="23"/>
  <c r="G77" i="23"/>
  <c r="G76" i="23"/>
  <c r="G75" i="23"/>
  <c r="G74" i="23"/>
  <c r="G73" i="23"/>
  <c r="G72" i="23"/>
  <c r="L69" i="23"/>
  <c r="K69" i="23"/>
  <c r="I69" i="23"/>
  <c r="H69" i="23"/>
  <c r="G69" i="23"/>
  <c r="F69" i="23"/>
  <c r="E69" i="23"/>
  <c r="D69" i="23"/>
  <c r="K58" i="23"/>
  <c r="J58" i="23"/>
  <c r="I58" i="23"/>
  <c r="H58" i="23"/>
  <c r="G58" i="23"/>
  <c r="F58" i="23"/>
  <c r="E58" i="23"/>
  <c r="D58" i="23"/>
  <c r="E47" i="23"/>
  <c r="D47" i="23"/>
  <c r="F35" i="23"/>
  <c r="E35" i="23"/>
  <c r="D35" i="23"/>
  <c r="G34" i="23"/>
  <c r="G33" i="23"/>
  <c r="G32" i="23"/>
  <c r="G31" i="23"/>
  <c r="G30" i="23"/>
  <c r="G29" i="23"/>
  <c r="G28" i="23"/>
  <c r="O24" i="23"/>
  <c r="N24" i="23"/>
  <c r="M24" i="23"/>
  <c r="L24" i="23"/>
  <c r="K24" i="23"/>
  <c r="J24" i="23"/>
  <c r="I24" i="23"/>
  <c r="H24" i="23"/>
  <c r="F24" i="23"/>
  <c r="E24" i="23"/>
  <c r="D24" i="23"/>
  <c r="G24" i="23" s="1"/>
  <c r="G23" i="23"/>
  <c r="G22" i="23"/>
  <c r="G21" i="23"/>
  <c r="G20" i="23"/>
  <c r="G19" i="23"/>
  <c r="G18" i="23"/>
  <c r="G17" i="23"/>
  <c r="I185" i="23" l="1"/>
  <c r="I180" i="2"/>
  <c r="I185" i="2" s="1"/>
  <c r="K196" i="23"/>
  <c r="K191" i="2"/>
  <c r="G35" i="23"/>
  <c r="G137" i="23"/>
  <c r="G196" i="23"/>
  <c r="H196" i="23"/>
  <c r="H191" i="2"/>
  <c r="H196" i="2" s="1"/>
  <c r="G180" i="23"/>
  <c r="E180" i="2"/>
  <c r="E185" i="2" s="1"/>
  <c r="G162" i="23"/>
  <c r="J196" i="23"/>
  <c r="J191" i="2"/>
  <c r="J196" i="2" s="1"/>
  <c r="E196" i="23"/>
  <c r="G185" i="23"/>
  <c r="E219" i="23"/>
  <c r="G79" i="23"/>
  <c r="J172" i="23"/>
  <c r="K172" i="23"/>
  <c r="I151" i="23"/>
  <c r="E185" i="23"/>
  <c r="I219" i="22" l="1"/>
  <c r="H219" i="22"/>
  <c r="G219" i="22"/>
  <c r="F219" i="22"/>
  <c r="E219" i="22"/>
  <c r="D219" i="22"/>
  <c r="E213" i="22"/>
  <c r="D213" i="22"/>
  <c r="L209" i="22"/>
  <c r="K209" i="22"/>
  <c r="J209" i="22"/>
  <c r="I209" i="22"/>
  <c r="H209" i="22"/>
  <c r="G209" i="22"/>
  <c r="F209" i="22"/>
  <c r="E209" i="22"/>
  <c r="D209" i="22"/>
  <c r="L196" i="22"/>
  <c r="K196" i="22"/>
  <c r="J196" i="22"/>
  <c r="I196" i="22"/>
  <c r="H196" i="22"/>
  <c r="F196" i="22"/>
  <c r="E196" i="22"/>
  <c r="D196" i="22"/>
  <c r="G195" i="22"/>
  <c r="G194" i="22"/>
  <c r="G193" i="22"/>
  <c r="G192" i="22"/>
  <c r="G191" i="22"/>
  <c r="G190" i="22"/>
  <c r="G189" i="22"/>
  <c r="O185" i="22"/>
  <c r="N185" i="22"/>
  <c r="M185" i="22"/>
  <c r="L185" i="22"/>
  <c r="K185" i="22"/>
  <c r="J185" i="22"/>
  <c r="I185" i="22"/>
  <c r="H185" i="22"/>
  <c r="F185" i="22"/>
  <c r="E185" i="22"/>
  <c r="D185" i="22"/>
  <c r="G184" i="22"/>
  <c r="G183" i="22"/>
  <c r="G182" i="22"/>
  <c r="G181" i="22"/>
  <c r="G180" i="22"/>
  <c r="G179" i="22"/>
  <c r="G178" i="22"/>
  <c r="I172" i="22"/>
  <c r="H172" i="22"/>
  <c r="G172" i="22"/>
  <c r="F172" i="22"/>
  <c r="E172" i="22"/>
  <c r="D172" i="22"/>
  <c r="K171" i="22"/>
  <c r="J171" i="22"/>
  <c r="K170" i="22"/>
  <c r="J170" i="22"/>
  <c r="K169" i="22"/>
  <c r="J169" i="22"/>
  <c r="K168" i="22"/>
  <c r="J168" i="22"/>
  <c r="K167" i="22"/>
  <c r="J167" i="22"/>
  <c r="K166" i="22"/>
  <c r="K165" i="22"/>
  <c r="J165" i="22"/>
  <c r="J162" i="22"/>
  <c r="I162" i="22"/>
  <c r="H162" i="22"/>
  <c r="F162" i="22"/>
  <c r="E162" i="22"/>
  <c r="D162" i="22"/>
  <c r="G161" i="22"/>
  <c r="G160" i="22"/>
  <c r="G159" i="22"/>
  <c r="G158" i="22"/>
  <c r="G157" i="22"/>
  <c r="G156" i="22"/>
  <c r="G155" i="22"/>
  <c r="N151" i="22"/>
  <c r="M151" i="22"/>
  <c r="L151" i="22"/>
  <c r="K151" i="22"/>
  <c r="J151" i="22"/>
  <c r="H151" i="22"/>
  <c r="G151" i="22"/>
  <c r="F151" i="22"/>
  <c r="E151" i="22"/>
  <c r="D151" i="22"/>
  <c r="I150" i="22"/>
  <c r="I149" i="22"/>
  <c r="I148" i="22"/>
  <c r="I147" i="22"/>
  <c r="I146" i="22"/>
  <c r="I144" i="22"/>
  <c r="F137" i="22"/>
  <c r="E137" i="22"/>
  <c r="D137" i="22"/>
  <c r="G136" i="22"/>
  <c r="G135" i="22"/>
  <c r="G134" i="22"/>
  <c r="G133" i="22"/>
  <c r="G132" i="22"/>
  <c r="L127" i="22"/>
  <c r="K127" i="22"/>
  <c r="I127" i="22"/>
  <c r="H127" i="22"/>
  <c r="G127" i="22"/>
  <c r="F127" i="22"/>
  <c r="E127" i="22"/>
  <c r="D127" i="22"/>
  <c r="L116" i="22"/>
  <c r="K116" i="22"/>
  <c r="I116" i="22"/>
  <c r="H116" i="22"/>
  <c r="G116" i="22"/>
  <c r="F116" i="22"/>
  <c r="E116" i="22"/>
  <c r="D116" i="22"/>
  <c r="M105" i="22"/>
  <c r="L105" i="22"/>
  <c r="K105" i="22"/>
  <c r="J105" i="22"/>
  <c r="I105" i="22"/>
  <c r="H105" i="22"/>
  <c r="G105" i="22"/>
  <c r="F105" i="22"/>
  <c r="E105" i="22"/>
  <c r="D105" i="22"/>
  <c r="K92" i="22"/>
  <c r="J92" i="22"/>
  <c r="I92" i="22"/>
  <c r="H92" i="22"/>
  <c r="G92" i="22"/>
  <c r="F92" i="22"/>
  <c r="E92" i="22"/>
  <c r="D92" i="22"/>
  <c r="O79" i="22"/>
  <c r="N79" i="22"/>
  <c r="M79" i="22"/>
  <c r="L79" i="22"/>
  <c r="K79" i="22"/>
  <c r="J79" i="22"/>
  <c r="I79" i="22"/>
  <c r="F79" i="22"/>
  <c r="E79" i="22"/>
  <c r="D79" i="22"/>
  <c r="G78" i="22"/>
  <c r="G77" i="22"/>
  <c r="G76" i="22"/>
  <c r="G75" i="22"/>
  <c r="G74" i="22"/>
  <c r="G73" i="22"/>
  <c r="G72" i="22"/>
  <c r="L69" i="22"/>
  <c r="K69" i="22"/>
  <c r="I69" i="22"/>
  <c r="H69" i="22"/>
  <c r="G69" i="22"/>
  <c r="F69" i="22"/>
  <c r="E69" i="22"/>
  <c r="D69" i="22"/>
  <c r="K58" i="22"/>
  <c r="J58" i="22"/>
  <c r="I58" i="22"/>
  <c r="H58" i="22"/>
  <c r="G58" i="22"/>
  <c r="F58" i="22"/>
  <c r="E58" i="22"/>
  <c r="D58" i="22"/>
  <c r="E47" i="22"/>
  <c r="D47" i="22"/>
  <c r="F35" i="22"/>
  <c r="E35" i="22"/>
  <c r="D35" i="22"/>
  <c r="G34" i="22"/>
  <c r="G33" i="22"/>
  <c r="G32" i="22"/>
  <c r="G31" i="22"/>
  <c r="G30" i="22"/>
  <c r="G29" i="22"/>
  <c r="G28" i="22"/>
  <c r="O24" i="22"/>
  <c r="N24" i="22"/>
  <c r="M24" i="22"/>
  <c r="L24" i="22"/>
  <c r="K24" i="22"/>
  <c r="J24" i="22"/>
  <c r="I24" i="22"/>
  <c r="H24" i="22"/>
  <c r="F24" i="22"/>
  <c r="E24" i="22"/>
  <c r="D24" i="22"/>
  <c r="G23" i="22"/>
  <c r="G22" i="22"/>
  <c r="G21" i="22"/>
  <c r="G20" i="22"/>
  <c r="G19" i="22"/>
  <c r="G18" i="22"/>
  <c r="G17" i="22"/>
  <c r="G24" i="22" l="1"/>
  <c r="G196" i="22"/>
  <c r="G79" i="22"/>
  <c r="K172" i="22"/>
  <c r="I151" i="22"/>
  <c r="J172" i="22"/>
  <c r="G185" i="22"/>
  <c r="G137" i="22"/>
  <c r="G35" i="22"/>
  <c r="G162" i="22"/>
  <c r="I219" i="19"/>
  <c r="H219" i="19"/>
  <c r="G219" i="19"/>
  <c r="F219" i="19"/>
  <c r="E219" i="19"/>
  <c r="D219" i="19"/>
  <c r="L209" i="19"/>
  <c r="K209" i="19"/>
  <c r="J209" i="19"/>
  <c r="I209" i="19"/>
  <c r="H209" i="19"/>
  <c r="G209" i="19"/>
  <c r="F209" i="19"/>
  <c r="E209" i="19"/>
  <c r="D209" i="19"/>
  <c r="L196" i="19"/>
  <c r="K196" i="19"/>
  <c r="J196" i="19"/>
  <c r="I196" i="19"/>
  <c r="H196" i="19"/>
  <c r="F196" i="19"/>
  <c r="E196" i="19"/>
  <c r="D196" i="19"/>
  <c r="G195" i="19"/>
  <c r="G194" i="19"/>
  <c r="G193" i="19"/>
  <c r="G192" i="19"/>
  <c r="G191" i="19"/>
  <c r="G190" i="19"/>
  <c r="G189" i="19"/>
  <c r="O185" i="19"/>
  <c r="N185" i="19"/>
  <c r="M185" i="19"/>
  <c r="L185" i="19"/>
  <c r="K185" i="19"/>
  <c r="J185" i="19"/>
  <c r="I185" i="19"/>
  <c r="H185" i="19"/>
  <c r="F185" i="19"/>
  <c r="E185" i="19"/>
  <c r="D185" i="19"/>
  <c r="G184" i="19"/>
  <c r="G183" i="19"/>
  <c r="G182" i="19"/>
  <c r="G181" i="19"/>
  <c r="G180" i="19"/>
  <c r="G179" i="19"/>
  <c r="G178" i="19"/>
  <c r="I172" i="19"/>
  <c r="H172" i="19"/>
  <c r="G172" i="19"/>
  <c r="F172" i="19"/>
  <c r="E172" i="19"/>
  <c r="D172" i="19"/>
  <c r="K171" i="19"/>
  <c r="J171" i="19"/>
  <c r="K170" i="19"/>
  <c r="J170" i="19"/>
  <c r="K169" i="19"/>
  <c r="J169" i="19"/>
  <c r="K168" i="19"/>
  <c r="J168" i="19"/>
  <c r="K167" i="19"/>
  <c r="J167" i="19"/>
  <c r="K166" i="19"/>
  <c r="J166" i="19"/>
  <c r="J172" i="19" s="1"/>
  <c r="K165" i="19"/>
  <c r="J165" i="19"/>
  <c r="J162" i="19"/>
  <c r="I162" i="19"/>
  <c r="H162" i="19"/>
  <c r="F162" i="19"/>
  <c r="E162" i="19"/>
  <c r="D162" i="19"/>
  <c r="G161" i="19"/>
  <c r="G160" i="19"/>
  <c r="G159" i="19"/>
  <c r="G158" i="19"/>
  <c r="G157" i="19"/>
  <c r="G156" i="19"/>
  <c r="G155" i="19"/>
  <c r="N151" i="19"/>
  <c r="M151" i="19"/>
  <c r="L151" i="19"/>
  <c r="K151" i="19"/>
  <c r="J151" i="19"/>
  <c r="H151" i="19"/>
  <c r="G151" i="19"/>
  <c r="F151" i="19"/>
  <c r="E151" i="19"/>
  <c r="D151" i="19"/>
  <c r="I150" i="19"/>
  <c r="I149" i="19"/>
  <c r="I148" i="19"/>
  <c r="I147" i="19"/>
  <c r="I146" i="19"/>
  <c r="I145" i="19"/>
  <c r="I144" i="19"/>
  <c r="F137" i="19"/>
  <c r="E137" i="19"/>
  <c r="D137" i="19"/>
  <c r="G136" i="19"/>
  <c r="G135" i="19"/>
  <c r="G134" i="19"/>
  <c r="G133" i="19"/>
  <c r="G132" i="19"/>
  <c r="G131" i="19"/>
  <c r="L127" i="19"/>
  <c r="K127" i="19"/>
  <c r="I127" i="19"/>
  <c r="H127" i="19"/>
  <c r="G127" i="19"/>
  <c r="F127" i="19"/>
  <c r="E127" i="19"/>
  <c r="D127" i="19"/>
  <c r="L116" i="19"/>
  <c r="K116" i="19"/>
  <c r="I116" i="19"/>
  <c r="H116" i="19"/>
  <c r="G116" i="19"/>
  <c r="F116" i="19"/>
  <c r="E116" i="19"/>
  <c r="D116" i="19"/>
  <c r="M105" i="19"/>
  <c r="L105" i="19"/>
  <c r="K105" i="19"/>
  <c r="J105" i="19"/>
  <c r="I105" i="19"/>
  <c r="H105" i="19"/>
  <c r="G105" i="19"/>
  <c r="F105" i="19"/>
  <c r="E105" i="19"/>
  <c r="D105" i="19"/>
  <c r="K92" i="19"/>
  <c r="J92" i="19"/>
  <c r="I92" i="19"/>
  <c r="H92" i="19"/>
  <c r="G92" i="19"/>
  <c r="F92" i="19"/>
  <c r="E92" i="19"/>
  <c r="D92" i="19"/>
  <c r="O79" i="19"/>
  <c r="N79" i="19"/>
  <c r="M79" i="19"/>
  <c r="L79" i="19"/>
  <c r="K79" i="19"/>
  <c r="J79" i="19"/>
  <c r="I79" i="19"/>
  <c r="F79" i="19"/>
  <c r="E79" i="19"/>
  <c r="D79" i="19"/>
  <c r="G78" i="19"/>
  <c r="G77" i="19"/>
  <c r="G76" i="19"/>
  <c r="G75" i="19"/>
  <c r="G74" i="19"/>
  <c r="G73" i="19"/>
  <c r="G72" i="19"/>
  <c r="G79" i="19" s="1"/>
  <c r="L69" i="19"/>
  <c r="K69" i="19"/>
  <c r="I69" i="19"/>
  <c r="H69" i="19"/>
  <c r="G69" i="19"/>
  <c r="F69" i="19"/>
  <c r="E69" i="19"/>
  <c r="D69" i="19"/>
  <c r="K58" i="19"/>
  <c r="J58" i="19"/>
  <c r="I58" i="19"/>
  <c r="H58" i="19"/>
  <c r="G58" i="19"/>
  <c r="F58" i="19"/>
  <c r="E58" i="19"/>
  <c r="D58" i="19"/>
  <c r="E47" i="19"/>
  <c r="D47" i="19"/>
  <c r="F35" i="19"/>
  <c r="E35" i="19"/>
  <c r="D35" i="19"/>
  <c r="G34" i="19"/>
  <c r="G33" i="19"/>
  <c r="G32" i="19"/>
  <c r="G31" i="19"/>
  <c r="G30" i="19"/>
  <c r="G29" i="19"/>
  <c r="G28" i="19"/>
  <c r="O24" i="19"/>
  <c r="N24" i="19"/>
  <c r="M24" i="19"/>
  <c r="L24" i="19"/>
  <c r="K24" i="19"/>
  <c r="J24" i="19"/>
  <c r="H24" i="19"/>
  <c r="F24" i="19"/>
  <c r="D24" i="19"/>
  <c r="G23" i="19"/>
  <c r="G22" i="19"/>
  <c r="G21" i="19"/>
  <c r="G20" i="19"/>
  <c r="G19" i="19"/>
  <c r="G18" i="19"/>
  <c r="G17" i="19"/>
  <c r="G162" i="19" l="1"/>
  <c r="K172" i="19"/>
  <c r="G196" i="19"/>
  <c r="I151" i="19"/>
  <c r="G185" i="19"/>
  <c r="G24" i="19"/>
  <c r="G35" i="19"/>
  <c r="G137" i="19"/>
  <c r="I219" i="20"/>
  <c r="H219" i="20"/>
  <c r="G219" i="20"/>
  <c r="F219" i="20"/>
  <c r="E219" i="20"/>
  <c r="D219" i="20"/>
  <c r="L209" i="20"/>
  <c r="I209" i="20"/>
  <c r="H209" i="20"/>
  <c r="E209" i="20"/>
  <c r="D209" i="20"/>
  <c r="L196" i="20"/>
  <c r="K196" i="20"/>
  <c r="J196" i="20"/>
  <c r="I196" i="20"/>
  <c r="H196" i="20"/>
  <c r="F196" i="20"/>
  <c r="E196" i="20"/>
  <c r="D196" i="20"/>
  <c r="G195" i="20"/>
  <c r="G194" i="20"/>
  <c r="G193" i="20"/>
  <c r="G192" i="20"/>
  <c r="G191" i="20"/>
  <c r="G190" i="20"/>
  <c r="G189" i="20"/>
  <c r="O185" i="20"/>
  <c r="N185" i="20"/>
  <c r="M185" i="20"/>
  <c r="L185" i="20"/>
  <c r="K185" i="20"/>
  <c r="J185" i="20"/>
  <c r="I185" i="20"/>
  <c r="H185" i="20"/>
  <c r="F185" i="20"/>
  <c r="E185" i="20"/>
  <c r="D185" i="20"/>
  <c r="G184" i="20"/>
  <c r="G183" i="20"/>
  <c r="G182" i="20"/>
  <c r="G181" i="20"/>
  <c r="G180" i="20"/>
  <c r="G179" i="20"/>
  <c r="G178" i="20"/>
  <c r="G185" i="20" s="1"/>
  <c r="J162" i="20"/>
  <c r="I162" i="20"/>
  <c r="H162" i="20"/>
  <c r="F162" i="20"/>
  <c r="E162" i="20"/>
  <c r="D162" i="20"/>
  <c r="G161" i="20"/>
  <c r="G160" i="20"/>
  <c r="G159" i="20"/>
  <c r="G158" i="20"/>
  <c r="G157" i="20"/>
  <c r="G156" i="20"/>
  <c r="G155" i="20"/>
  <c r="N151" i="20"/>
  <c r="M151" i="20"/>
  <c r="L151" i="20"/>
  <c r="K151" i="20"/>
  <c r="J151" i="20"/>
  <c r="H151" i="20"/>
  <c r="G151" i="20"/>
  <c r="F151" i="20"/>
  <c r="E151" i="20"/>
  <c r="D151" i="20"/>
  <c r="I150" i="20"/>
  <c r="I149" i="20"/>
  <c r="I148" i="20"/>
  <c r="I147" i="20"/>
  <c r="I146" i="20"/>
  <c r="I145" i="20"/>
  <c r="I144" i="20"/>
  <c r="F137" i="20"/>
  <c r="E137" i="20"/>
  <c r="D137" i="20"/>
  <c r="G136" i="20"/>
  <c r="G135" i="20"/>
  <c r="G134" i="20"/>
  <c r="G133" i="20"/>
  <c r="G132" i="20"/>
  <c r="G131" i="20"/>
  <c r="G137" i="20" s="1"/>
  <c r="L127" i="20"/>
  <c r="K127" i="20"/>
  <c r="I127" i="20"/>
  <c r="H127" i="20"/>
  <c r="G127" i="20"/>
  <c r="F127" i="20"/>
  <c r="E127" i="20"/>
  <c r="D127" i="20"/>
  <c r="L116" i="20"/>
  <c r="K116" i="20"/>
  <c r="I116" i="20"/>
  <c r="H116" i="20"/>
  <c r="G116" i="20"/>
  <c r="F116" i="20"/>
  <c r="E116" i="20"/>
  <c r="D116" i="20"/>
  <c r="M105" i="20"/>
  <c r="L105" i="20"/>
  <c r="K105" i="20"/>
  <c r="J105" i="20"/>
  <c r="I105" i="20"/>
  <c r="H105" i="20"/>
  <c r="G105" i="20"/>
  <c r="F105" i="20"/>
  <c r="E105" i="20"/>
  <c r="D105" i="20"/>
  <c r="K92" i="20"/>
  <c r="J92" i="20"/>
  <c r="I92" i="20"/>
  <c r="H92" i="20"/>
  <c r="G92" i="20"/>
  <c r="F92" i="20"/>
  <c r="E92" i="20"/>
  <c r="D92" i="20"/>
  <c r="O79" i="20"/>
  <c r="N79" i="20"/>
  <c r="M79" i="20"/>
  <c r="L79" i="20"/>
  <c r="K79" i="20"/>
  <c r="J79" i="20"/>
  <c r="I79" i="20"/>
  <c r="F79" i="20"/>
  <c r="E79" i="20"/>
  <c r="D79" i="20"/>
  <c r="G74" i="20"/>
  <c r="G73" i="20"/>
  <c r="G79" i="20" s="1"/>
  <c r="L69" i="20"/>
  <c r="K69" i="20"/>
  <c r="I69" i="20"/>
  <c r="H69" i="20"/>
  <c r="G69" i="20"/>
  <c r="F69" i="20"/>
  <c r="E69" i="20"/>
  <c r="D69" i="20"/>
  <c r="K58" i="20"/>
  <c r="J58" i="20"/>
  <c r="I58" i="20"/>
  <c r="H58" i="20"/>
  <c r="G58" i="20"/>
  <c r="F58" i="20"/>
  <c r="E58" i="20"/>
  <c r="D58" i="20"/>
  <c r="E47" i="20"/>
  <c r="D47" i="20"/>
  <c r="F35" i="20"/>
  <c r="E35" i="20"/>
  <c r="D35" i="20"/>
  <c r="G35" i="20" s="1"/>
  <c r="G34" i="20"/>
  <c r="G33" i="20"/>
  <c r="G32" i="20"/>
  <c r="G31" i="20"/>
  <c r="G30" i="20"/>
  <c r="G29" i="20"/>
  <c r="G28" i="20"/>
  <c r="O24" i="20"/>
  <c r="N24" i="20"/>
  <c r="M24" i="20"/>
  <c r="L24" i="20"/>
  <c r="K24" i="20"/>
  <c r="J24" i="20"/>
  <c r="I24" i="20"/>
  <c r="H24" i="20"/>
  <c r="F24" i="20"/>
  <c r="E24" i="20"/>
  <c r="D24" i="20"/>
  <c r="G23" i="20"/>
  <c r="G22" i="20"/>
  <c r="G21" i="20"/>
  <c r="G20" i="20"/>
  <c r="G19" i="20"/>
  <c r="G18" i="20"/>
  <c r="G17" i="20"/>
  <c r="G24" i="20" l="1"/>
  <c r="G162" i="20"/>
  <c r="I151" i="20"/>
  <c r="G196" i="20"/>
  <c r="I219" i="18"/>
  <c r="H219" i="18"/>
  <c r="G219" i="18"/>
  <c r="F219" i="18"/>
  <c r="E219" i="18"/>
  <c r="D219" i="18"/>
  <c r="L209" i="18"/>
  <c r="K209" i="18"/>
  <c r="J209" i="18"/>
  <c r="I209" i="18"/>
  <c r="H209" i="18"/>
  <c r="G209" i="18"/>
  <c r="F209" i="18"/>
  <c r="E209" i="18"/>
  <c r="D209" i="18"/>
  <c r="L196" i="18"/>
  <c r="K196" i="18"/>
  <c r="J196" i="18"/>
  <c r="I196" i="18"/>
  <c r="H196" i="18"/>
  <c r="F196" i="18"/>
  <c r="E196" i="18"/>
  <c r="D196" i="18"/>
  <c r="G195" i="18"/>
  <c r="G194" i="18"/>
  <c r="G193" i="18"/>
  <c r="G192" i="18"/>
  <c r="M191" i="18"/>
  <c r="G191" i="18"/>
  <c r="M190" i="18"/>
  <c r="G190" i="18"/>
  <c r="G189" i="18"/>
  <c r="O185" i="18"/>
  <c r="N185" i="18"/>
  <c r="M185" i="18"/>
  <c r="L185" i="18"/>
  <c r="K185" i="18"/>
  <c r="J185" i="18"/>
  <c r="I185" i="18"/>
  <c r="H185" i="18"/>
  <c r="F185" i="18"/>
  <c r="E185" i="18"/>
  <c r="D185" i="18"/>
  <c r="G184" i="18"/>
  <c r="G183" i="18"/>
  <c r="G182" i="18"/>
  <c r="G181" i="18"/>
  <c r="G180" i="18"/>
  <c r="G179" i="18"/>
  <c r="G178" i="18"/>
  <c r="G185" i="18" s="1"/>
  <c r="I172" i="18"/>
  <c r="H172" i="18"/>
  <c r="G172" i="18"/>
  <c r="F172" i="18"/>
  <c r="E172" i="18"/>
  <c r="D172" i="18"/>
  <c r="K171" i="18"/>
  <c r="J171" i="18"/>
  <c r="K170" i="18"/>
  <c r="J170" i="18"/>
  <c r="K169" i="18"/>
  <c r="J169" i="18"/>
  <c r="K168" i="18"/>
  <c r="J168" i="18"/>
  <c r="K167" i="18"/>
  <c r="J167" i="18"/>
  <c r="K166" i="18"/>
  <c r="J166" i="18"/>
  <c r="K165" i="18"/>
  <c r="J165" i="18"/>
  <c r="J172" i="18" s="1"/>
  <c r="J162" i="18"/>
  <c r="I162" i="18"/>
  <c r="H162" i="18"/>
  <c r="F162" i="18"/>
  <c r="E162" i="18"/>
  <c r="D162" i="18"/>
  <c r="G161" i="18"/>
  <c r="G160" i="18"/>
  <c r="G159" i="18"/>
  <c r="G158" i="18"/>
  <c r="G157" i="18"/>
  <c r="G156" i="18"/>
  <c r="G155" i="18"/>
  <c r="N151" i="18"/>
  <c r="M151" i="18"/>
  <c r="L151" i="18"/>
  <c r="K151" i="18"/>
  <c r="J151" i="18"/>
  <c r="H151" i="18"/>
  <c r="G151" i="18"/>
  <c r="F151" i="18"/>
  <c r="E151" i="18"/>
  <c r="D151" i="18"/>
  <c r="I150" i="18"/>
  <c r="I149" i="18"/>
  <c r="I148" i="18"/>
  <c r="I147" i="18"/>
  <c r="I146" i="18"/>
  <c r="I145" i="18"/>
  <c r="I144" i="18"/>
  <c r="F137" i="18"/>
  <c r="E137" i="18"/>
  <c r="D137" i="18"/>
  <c r="G136" i="18"/>
  <c r="G135" i="18"/>
  <c r="G134" i="18"/>
  <c r="G133" i="18"/>
  <c r="G132" i="18"/>
  <c r="G131" i="18"/>
  <c r="L127" i="18"/>
  <c r="K127" i="18"/>
  <c r="I127" i="18"/>
  <c r="H127" i="18"/>
  <c r="G127" i="18"/>
  <c r="F127" i="18"/>
  <c r="E127" i="18"/>
  <c r="D127" i="18"/>
  <c r="L116" i="18"/>
  <c r="K116" i="18"/>
  <c r="I116" i="18"/>
  <c r="H116" i="18"/>
  <c r="G116" i="18"/>
  <c r="F116" i="18"/>
  <c r="E116" i="18"/>
  <c r="D116" i="18"/>
  <c r="M105" i="18"/>
  <c r="L105" i="18"/>
  <c r="K105" i="18"/>
  <c r="J105" i="18"/>
  <c r="I105" i="18"/>
  <c r="H105" i="18"/>
  <c r="G105" i="18"/>
  <c r="F105" i="18"/>
  <c r="E105" i="18"/>
  <c r="D105" i="18"/>
  <c r="K92" i="18"/>
  <c r="J92" i="18"/>
  <c r="I92" i="18"/>
  <c r="H92" i="18"/>
  <c r="G92" i="18"/>
  <c r="F92" i="18"/>
  <c r="E92" i="18"/>
  <c r="D92" i="18"/>
  <c r="O79" i="18"/>
  <c r="N79" i="18"/>
  <c r="M79" i="18"/>
  <c r="L79" i="18"/>
  <c r="K79" i="18"/>
  <c r="J79" i="18"/>
  <c r="I79" i="18"/>
  <c r="F79" i="18"/>
  <c r="E79" i="18"/>
  <c r="D79" i="18"/>
  <c r="G78" i="18"/>
  <c r="G77" i="18"/>
  <c r="G76" i="18"/>
  <c r="G75" i="18"/>
  <c r="G74" i="18"/>
  <c r="G73" i="18"/>
  <c r="G72" i="18"/>
  <c r="L69" i="18"/>
  <c r="K69" i="18"/>
  <c r="I69" i="18"/>
  <c r="H69" i="18"/>
  <c r="G69" i="18"/>
  <c r="F69" i="18"/>
  <c r="E69" i="18"/>
  <c r="D69" i="18"/>
  <c r="K58" i="18"/>
  <c r="J58" i="18"/>
  <c r="I58" i="18"/>
  <c r="H58" i="18"/>
  <c r="G58" i="18"/>
  <c r="F58" i="18"/>
  <c r="E58" i="18"/>
  <c r="D58" i="18"/>
  <c r="E47" i="18"/>
  <c r="D47" i="18"/>
  <c r="F35" i="18"/>
  <c r="G35" i="18" s="1"/>
  <c r="E35" i="18"/>
  <c r="D35" i="18"/>
  <c r="G34" i="18"/>
  <c r="G33" i="18"/>
  <c r="G32" i="18"/>
  <c r="G31" i="18"/>
  <c r="G30" i="18"/>
  <c r="G29" i="18"/>
  <c r="G28" i="18"/>
  <c r="O24" i="18"/>
  <c r="N24" i="18"/>
  <c r="M24" i="18"/>
  <c r="L24" i="18"/>
  <c r="K24" i="18"/>
  <c r="J24" i="18"/>
  <c r="I24" i="18"/>
  <c r="H24" i="18"/>
  <c r="F24" i="18"/>
  <c r="E24" i="18"/>
  <c r="D24" i="18"/>
  <c r="G23" i="18"/>
  <c r="G22" i="18"/>
  <c r="G21" i="18"/>
  <c r="G20" i="18"/>
  <c r="G19" i="18"/>
  <c r="G18" i="18"/>
  <c r="G17" i="18"/>
  <c r="G137" i="18" l="1"/>
  <c r="K172" i="18"/>
  <c r="G79" i="18"/>
  <c r="I151" i="18"/>
  <c r="G24" i="18"/>
  <c r="G162" i="18"/>
  <c r="G196" i="18"/>
  <c r="I219" i="17"/>
  <c r="H219" i="17"/>
  <c r="G219" i="17"/>
  <c r="F219" i="17"/>
  <c r="E219" i="17"/>
  <c r="D219" i="17"/>
  <c r="E213" i="17"/>
  <c r="D213" i="17"/>
  <c r="L209" i="17"/>
  <c r="K209" i="17"/>
  <c r="J209" i="17"/>
  <c r="I209" i="17"/>
  <c r="H209" i="17"/>
  <c r="G209" i="17"/>
  <c r="F209" i="17"/>
  <c r="E209" i="17"/>
  <c r="D209" i="17"/>
  <c r="K196" i="17"/>
  <c r="J196" i="17"/>
  <c r="I196" i="17"/>
  <c r="H196" i="17"/>
  <c r="F196" i="17"/>
  <c r="E196" i="17"/>
  <c r="D196" i="17"/>
  <c r="G195" i="17"/>
  <c r="G194" i="17"/>
  <c r="G193" i="17"/>
  <c r="G192" i="17"/>
  <c r="G191" i="17"/>
  <c r="L191" i="17" s="1"/>
  <c r="G190" i="17"/>
  <c r="L190" i="17" s="1"/>
  <c r="G189" i="17"/>
  <c r="O185" i="17"/>
  <c r="N185" i="17"/>
  <c r="M185" i="17"/>
  <c r="L185" i="17"/>
  <c r="K185" i="17"/>
  <c r="J185" i="17"/>
  <c r="I185" i="17"/>
  <c r="H185" i="17"/>
  <c r="F185" i="17"/>
  <c r="E185" i="17"/>
  <c r="D185" i="17"/>
  <c r="G184" i="17"/>
  <c r="G183" i="17"/>
  <c r="G182" i="17"/>
  <c r="G181" i="17"/>
  <c r="G180" i="17"/>
  <c r="G179" i="17"/>
  <c r="G178" i="17"/>
  <c r="I172" i="17"/>
  <c r="H172" i="17"/>
  <c r="G172" i="17"/>
  <c r="F172" i="17"/>
  <c r="E172" i="17"/>
  <c r="D172" i="17"/>
  <c r="K171" i="17"/>
  <c r="J171" i="17"/>
  <c r="K170" i="17"/>
  <c r="J170" i="17"/>
  <c r="K169" i="17"/>
  <c r="J169" i="17"/>
  <c r="K168" i="17"/>
  <c r="J168" i="17"/>
  <c r="K167" i="17"/>
  <c r="J167" i="17"/>
  <c r="K166" i="17"/>
  <c r="J166" i="17"/>
  <c r="K165" i="17"/>
  <c r="K172" i="17" s="1"/>
  <c r="J165" i="17"/>
  <c r="J172" i="17" s="1"/>
  <c r="J162" i="17"/>
  <c r="I162" i="17"/>
  <c r="H162" i="17"/>
  <c r="F162" i="17"/>
  <c r="E162" i="17"/>
  <c r="D162" i="17"/>
  <c r="G161" i="17"/>
  <c r="G160" i="17"/>
  <c r="G159" i="17"/>
  <c r="G158" i="17"/>
  <c r="G157" i="17"/>
  <c r="G156" i="17"/>
  <c r="G155" i="17"/>
  <c r="N151" i="17"/>
  <c r="M151" i="17"/>
  <c r="L151" i="17"/>
  <c r="K151" i="17"/>
  <c r="J151" i="17"/>
  <c r="H151" i="17"/>
  <c r="G151" i="17"/>
  <c r="F151" i="17"/>
  <c r="E151" i="17"/>
  <c r="D151" i="17"/>
  <c r="I150" i="17"/>
  <c r="I149" i="17"/>
  <c r="I148" i="17"/>
  <c r="I147" i="17"/>
  <c r="I146" i="17"/>
  <c r="I145" i="17"/>
  <c r="I144" i="17"/>
  <c r="F137" i="17"/>
  <c r="E137" i="17"/>
  <c r="D137" i="17"/>
  <c r="G136" i="17"/>
  <c r="G135" i="17"/>
  <c r="G134" i="17"/>
  <c r="G133" i="17"/>
  <c r="G132" i="17"/>
  <c r="G131" i="17"/>
  <c r="G137" i="17" s="1"/>
  <c r="L127" i="17"/>
  <c r="K127" i="17"/>
  <c r="I127" i="17"/>
  <c r="H127" i="17"/>
  <c r="G127" i="17"/>
  <c r="F127" i="17"/>
  <c r="E127" i="17"/>
  <c r="D127" i="17"/>
  <c r="L116" i="17"/>
  <c r="K116" i="17"/>
  <c r="I116" i="17"/>
  <c r="H116" i="17"/>
  <c r="G116" i="17"/>
  <c r="F116" i="17"/>
  <c r="E116" i="17"/>
  <c r="D116" i="17"/>
  <c r="M105" i="17"/>
  <c r="L105" i="17"/>
  <c r="K105" i="17"/>
  <c r="J105" i="17"/>
  <c r="I105" i="17"/>
  <c r="H105" i="17"/>
  <c r="G105" i="17"/>
  <c r="F105" i="17"/>
  <c r="E105" i="17"/>
  <c r="D105" i="17"/>
  <c r="K92" i="17"/>
  <c r="J92" i="17"/>
  <c r="I92" i="17"/>
  <c r="H92" i="17"/>
  <c r="G92" i="17"/>
  <c r="F92" i="17"/>
  <c r="E92" i="17"/>
  <c r="D92" i="17"/>
  <c r="O79" i="17"/>
  <c r="N79" i="17"/>
  <c r="M79" i="17"/>
  <c r="L79" i="17"/>
  <c r="K79" i="17"/>
  <c r="J79" i="17"/>
  <c r="I79" i="17"/>
  <c r="F79" i="17"/>
  <c r="E79" i="17"/>
  <c r="D79" i="17"/>
  <c r="G78" i="17"/>
  <c r="G77" i="17"/>
  <c r="G76" i="17"/>
  <c r="G75" i="17"/>
  <c r="G74" i="17"/>
  <c r="G73" i="17"/>
  <c r="G72" i="17"/>
  <c r="L69" i="17"/>
  <c r="K69" i="17"/>
  <c r="I69" i="17"/>
  <c r="H69" i="17"/>
  <c r="G69" i="17"/>
  <c r="F69" i="17"/>
  <c r="E69" i="17"/>
  <c r="D69" i="17"/>
  <c r="K58" i="17"/>
  <c r="J58" i="17"/>
  <c r="I58" i="17"/>
  <c r="H58" i="17"/>
  <c r="G58" i="17"/>
  <c r="F58" i="17"/>
  <c r="E58" i="17"/>
  <c r="D58" i="17"/>
  <c r="E47" i="17"/>
  <c r="D47" i="17"/>
  <c r="F35" i="17"/>
  <c r="E35" i="17"/>
  <c r="D35" i="17"/>
  <c r="G35" i="17" s="1"/>
  <c r="G34" i="17"/>
  <c r="G33" i="17"/>
  <c r="G32" i="17"/>
  <c r="G31" i="17"/>
  <c r="G30" i="17"/>
  <c r="G29" i="17"/>
  <c r="G28" i="17"/>
  <c r="O24" i="17"/>
  <c r="N24" i="17"/>
  <c r="M24" i="17"/>
  <c r="L24" i="17"/>
  <c r="K24" i="17"/>
  <c r="J24" i="17"/>
  <c r="I24" i="17"/>
  <c r="H24" i="17"/>
  <c r="F24" i="17"/>
  <c r="G24" i="17" s="1"/>
  <c r="E24" i="17"/>
  <c r="D24" i="17"/>
  <c r="G23" i="17"/>
  <c r="G22" i="17"/>
  <c r="G21" i="17"/>
  <c r="G20" i="17"/>
  <c r="G19" i="17"/>
  <c r="G18" i="17"/>
  <c r="G17" i="17"/>
  <c r="L196" i="17" l="1"/>
  <c r="L190" i="2"/>
  <c r="I151" i="17"/>
  <c r="G185" i="17"/>
  <c r="G196" i="17"/>
  <c r="G79" i="17"/>
  <c r="G162" i="17"/>
  <c r="I219" i="16"/>
  <c r="H219" i="16"/>
  <c r="G219" i="16"/>
  <c r="F219" i="16"/>
  <c r="E219" i="16"/>
  <c r="D219" i="16"/>
  <c r="E213" i="16"/>
  <c r="D213" i="16"/>
  <c r="L209" i="16"/>
  <c r="K209" i="16"/>
  <c r="J209" i="16"/>
  <c r="I209" i="16"/>
  <c r="H209" i="16"/>
  <c r="G209" i="16"/>
  <c r="F209" i="16"/>
  <c r="E209" i="16"/>
  <c r="D209" i="16"/>
  <c r="L196" i="16"/>
  <c r="K196" i="16"/>
  <c r="J196" i="16"/>
  <c r="I196" i="16"/>
  <c r="H196" i="16"/>
  <c r="F196" i="16"/>
  <c r="E196" i="16"/>
  <c r="D196" i="16"/>
  <c r="G195" i="16"/>
  <c r="G194" i="16"/>
  <c r="G193" i="16"/>
  <c r="G192" i="16"/>
  <c r="G191" i="16"/>
  <c r="G190" i="16"/>
  <c r="G189" i="16"/>
  <c r="O185" i="16"/>
  <c r="N185" i="16"/>
  <c r="M185" i="16"/>
  <c r="L185" i="16"/>
  <c r="K185" i="16"/>
  <c r="J185" i="16"/>
  <c r="I185" i="16"/>
  <c r="H185" i="16"/>
  <c r="F185" i="16"/>
  <c r="E185" i="16"/>
  <c r="D185" i="16"/>
  <c r="G184" i="16"/>
  <c r="G183" i="16"/>
  <c r="G182" i="16"/>
  <c r="G181" i="16"/>
  <c r="G180" i="16"/>
  <c r="G179" i="16"/>
  <c r="G178" i="16"/>
  <c r="I172" i="16"/>
  <c r="H172" i="16"/>
  <c r="G172" i="16"/>
  <c r="F172" i="16"/>
  <c r="E172" i="16"/>
  <c r="D172" i="16"/>
  <c r="K171" i="16"/>
  <c r="J171" i="16"/>
  <c r="K170" i="16"/>
  <c r="J170" i="16"/>
  <c r="K169" i="16"/>
  <c r="J169" i="16"/>
  <c r="K168" i="16"/>
  <c r="J168" i="16"/>
  <c r="K167" i="16"/>
  <c r="J167" i="16"/>
  <c r="K166" i="16"/>
  <c r="J166" i="16"/>
  <c r="K165" i="16"/>
  <c r="J165" i="16"/>
  <c r="J172" i="16" s="1"/>
  <c r="J162" i="16"/>
  <c r="I162" i="16"/>
  <c r="H162" i="16"/>
  <c r="F162" i="16"/>
  <c r="E162" i="16"/>
  <c r="D162" i="16"/>
  <c r="G161" i="16"/>
  <c r="G160" i="16"/>
  <c r="G159" i="16"/>
  <c r="G158" i="16"/>
  <c r="G157" i="16"/>
  <c r="G156" i="16"/>
  <c r="G155" i="16"/>
  <c r="N151" i="16"/>
  <c r="M151" i="16"/>
  <c r="L151" i="16"/>
  <c r="K151" i="16"/>
  <c r="J151" i="16"/>
  <c r="H151" i="16"/>
  <c r="G151" i="16"/>
  <c r="F151" i="16"/>
  <c r="E151" i="16"/>
  <c r="D151" i="16"/>
  <c r="I150" i="16"/>
  <c r="I149" i="16"/>
  <c r="I148" i="16"/>
  <c r="I147" i="16"/>
  <c r="I146" i="16"/>
  <c r="I145" i="16"/>
  <c r="I144" i="16"/>
  <c r="F137" i="16"/>
  <c r="E137" i="16"/>
  <c r="D137" i="16"/>
  <c r="G136" i="16"/>
  <c r="G135" i="16"/>
  <c r="G134" i="16"/>
  <c r="G133" i="16"/>
  <c r="G132" i="16"/>
  <c r="G131" i="16"/>
  <c r="G137" i="16" s="1"/>
  <c r="L127" i="16"/>
  <c r="K127" i="16"/>
  <c r="I127" i="16"/>
  <c r="H127" i="16"/>
  <c r="G127" i="16"/>
  <c r="F127" i="16"/>
  <c r="E127" i="16"/>
  <c r="D127" i="16"/>
  <c r="L116" i="16"/>
  <c r="K116" i="16"/>
  <c r="I116" i="16"/>
  <c r="H116" i="16"/>
  <c r="G116" i="16"/>
  <c r="F116" i="16"/>
  <c r="E116" i="16"/>
  <c r="D116" i="16"/>
  <c r="M105" i="16"/>
  <c r="L105" i="16"/>
  <c r="K105" i="16"/>
  <c r="J105" i="16"/>
  <c r="I105" i="16"/>
  <c r="H105" i="16"/>
  <c r="G105" i="16"/>
  <c r="F105" i="16"/>
  <c r="E105" i="16"/>
  <c r="D105" i="16"/>
  <c r="K92" i="16"/>
  <c r="J92" i="16"/>
  <c r="I92" i="16"/>
  <c r="H92" i="16"/>
  <c r="G92" i="16"/>
  <c r="F92" i="16"/>
  <c r="E92" i="16"/>
  <c r="D92" i="16"/>
  <c r="O79" i="16"/>
  <c r="N79" i="16"/>
  <c r="M79" i="16"/>
  <c r="L79" i="16"/>
  <c r="K79" i="16"/>
  <c r="J79" i="16"/>
  <c r="I79" i="16"/>
  <c r="F79" i="16"/>
  <c r="E79" i="16"/>
  <c r="D79" i="16"/>
  <c r="G78" i="16"/>
  <c r="G77" i="16"/>
  <c r="G76" i="16"/>
  <c r="G75" i="16"/>
  <c r="G74" i="16"/>
  <c r="G73" i="16"/>
  <c r="G72" i="16"/>
  <c r="L69" i="16"/>
  <c r="K69" i="16"/>
  <c r="I69" i="16"/>
  <c r="H69" i="16"/>
  <c r="G69" i="16"/>
  <c r="F69" i="16"/>
  <c r="E69" i="16"/>
  <c r="D69" i="16"/>
  <c r="K58" i="16"/>
  <c r="J58" i="16"/>
  <c r="I58" i="16"/>
  <c r="H58" i="16"/>
  <c r="G58" i="16"/>
  <c r="F58" i="16"/>
  <c r="E58" i="16"/>
  <c r="D58" i="16"/>
  <c r="E47" i="16"/>
  <c r="D47" i="16"/>
  <c r="F35" i="16"/>
  <c r="E35" i="16"/>
  <c r="D35" i="16"/>
  <c r="G34" i="16"/>
  <c r="G33" i="16"/>
  <c r="G32" i="16"/>
  <c r="G31" i="16"/>
  <c r="G30" i="16"/>
  <c r="G29" i="16"/>
  <c r="G28" i="16"/>
  <c r="O24" i="16"/>
  <c r="N24" i="16"/>
  <c r="M24" i="16"/>
  <c r="L24" i="16"/>
  <c r="K24" i="16"/>
  <c r="J24" i="16"/>
  <c r="I24" i="16"/>
  <c r="H24" i="16"/>
  <c r="F24" i="16"/>
  <c r="E24" i="16"/>
  <c r="D24" i="16"/>
  <c r="G23" i="16"/>
  <c r="G22" i="16"/>
  <c r="G21" i="16"/>
  <c r="G20" i="16"/>
  <c r="G19" i="16"/>
  <c r="G18" i="16"/>
  <c r="G17" i="16"/>
  <c r="G35" i="16" l="1"/>
  <c r="G79" i="16"/>
  <c r="I151" i="16"/>
  <c r="G185" i="16"/>
  <c r="G196" i="16"/>
  <c r="K172" i="16"/>
  <c r="G24" i="16"/>
  <c r="G162" i="16"/>
  <c r="I219" i="15"/>
  <c r="H219" i="15"/>
  <c r="G219" i="15"/>
  <c r="F219" i="15"/>
  <c r="E219" i="15"/>
  <c r="D219" i="15"/>
  <c r="L209" i="15"/>
  <c r="K209" i="15"/>
  <c r="J209" i="15"/>
  <c r="I209" i="15"/>
  <c r="H209" i="15"/>
  <c r="G209" i="15"/>
  <c r="F209" i="15"/>
  <c r="E209" i="15"/>
  <c r="D209" i="15"/>
  <c r="L196" i="15"/>
  <c r="K196" i="15"/>
  <c r="J196" i="15"/>
  <c r="I196" i="15"/>
  <c r="H196" i="15"/>
  <c r="F196" i="15"/>
  <c r="E196" i="15"/>
  <c r="D196" i="15"/>
  <c r="G195" i="15"/>
  <c r="G194" i="15"/>
  <c r="G193" i="15"/>
  <c r="G192" i="15"/>
  <c r="G191" i="15"/>
  <c r="G190" i="15"/>
  <c r="G189" i="15"/>
  <c r="O185" i="15"/>
  <c r="N185" i="15"/>
  <c r="M185" i="15"/>
  <c r="L185" i="15"/>
  <c r="K185" i="15"/>
  <c r="J185" i="15"/>
  <c r="I185" i="15"/>
  <c r="H185" i="15"/>
  <c r="F185" i="15"/>
  <c r="E185" i="15"/>
  <c r="D185" i="15"/>
  <c r="G184" i="15"/>
  <c r="G183" i="15"/>
  <c r="G182" i="15"/>
  <c r="G181" i="15"/>
  <c r="G180" i="15"/>
  <c r="G179" i="15"/>
  <c r="G178" i="15"/>
  <c r="I172" i="15"/>
  <c r="H172" i="15"/>
  <c r="G172" i="15"/>
  <c r="F172" i="15"/>
  <c r="E172" i="15"/>
  <c r="D172" i="15"/>
  <c r="K171" i="15"/>
  <c r="J171" i="15"/>
  <c r="K170" i="15"/>
  <c r="J170" i="15"/>
  <c r="K169" i="15"/>
  <c r="J169" i="15"/>
  <c r="K168" i="15"/>
  <c r="J168" i="15"/>
  <c r="K167" i="15"/>
  <c r="J167" i="15"/>
  <c r="K166" i="15"/>
  <c r="J166" i="15"/>
  <c r="K165" i="15"/>
  <c r="J165" i="15"/>
  <c r="J162" i="15"/>
  <c r="I162" i="15"/>
  <c r="H162" i="15"/>
  <c r="F162" i="15"/>
  <c r="E162" i="15"/>
  <c r="D162" i="15"/>
  <c r="G161" i="15"/>
  <c r="G160" i="15"/>
  <c r="G159" i="15"/>
  <c r="G158" i="15"/>
  <c r="G157" i="15"/>
  <c r="G156" i="15"/>
  <c r="G155" i="15"/>
  <c r="N151" i="15"/>
  <c r="M151" i="15"/>
  <c r="L151" i="15"/>
  <c r="K151" i="15"/>
  <c r="J151" i="15"/>
  <c r="H151" i="15"/>
  <c r="G151" i="15"/>
  <c r="F151" i="15"/>
  <c r="E151" i="15"/>
  <c r="D151" i="15"/>
  <c r="I150" i="15"/>
  <c r="I149" i="15"/>
  <c r="I148" i="15"/>
  <c r="I147" i="15"/>
  <c r="I151" i="15" s="1"/>
  <c r="I146" i="15"/>
  <c r="I145" i="15"/>
  <c r="I144" i="15"/>
  <c r="F137" i="15"/>
  <c r="E137" i="15"/>
  <c r="D137" i="15"/>
  <c r="G136" i="15"/>
  <c r="G135" i="15"/>
  <c r="G134" i="15"/>
  <c r="G133" i="15"/>
  <c r="G132" i="15"/>
  <c r="G131" i="15"/>
  <c r="G137" i="15" s="1"/>
  <c r="L127" i="15"/>
  <c r="K127" i="15"/>
  <c r="I127" i="15"/>
  <c r="H127" i="15"/>
  <c r="G127" i="15"/>
  <c r="F127" i="15"/>
  <c r="E127" i="15"/>
  <c r="D127" i="15"/>
  <c r="L116" i="15"/>
  <c r="K116" i="15"/>
  <c r="I116" i="15"/>
  <c r="H116" i="15"/>
  <c r="G116" i="15"/>
  <c r="F116" i="15"/>
  <c r="E116" i="15"/>
  <c r="D116" i="15"/>
  <c r="L105" i="15"/>
  <c r="K105" i="15"/>
  <c r="J105" i="15"/>
  <c r="I105" i="15"/>
  <c r="H105" i="15"/>
  <c r="G105" i="15"/>
  <c r="F105" i="15"/>
  <c r="E105" i="15"/>
  <c r="D105" i="15"/>
  <c r="K92" i="15"/>
  <c r="J92" i="15"/>
  <c r="I92" i="15"/>
  <c r="H92" i="15"/>
  <c r="G92" i="15"/>
  <c r="F92" i="15"/>
  <c r="E92" i="15"/>
  <c r="D92" i="15"/>
  <c r="O79" i="15"/>
  <c r="N79" i="15"/>
  <c r="M79" i="15"/>
  <c r="L79" i="15"/>
  <c r="K79" i="15"/>
  <c r="J79" i="15"/>
  <c r="I79" i="15"/>
  <c r="F79" i="15"/>
  <c r="E79" i="15"/>
  <c r="D79" i="15"/>
  <c r="G78" i="15"/>
  <c r="G77" i="15"/>
  <c r="G76" i="15"/>
  <c r="G75" i="15"/>
  <c r="G74" i="15"/>
  <c r="G73" i="15"/>
  <c r="G72" i="15"/>
  <c r="L69" i="15"/>
  <c r="K69" i="15"/>
  <c r="I69" i="15"/>
  <c r="H69" i="15"/>
  <c r="G69" i="15"/>
  <c r="F69" i="15"/>
  <c r="E69" i="15"/>
  <c r="D69" i="15"/>
  <c r="K58" i="15"/>
  <c r="J58" i="15"/>
  <c r="I58" i="15"/>
  <c r="H58" i="15"/>
  <c r="G58" i="15"/>
  <c r="F58" i="15"/>
  <c r="E58" i="15"/>
  <c r="D58" i="15"/>
  <c r="E47" i="15"/>
  <c r="D47" i="15"/>
  <c r="F35" i="15"/>
  <c r="E35" i="15"/>
  <c r="D35" i="15"/>
  <c r="G34" i="15"/>
  <c r="G33" i="15"/>
  <c r="G32" i="15"/>
  <c r="G31" i="15"/>
  <c r="G30" i="15"/>
  <c r="G29" i="15"/>
  <c r="G28" i="15"/>
  <c r="O24" i="15"/>
  <c r="N24" i="15"/>
  <c r="M24" i="15"/>
  <c r="L24" i="15"/>
  <c r="K24" i="15"/>
  <c r="J24" i="15"/>
  <c r="I24" i="15"/>
  <c r="H24" i="15"/>
  <c r="F24" i="15"/>
  <c r="E24" i="15"/>
  <c r="G24" i="15" s="1"/>
  <c r="D24" i="15"/>
  <c r="G23" i="15"/>
  <c r="G22" i="15"/>
  <c r="G21" i="15"/>
  <c r="G20" i="15"/>
  <c r="G18" i="15"/>
  <c r="G17" i="15"/>
  <c r="G35" i="15" l="1"/>
  <c r="G79" i="15"/>
  <c r="K172" i="15"/>
  <c r="G162" i="15"/>
  <c r="J172" i="15"/>
  <c r="G185" i="15"/>
  <c r="G196" i="15"/>
  <c r="E219" i="14"/>
  <c r="L196" i="14"/>
  <c r="K196" i="14"/>
  <c r="J196" i="14"/>
  <c r="I196" i="14"/>
  <c r="H196" i="14"/>
  <c r="F196" i="14"/>
  <c r="E196" i="14"/>
  <c r="D196" i="14"/>
  <c r="G191" i="14"/>
  <c r="G196" i="14" s="1"/>
  <c r="O185" i="14"/>
  <c r="N185" i="14"/>
  <c r="M185" i="14"/>
  <c r="L185" i="14"/>
  <c r="K185" i="14"/>
  <c r="J185" i="14"/>
  <c r="I185" i="14"/>
  <c r="H185" i="14"/>
  <c r="F185" i="14"/>
  <c r="E185" i="14"/>
  <c r="D185" i="14"/>
  <c r="G180" i="14"/>
  <c r="G179" i="14"/>
  <c r="G185" i="14" s="1"/>
  <c r="D137" i="14"/>
  <c r="G132" i="14"/>
  <c r="G131" i="14"/>
  <c r="M105" i="14"/>
  <c r="E105" i="14"/>
  <c r="D105" i="14"/>
  <c r="O79" i="14"/>
  <c r="N79" i="14"/>
  <c r="M79" i="14"/>
  <c r="L79" i="14"/>
  <c r="K79" i="14"/>
  <c r="J79" i="14"/>
  <c r="I79" i="14"/>
  <c r="H79" i="14"/>
  <c r="F79" i="14"/>
  <c r="E79" i="14"/>
  <c r="D79" i="14"/>
  <c r="G74" i="14"/>
  <c r="G73" i="14"/>
  <c r="L69" i="14"/>
  <c r="K69" i="14"/>
  <c r="J69" i="14"/>
  <c r="I69" i="14"/>
  <c r="H69" i="14"/>
  <c r="G69" i="14"/>
  <c r="F69" i="14"/>
  <c r="E69" i="14"/>
  <c r="D69" i="14"/>
  <c r="E47" i="14"/>
  <c r="D47" i="14"/>
  <c r="F35" i="14"/>
  <c r="E35" i="14"/>
  <c r="D35" i="14"/>
  <c r="G30" i="14"/>
  <c r="G29" i="14"/>
  <c r="O24" i="14"/>
  <c r="N24" i="14"/>
  <c r="M24" i="14"/>
  <c r="L24" i="14"/>
  <c r="K24" i="14"/>
  <c r="J24" i="14"/>
  <c r="I24" i="14"/>
  <c r="H24" i="14"/>
  <c r="F24" i="14"/>
  <c r="E24" i="14"/>
  <c r="D24" i="14"/>
  <c r="G19" i="14"/>
  <c r="G18" i="14"/>
  <c r="G24" i="14" s="1"/>
  <c r="G35" i="14" l="1"/>
  <c r="G79" i="14"/>
  <c r="G137" i="14"/>
  <c r="I226" i="13"/>
  <c r="H226" i="13"/>
  <c r="G226" i="13"/>
  <c r="F226" i="13"/>
  <c r="D226" i="13"/>
  <c r="E217" i="13"/>
  <c r="E216" i="13"/>
  <c r="E214" i="13"/>
  <c r="L209" i="13"/>
  <c r="K209" i="13"/>
  <c r="J209" i="13"/>
  <c r="I209" i="13"/>
  <c r="H209" i="13"/>
  <c r="G209" i="13"/>
  <c r="F209" i="13"/>
  <c r="E209" i="13"/>
  <c r="D209" i="13"/>
  <c r="K196" i="13"/>
  <c r="J196" i="13"/>
  <c r="I196" i="13"/>
  <c r="H196" i="13"/>
  <c r="F196" i="13"/>
  <c r="E196" i="13"/>
  <c r="G195" i="13"/>
  <c r="G194" i="13"/>
  <c r="G193" i="13"/>
  <c r="G192" i="13"/>
  <c r="L191" i="13"/>
  <c r="L196" i="13" s="1"/>
  <c r="I191" i="13"/>
  <c r="I191" i="2" s="1"/>
  <c r="I196" i="2" s="1"/>
  <c r="D191" i="13"/>
  <c r="G191" i="13" s="1"/>
  <c r="G190" i="13"/>
  <c r="G189" i="13"/>
  <c r="N185" i="13"/>
  <c r="L185" i="13"/>
  <c r="K185" i="13"/>
  <c r="J185" i="13"/>
  <c r="I185" i="13"/>
  <c r="H185" i="13"/>
  <c r="F185" i="13"/>
  <c r="E185" i="13"/>
  <c r="G184" i="13"/>
  <c r="G183" i="13"/>
  <c r="G182" i="13"/>
  <c r="G181" i="13"/>
  <c r="O180" i="13"/>
  <c r="M180" i="13"/>
  <c r="M180" i="2" s="1"/>
  <c r="M185" i="2" s="1"/>
  <c r="H180" i="13"/>
  <c r="D180" i="13"/>
  <c r="G179" i="13"/>
  <c r="G178" i="13"/>
  <c r="I172" i="13"/>
  <c r="H172" i="13"/>
  <c r="G172" i="13"/>
  <c r="F172" i="13"/>
  <c r="E172" i="13"/>
  <c r="D172" i="13"/>
  <c r="K171" i="13"/>
  <c r="J171" i="13"/>
  <c r="K170" i="13"/>
  <c r="J170" i="13"/>
  <c r="K169" i="13"/>
  <c r="J169" i="13"/>
  <c r="K168" i="13"/>
  <c r="J168" i="13"/>
  <c r="K167" i="13"/>
  <c r="J167" i="13"/>
  <c r="K166" i="13"/>
  <c r="J166" i="13"/>
  <c r="K165" i="13"/>
  <c r="J165" i="13"/>
  <c r="J162" i="13"/>
  <c r="I162" i="13"/>
  <c r="H162" i="13"/>
  <c r="F162" i="13"/>
  <c r="E162" i="13"/>
  <c r="D162" i="13"/>
  <c r="G161" i="13"/>
  <c r="G160" i="13"/>
  <c r="G159" i="13"/>
  <c r="G158" i="13"/>
  <c r="G157" i="13"/>
  <c r="G155" i="13"/>
  <c r="N151" i="13"/>
  <c r="M151" i="13"/>
  <c r="L151" i="13"/>
  <c r="K151" i="13"/>
  <c r="J151" i="13"/>
  <c r="H151" i="13"/>
  <c r="G151" i="13"/>
  <c r="F151" i="13"/>
  <c r="E151" i="13"/>
  <c r="D151" i="13"/>
  <c r="I150" i="13"/>
  <c r="I149" i="13"/>
  <c r="I148" i="13"/>
  <c r="I147" i="13"/>
  <c r="I144" i="13"/>
  <c r="F137" i="13"/>
  <c r="E137" i="13"/>
  <c r="D137" i="13"/>
  <c r="G136" i="13"/>
  <c r="G135" i="13"/>
  <c r="G134" i="13"/>
  <c r="G133" i="13"/>
  <c r="G132" i="13"/>
  <c r="G131" i="13"/>
  <c r="G137" i="13" s="1"/>
  <c r="L127" i="13"/>
  <c r="K127" i="13"/>
  <c r="I127" i="13"/>
  <c r="H127" i="13"/>
  <c r="G127" i="13"/>
  <c r="F127" i="13"/>
  <c r="E127" i="13"/>
  <c r="D127" i="13"/>
  <c r="L116" i="13"/>
  <c r="K116" i="13"/>
  <c r="I116" i="13"/>
  <c r="H116" i="13"/>
  <c r="G116" i="13"/>
  <c r="F116" i="13"/>
  <c r="E116" i="13"/>
  <c r="D116" i="13"/>
  <c r="M105" i="13"/>
  <c r="L105" i="13"/>
  <c r="K105" i="13"/>
  <c r="J105" i="13"/>
  <c r="I105" i="13"/>
  <c r="H105" i="13"/>
  <c r="G105" i="13"/>
  <c r="F105" i="13"/>
  <c r="D105" i="13"/>
  <c r="E100" i="13"/>
  <c r="E100" i="2" s="1"/>
  <c r="E99" i="13"/>
  <c r="K92" i="13"/>
  <c r="J92" i="13"/>
  <c r="I92" i="13"/>
  <c r="H92" i="13"/>
  <c r="G92" i="13"/>
  <c r="F92" i="13"/>
  <c r="E92" i="13"/>
  <c r="D92" i="13"/>
  <c r="N79" i="13"/>
  <c r="M79" i="13"/>
  <c r="L79" i="13"/>
  <c r="K79" i="13"/>
  <c r="J79" i="13"/>
  <c r="F79" i="13"/>
  <c r="E79" i="13"/>
  <c r="G78" i="13"/>
  <c r="G77" i="13"/>
  <c r="G76" i="13"/>
  <c r="G75" i="13"/>
  <c r="O74" i="13"/>
  <c r="O79" i="13" s="1"/>
  <c r="I74" i="13"/>
  <c r="D74" i="13"/>
  <c r="G74" i="13" s="1"/>
  <c r="G72" i="13"/>
  <c r="K69" i="13"/>
  <c r="I69" i="13"/>
  <c r="H69" i="13"/>
  <c r="G69" i="13"/>
  <c r="F69" i="13"/>
  <c r="E69" i="13"/>
  <c r="L64" i="13"/>
  <c r="L69" i="13" s="1"/>
  <c r="K58" i="13"/>
  <c r="J58" i="13"/>
  <c r="I58" i="13"/>
  <c r="H58" i="13"/>
  <c r="G58" i="13"/>
  <c r="F58" i="13"/>
  <c r="E58" i="13"/>
  <c r="D58" i="13"/>
  <c r="E47" i="13"/>
  <c r="D47" i="13"/>
  <c r="E35" i="13"/>
  <c r="G34" i="13"/>
  <c r="G33" i="13"/>
  <c r="G32" i="13"/>
  <c r="G31" i="13"/>
  <c r="F30" i="13"/>
  <c r="F35" i="13" s="1"/>
  <c r="D30" i="13"/>
  <c r="D35" i="13" s="1"/>
  <c r="G29" i="13"/>
  <c r="G28" i="13"/>
  <c r="N24" i="13"/>
  <c r="M24" i="13"/>
  <c r="J24" i="13"/>
  <c r="H24" i="13"/>
  <c r="F24" i="13"/>
  <c r="E24" i="13"/>
  <c r="D24" i="13"/>
  <c r="G24" i="13" s="1"/>
  <c r="G23" i="13"/>
  <c r="G22" i="13"/>
  <c r="G21" i="13"/>
  <c r="G20" i="13"/>
  <c r="O19" i="13"/>
  <c r="O24" i="13" s="1"/>
  <c r="L19" i="13"/>
  <c r="L19" i="2" s="1"/>
  <c r="L24" i="2" s="1"/>
  <c r="K19" i="13"/>
  <c r="K24" i="13" s="1"/>
  <c r="I19" i="13"/>
  <c r="I24" i="13" s="1"/>
  <c r="G19" i="13"/>
  <c r="G18" i="13"/>
  <c r="G17" i="13"/>
  <c r="L24" i="13" l="1"/>
  <c r="D64" i="13"/>
  <c r="D69" i="13" s="1"/>
  <c r="E105" i="13"/>
  <c r="E99" i="2"/>
  <c r="E105" i="2" s="1"/>
  <c r="G162" i="13"/>
  <c r="K172" i="13"/>
  <c r="O185" i="13"/>
  <c r="O180" i="2"/>
  <c r="O185" i="2" s="1"/>
  <c r="M185" i="13"/>
  <c r="G30" i="13"/>
  <c r="J172" i="13"/>
  <c r="G79" i="13"/>
  <c r="I151" i="13"/>
  <c r="D185" i="13"/>
  <c r="D180" i="2"/>
  <c r="G35" i="13"/>
  <c r="I79" i="13"/>
  <c r="I74" i="2"/>
  <c r="I79" i="2" s="1"/>
  <c r="G196" i="13"/>
  <c r="G180" i="13"/>
  <c r="G185" i="13" s="1"/>
  <c r="D79" i="13"/>
  <c r="D196" i="13"/>
  <c r="D185" i="2" l="1"/>
  <c r="G180" i="2"/>
  <c r="G185" i="2" s="1"/>
  <c r="I219" i="12"/>
  <c r="H219" i="12"/>
  <c r="G219" i="12"/>
  <c r="F219" i="12"/>
  <c r="E219" i="12"/>
  <c r="D219" i="12"/>
  <c r="E213" i="12"/>
  <c r="D213" i="12"/>
  <c r="L209" i="12"/>
  <c r="K209" i="12"/>
  <c r="J209" i="12"/>
  <c r="I209" i="12"/>
  <c r="H209" i="12"/>
  <c r="G209" i="12"/>
  <c r="F209" i="12"/>
  <c r="E209" i="12"/>
  <c r="D209" i="12"/>
  <c r="L196" i="12"/>
  <c r="K196" i="12"/>
  <c r="J196" i="12"/>
  <c r="I196" i="12"/>
  <c r="H196" i="12"/>
  <c r="F196" i="12"/>
  <c r="E196" i="12"/>
  <c r="D196" i="12"/>
  <c r="G195" i="12"/>
  <c r="G194" i="12"/>
  <c r="G193" i="12"/>
  <c r="G192" i="12"/>
  <c r="G191" i="12"/>
  <c r="G190" i="12"/>
  <c r="G189" i="12"/>
  <c r="O185" i="12"/>
  <c r="N185" i="12"/>
  <c r="M185" i="12"/>
  <c r="L185" i="12"/>
  <c r="K185" i="12"/>
  <c r="J185" i="12"/>
  <c r="I185" i="12"/>
  <c r="H185" i="12"/>
  <c r="F185" i="12"/>
  <c r="E185" i="12"/>
  <c r="D185" i="12"/>
  <c r="G184" i="12"/>
  <c r="G183" i="12"/>
  <c r="G182" i="12"/>
  <c r="G181" i="12"/>
  <c r="G180" i="12"/>
  <c r="G179" i="12"/>
  <c r="G178" i="12"/>
  <c r="G185" i="12" s="1"/>
  <c r="I172" i="12"/>
  <c r="H172" i="12"/>
  <c r="G172" i="12"/>
  <c r="F172" i="12"/>
  <c r="E172" i="12"/>
  <c r="D172" i="12"/>
  <c r="K171" i="12"/>
  <c r="J171" i="12"/>
  <c r="K170" i="12"/>
  <c r="J170" i="12"/>
  <c r="K169" i="12"/>
  <c r="J169" i="12"/>
  <c r="K168" i="12"/>
  <c r="J168" i="12"/>
  <c r="K167" i="12"/>
  <c r="J167" i="12"/>
  <c r="K166" i="12"/>
  <c r="J166" i="12"/>
  <c r="K165" i="12"/>
  <c r="J165" i="12"/>
  <c r="J162" i="12"/>
  <c r="I162" i="12"/>
  <c r="H162" i="12"/>
  <c r="F162" i="12"/>
  <c r="E162" i="12"/>
  <c r="D162" i="12"/>
  <c r="G161" i="12"/>
  <c r="G160" i="12"/>
  <c r="G159" i="12"/>
  <c r="G158" i="12"/>
  <c r="G157" i="12"/>
  <c r="G156" i="12"/>
  <c r="G155" i="12"/>
  <c r="N151" i="12"/>
  <c r="M151" i="12"/>
  <c r="L151" i="12"/>
  <c r="K151" i="12"/>
  <c r="J151" i="12"/>
  <c r="H151" i="12"/>
  <c r="G151" i="12"/>
  <c r="F151" i="12"/>
  <c r="E151" i="12"/>
  <c r="D151" i="12"/>
  <c r="I150" i="12"/>
  <c r="I149" i="12"/>
  <c r="I148" i="12"/>
  <c r="I147" i="12"/>
  <c r="I146" i="12"/>
  <c r="I145" i="12"/>
  <c r="I144" i="12"/>
  <c r="F137" i="12"/>
  <c r="E137" i="12"/>
  <c r="D137" i="12"/>
  <c r="G136" i="12"/>
  <c r="G135" i="12"/>
  <c r="G134" i="12"/>
  <c r="G133" i="12"/>
  <c r="G132" i="12"/>
  <c r="G131" i="12"/>
  <c r="L127" i="12"/>
  <c r="K127" i="12"/>
  <c r="I127" i="12"/>
  <c r="H127" i="12"/>
  <c r="G127" i="12"/>
  <c r="F127" i="12"/>
  <c r="E127" i="12"/>
  <c r="D127" i="12"/>
  <c r="L116" i="12"/>
  <c r="K116" i="12"/>
  <c r="I116" i="12"/>
  <c r="H116" i="12"/>
  <c r="G116" i="12"/>
  <c r="F116" i="12"/>
  <c r="E116" i="12"/>
  <c r="D116" i="12"/>
  <c r="M105" i="12"/>
  <c r="L105" i="12"/>
  <c r="K105" i="12"/>
  <c r="J105" i="12"/>
  <c r="I105" i="12"/>
  <c r="H105" i="12"/>
  <c r="G105" i="12"/>
  <c r="F105" i="12"/>
  <c r="E105" i="12"/>
  <c r="D105" i="12"/>
  <c r="K92" i="12"/>
  <c r="J92" i="12"/>
  <c r="I92" i="12"/>
  <c r="H92" i="12"/>
  <c r="G92" i="12"/>
  <c r="F92" i="12"/>
  <c r="E92" i="12"/>
  <c r="D92" i="12"/>
  <c r="O79" i="12"/>
  <c r="N79" i="12"/>
  <c r="M79" i="12"/>
  <c r="L79" i="12"/>
  <c r="K79" i="12"/>
  <c r="J79" i="12"/>
  <c r="I79" i="12"/>
  <c r="F79" i="12"/>
  <c r="E79" i="12"/>
  <c r="D79" i="12"/>
  <c r="G78" i="12"/>
  <c r="G77" i="12"/>
  <c r="G76" i="12"/>
  <c r="G75" i="12"/>
  <c r="G74" i="12"/>
  <c r="G73" i="12"/>
  <c r="G72" i="12"/>
  <c r="L69" i="12"/>
  <c r="K69" i="12"/>
  <c r="I69" i="12"/>
  <c r="H69" i="12"/>
  <c r="G69" i="12"/>
  <c r="F69" i="12"/>
  <c r="E69" i="12"/>
  <c r="D69" i="12"/>
  <c r="K58" i="12"/>
  <c r="J58" i="12"/>
  <c r="I58" i="12"/>
  <c r="H58" i="12"/>
  <c r="G58" i="12"/>
  <c r="F58" i="12"/>
  <c r="E58" i="12"/>
  <c r="D58" i="12"/>
  <c r="E47" i="12"/>
  <c r="D47" i="12"/>
  <c r="F35" i="12"/>
  <c r="E35" i="12"/>
  <c r="D35" i="12"/>
  <c r="G35" i="12" s="1"/>
  <c r="G34" i="12"/>
  <c r="G33" i="12"/>
  <c r="G32" i="12"/>
  <c r="G31" i="12"/>
  <c r="G30" i="12"/>
  <c r="G29" i="12"/>
  <c r="G28" i="12"/>
  <c r="O24" i="12"/>
  <c r="N24" i="12"/>
  <c r="M24" i="12"/>
  <c r="L24" i="12"/>
  <c r="K24" i="12"/>
  <c r="J24" i="12"/>
  <c r="I24" i="12"/>
  <c r="H24" i="12"/>
  <c r="F24" i="12"/>
  <c r="E24" i="12"/>
  <c r="D24" i="12"/>
  <c r="G23" i="12"/>
  <c r="G22" i="12"/>
  <c r="G21" i="12"/>
  <c r="G20" i="12"/>
  <c r="G19" i="12"/>
  <c r="G18" i="12"/>
  <c r="G17" i="12"/>
  <c r="G137" i="12" l="1"/>
  <c r="G79" i="12"/>
  <c r="G24" i="12"/>
  <c r="G196" i="12"/>
  <c r="I151" i="12"/>
  <c r="J172" i="12"/>
  <c r="G162" i="12"/>
  <c r="K172" i="12"/>
  <c r="I220" i="11"/>
  <c r="H220" i="11"/>
  <c r="G220" i="11"/>
  <c r="E220" i="11"/>
  <c r="D220" i="11"/>
  <c r="L209" i="11"/>
  <c r="K209" i="11"/>
  <c r="J209" i="11"/>
  <c r="I209" i="11"/>
  <c r="H209" i="11"/>
  <c r="G209" i="11"/>
  <c r="F209" i="11"/>
  <c r="E209" i="11"/>
  <c r="D209" i="11"/>
  <c r="L196" i="11"/>
  <c r="K196" i="11"/>
  <c r="J196" i="11"/>
  <c r="I196" i="11"/>
  <c r="H196" i="11"/>
  <c r="F196" i="11"/>
  <c r="E196" i="11"/>
  <c r="D196" i="11"/>
  <c r="G195" i="11"/>
  <c r="G194" i="11"/>
  <c r="G193" i="11"/>
  <c r="G192" i="11"/>
  <c r="G191" i="11"/>
  <c r="G190" i="11"/>
  <c r="G189" i="11"/>
  <c r="O185" i="11"/>
  <c r="N185" i="11"/>
  <c r="M185" i="11"/>
  <c r="L185" i="11"/>
  <c r="K185" i="11"/>
  <c r="J185" i="11"/>
  <c r="I185" i="11"/>
  <c r="H185" i="11"/>
  <c r="F185" i="11"/>
  <c r="E185" i="11"/>
  <c r="D185" i="11"/>
  <c r="G184" i="11"/>
  <c r="G183" i="11"/>
  <c r="G182" i="11"/>
  <c r="G181" i="11"/>
  <c r="G180" i="11"/>
  <c r="G179" i="11"/>
  <c r="G178" i="11"/>
  <c r="I172" i="11"/>
  <c r="H172" i="11"/>
  <c r="G172" i="11"/>
  <c r="F172" i="11"/>
  <c r="E172" i="11"/>
  <c r="D172" i="11"/>
  <c r="K171" i="11"/>
  <c r="J171" i="11"/>
  <c r="K170" i="11"/>
  <c r="J170" i="11"/>
  <c r="K169" i="11"/>
  <c r="J169" i="11"/>
  <c r="K168" i="11"/>
  <c r="J168" i="11"/>
  <c r="K167" i="11"/>
  <c r="J167" i="11"/>
  <c r="K166" i="11"/>
  <c r="J166" i="11"/>
  <c r="K165" i="11"/>
  <c r="J165" i="11"/>
  <c r="J162" i="11"/>
  <c r="I162" i="11"/>
  <c r="H162" i="11"/>
  <c r="F162" i="11"/>
  <c r="E162" i="11"/>
  <c r="D162" i="11"/>
  <c r="G161" i="11"/>
  <c r="G160" i="11"/>
  <c r="G159" i="11"/>
  <c r="G158" i="11"/>
  <c r="G157" i="11"/>
  <c r="G156" i="11"/>
  <c r="G155" i="11"/>
  <c r="N151" i="11"/>
  <c r="M151" i="11"/>
  <c r="L151" i="11"/>
  <c r="K151" i="11"/>
  <c r="J151" i="11"/>
  <c r="H151" i="11"/>
  <c r="G151" i="11"/>
  <c r="F151" i="11"/>
  <c r="E151" i="11"/>
  <c r="D151" i="11"/>
  <c r="I150" i="11"/>
  <c r="I149" i="11"/>
  <c r="I148" i="11"/>
  <c r="I147" i="11"/>
  <c r="I151" i="11" s="1"/>
  <c r="I146" i="11"/>
  <c r="I145" i="11"/>
  <c r="I144" i="11"/>
  <c r="F137" i="11"/>
  <c r="E137" i="11"/>
  <c r="D137" i="11"/>
  <c r="G136" i="11"/>
  <c r="G135" i="11"/>
  <c r="G134" i="11"/>
  <c r="G133" i="11"/>
  <c r="G132" i="11"/>
  <c r="G131" i="11"/>
  <c r="G137" i="11" s="1"/>
  <c r="L127" i="11"/>
  <c r="K127" i="11"/>
  <c r="I127" i="11"/>
  <c r="H127" i="11"/>
  <c r="G127" i="11"/>
  <c r="F127" i="11"/>
  <c r="E127" i="11"/>
  <c r="D127" i="11"/>
  <c r="L116" i="11"/>
  <c r="K116" i="11"/>
  <c r="I116" i="11"/>
  <c r="H116" i="11"/>
  <c r="G116" i="11"/>
  <c r="F116" i="11"/>
  <c r="E116" i="11"/>
  <c r="D116" i="11"/>
  <c r="M105" i="11"/>
  <c r="L105" i="11"/>
  <c r="K105" i="11"/>
  <c r="J105" i="11"/>
  <c r="I105" i="11"/>
  <c r="H105" i="11"/>
  <c r="G105" i="11"/>
  <c r="F105" i="11"/>
  <c r="E105" i="11"/>
  <c r="D105" i="11"/>
  <c r="K92" i="11"/>
  <c r="J92" i="11"/>
  <c r="I92" i="11"/>
  <c r="H92" i="11"/>
  <c r="G92" i="11"/>
  <c r="F92" i="11"/>
  <c r="E92" i="11"/>
  <c r="D92" i="11"/>
  <c r="O79" i="11"/>
  <c r="N79" i="11"/>
  <c r="M79" i="11"/>
  <c r="L79" i="11"/>
  <c r="K79" i="11"/>
  <c r="J79" i="11"/>
  <c r="I79" i="11"/>
  <c r="F79" i="11"/>
  <c r="E79" i="11"/>
  <c r="D79" i="11"/>
  <c r="G78" i="11"/>
  <c r="G77" i="11"/>
  <c r="G76" i="11"/>
  <c r="G75" i="11"/>
  <c r="G74" i="11"/>
  <c r="G73" i="11"/>
  <c r="G72" i="11"/>
  <c r="L69" i="11"/>
  <c r="K69" i="11"/>
  <c r="I69" i="11"/>
  <c r="H69" i="11"/>
  <c r="G69" i="11"/>
  <c r="F69" i="11"/>
  <c r="E69" i="11"/>
  <c r="D69" i="11"/>
  <c r="K58" i="11"/>
  <c r="J58" i="11"/>
  <c r="I58" i="11"/>
  <c r="H58" i="11"/>
  <c r="G58" i="11"/>
  <c r="F58" i="11"/>
  <c r="E58" i="11"/>
  <c r="D58" i="11"/>
  <c r="E47" i="11"/>
  <c r="D47" i="11"/>
  <c r="F35" i="11"/>
  <c r="E35" i="11"/>
  <c r="D35" i="11"/>
  <c r="G35" i="11" s="1"/>
  <c r="G34" i="11"/>
  <c r="G33" i="11"/>
  <c r="G32" i="11"/>
  <c r="G31" i="11"/>
  <c r="G30" i="11"/>
  <c r="G29" i="11"/>
  <c r="G28" i="11"/>
  <c r="O24" i="11"/>
  <c r="N24" i="11"/>
  <c r="M24" i="11"/>
  <c r="L24" i="11"/>
  <c r="K24" i="11"/>
  <c r="J24" i="11"/>
  <c r="I24" i="11"/>
  <c r="H24" i="11"/>
  <c r="F24" i="11"/>
  <c r="G24" i="11" s="1"/>
  <c r="E24" i="11"/>
  <c r="D24" i="11"/>
  <c r="G23" i="11"/>
  <c r="G22" i="11"/>
  <c r="G21" i="11"/>
  <c r="G20" i="11"/>
  <c r="G19" i="11"/>
  <c r="G18" i="11"/>
  <c r="G17" i="11"/>
  <c r="G79" i="11" l="1"/>
  <c r="K172" i="11"/>
  <c r="G162" i="11"/>
  <c r="J172" i="11"/>
  <c r="G185" i="11"/>
  <c r="G196" i="11"/>
  <c r="I219" i="10"/>
  <c r="H219" i="10"/>
  <c r="G219" i="10"/>
  <c r="F219" i="10"/>
  <c r="E219" i="10"/>
  <c r="D219" i="10"/>
  <c r="E213" i="10"/>
  <c r="D213" i="10"/>
  <c r="L209" i="10"/>
  <c r="K209" i="10"/>
  <c r="J209" i="10"/>
  <c r="I209" i="10"/>
  <c r="H209" i="10"/>
  <c r="G209" i="10"/>
  <c r="F209" i="10"/>
  <c r="E209" i="10"/>
  <c r="D209" i="10"/>
  <c r="L196" i="10"/>
  <c r="K196" i="10"/>
  <c r="J196" i="10"/>
  <c r="I196" i="10"/>
  <c r="H196" i="10"/>
  <c r="F196" i="10"/>
  <c r="E196" i="10"/>
  <c r="D196" i="10"/>
  <c r="G195" i="10"/>
  <c r="G194" i="10"/>
  <c r="G193" i="10"/>
  <c r="G192" i="10"/>
  <c r="G191" i="10"/>
  <c r="G190" i="10"/>
  <c r="G189" i="10"/>
  <c r="O185" i="10"/>
  <c r="N185" i="10"/>
  <c r="M185" i="10"/>
  <c r="L185" i="10"/>
  <c r="K185" i="10"/>
  <c r="J185" i="10"/>
  <c r="I185" i="10"/>
  <c r="H185" i="10"/>
  <c r="F185" i="10"/>
  <c r="E185" i="10"/>
  <c r="D185" i="10"/>
  <c r="G184" i="10"/>
  <c r="G183" i="10"/>
  <c r="G182" i="10"/>
  <c r="G181" i="10"/>
  <c r="G180" i="10"/>
  <c r="G179" i="10"/>
  <c r="G178" i="10"/>
  <c r="I172" i="10"/>
  <c r="H172" i="10"/>
  <c r="G172" i="10"/>
  <c r="F172" i="10"/>
  <c r="E172" i="10"/>
  <c r="D172" i="10"/>
  <c r="K171" i="10"/>
  <c r="J171" i="10"/>
  <c r="K170" i="10"/>
  <c r="J170" i="10"/>
  <c r="K169" i="10"/>
  <c r="J169" i="10"/>
  <c r="K168" i="10"/>
  <c r="J168" i="10"/>
  <c r="K167" i="10"/>
  <c r="J167" i="10"/>
  <c r="K166" i="10"/>
  <c r="J166" i="10"/>
  <c r="K165" i="10"/>
  <c r="J165" i="10"/>
  <c r="J172" i="10" s="1"/>
  <c r="J162" i="10"/>
  <c r="I162" i="10"/>
  <c r="H162" i="10"/>
  <c r="F162" i="10"/>
  <c r="E162" i="10"/>
  <c r="D162" i="10"/>
  <c r="G161" i="10"/>
  <c r="G160" i="10"/>
  <c r="G159" i="10"/>
  <c r="G158" i="10"/>
  <c r="G157" i="10"/>
  <c r="G156" i="10"/>
  <c r="G155" i="10"/>
  <c r="N151" i="10"/>
  <c r="M151" i="10"/>
  <c r="L151" i="10"/>
  <c r="K151" i="10"/>
  <c r="J151" i="10"/>
  <c r="H151" i="10"/>
  <c r="G151" i="10"/>
  <c r="F151" i="10"/>
  <c r="E151" i="10"/>
  <c r="D151" i="10"/>
  <c r="I150" i="10"/>
  <c r="I149" i="10"/>
  <c r="I148" i="10"/>
  <c r="I147" i="10"/>
  <c r="I146" i="10"/>
  <c r="I145" i="10"/>
  <c r="I144" i="10"/>
  <c r="F137" i="10"/>
  <c r="E137" i="10"/>
  <c r="D137" i="10"/>
  <c r="G136" i="10"/>
  <c r="G135" i="10"/>
  <c r="G134" i="10"/>
  <c r="G133" i="10"/>
  <c r="G132" i="10"/>
  <c r="G131" i="10"/>
  <c r="L127" i="10"/>
  <c r="K127" i="10"/>
  <c r="I127" i="10"/>
  <c r="H127" i="10"/>
  <c r="G127" i="10"/>
  <c r="F127" i="10"/>
  <c r="E127" i="10"/>
  <c r="D127" i="10"/>
  <c r="L116" i="10"/>
  <c r="K116" i="10"/>
  <c r="I116" i="10"/>
  <c r="H116" i="10"/>
  <c r="G116" i="10"/>
  <c r="F116" i="10"/>
  <c r="E116" i="10"/>
  <c r="D116" i="10"/>
  <c r="M105" i="10"/>
  <c r="L105" i="10"/>
  <c r="K105" i="10"/>
  <c r="J105" i="10"/>
  <c r="I105" i="10"/>
  <c r="H105" i="10"/>
  <c r="G105" i="10"/>
  <c r="F105" i="10"/>
  <c r="E105" i="10"/>
  <c r="D105" i="10"/>
  <c r="K92" i="10"/>
  <c r="J92" i="10"/>
  <c r="I92" i="10"/>
  <c r="H92" i="10"/>
  <c r="G92" i="10"/>
  <c r="F92" i="10"/>
  <c r="E92" i="10"/>
  <c r="D92" i="10"/>
  <c r="O79" i="10"/>
  <c r="N79" i="10"/>
  <c r="M79" i="10"/>
  <c r="L79" i="10"/>
  <c r="K79" i="10"/>
  <c r="J79" i="10"/>
  <c r="I79" i="10"/>
  <c r="F79" i="10"/>
  <c r="E79" i="10"/>
  <c r="D79" i="10"/>
  <c r="G78" i="10"/>
  <c r="G77" i="10"/>
  <c r="G76" i="10"/>
  <c r="G75" i="10"/>
  <c r="G74" i="10"/>
  <c r="G73" i="10"/>
  <c r="G72" i="10"/>
  <c r="L69" i="10"/>
  <c r="K69" i="10"/>
  <c r="I69" i="10"/>
  <c r="H69" i="10"/>
  <c r="G69" i="10"/>
  <c r="F69" i="10"/>
  <c r="E69" i="10"/>
  <c r="D69" i="10"/>
  <c r="K58" i="10"/>
  <c r="J58" i="10"/>
  <c r="I58" i="10"/>
  <c r="H58" i="10"/>
  <c r="G58" i="10"/>
  <c r="F58" i="10"/>
  <c r="E58" i="10"/>
  <c r="D58" i="10"/>
  <c r="E47" i="10"/>
  <c r="D47" i="10"/>
  <c r="F35" i="10"/>
  <c r="E35" i="10"/>
  <c r="D35" i="10"/>
  <c r="G35" i="10" s="1"/>
  <c r="G34" i="10"/>
  <c r="G33" i="10"/>
  <c r="G32" i="10"/>
  <c r="G31" i="10"/>
  <c r="G30" i="10"/>
  <c r="G29" i="10"/>
  <c r="G28" i="10"/>
  <c r="O24" i="10"/>
  <c r="N24" i="10"/>
  <c r="M24" i="10"/>
  <c r="L24" i="10"/>
  <c r="K24" i="10"/>
  <c r="J24" i="10"/>
  <c r="I24" i="10"/>
  <c r="H24" i="10"/>
  <c r="F24" i="10"/>
  <c r="E24" i="10"/>
  <c r="D24" i="10"/>
  <c r="G23" i="10"/>
  <c r="G22" i="10"/>
  <c r="G21" i="10"/>
  <c r="G20" i="10"/>
  <c r="G19" i="10"/>
  <c r="G18" i="10"/>
  <c r="G17" i="10"/>
  <c r="G185" i="10" l="1"/>
  <c r="G24" i="10"/>
  <c r="G79" i="10"/>
  <c r="G137" i="10"/>
  <c r="I151" i="10"/>
  <c r="G162" i="10"/>
  <c r="K172" i="10"/>
  <c r="G196" i="10"/>
  <c r="I219" i="9"/>
  <c r="H219" i="9"/>
  <c r="G219" i="9"/>
  <c r="F219" i="9"/>
  <c r="E219" i="9"/>
  <c r="E218" i="9"/>
  <c r="E214" i="9"/>
  <c r="D214" i="9"/>
  <c r="D213" i="9" s="1"/>
  <c r="E213" i="9"/>
  <c r="L209" i="9"/>
  <c r="K209" i="9"/>
  <c r="J209" i="9"/>
  <c r="I209" i="9"/>
  <c r="H209" i="9"/>
  <c r="G209" i="9"/>
  <c r="F209" i="9"/>
  <c r="E209" i="9"/>
  <c r="D209" i="9"/>
  <c r="L196" i="9"/>
  <c r="K196" i="9"/>
  <c r="J196" i="9"/>
  <c r="I196" i="9"/>
  <c r="H196" i="9"/>
  <c r="F196" i="9"/>
  <c r="E196" i="9"/>
  <c r="D196" i="9"/>
  <c r="G195" i="9"/>
  <c r="G194" i="9"/>
  <c r="G193" i="9"/>
  <c r="G192" i="9"/>
  <c r="G191" i="9"/>
  <c r="G190" i="9"/>
  <c r="G189" i="9"/>
  <c r="O185" i="9"/>
  <c r="N185" i="9"/>
  <c r="M185" i="9"/>
  <c r="K185" i="9"/>
  <c r="J185" i="9"/>
  <c r="I185" i="9"/>
  <c r="H185" i="9"/>
  <c r="F185" i="9"/>
  <c r="E185" i="9"/>
  <c r="D185" i="9"/>
  <c r="G184" i="9"/>
  <c r="G183" i="9"/>
  <c r="G182" i="9"/>
  <c r="G181" i="9"/>
  <c r="L180" i="9"/>
  <c r="H180" i="9"/>
  <c r="H180" i="2" s="1"/>
  <c r="H185" i="2" s="1"/>
  <c r="G180" i="9"/>
  <c r="G179" i="9"/>
  <c r="G178" i="9"/>
  <c r="G185" i="9" s="1"/>
  <c r="I172" i="9"/>
  <c r="H172" i="9"/>
  <c r="G172" i="9"/>
  <c r="F172" i="9"/>
  <c r="E172" i="9"/>
  <c r="D172" i="9"/>
  <c r="K171" i="9"/>
  <c r="J171" i="9"/>
  <c r="K170" i="9"/>
  <c r="J170" i="9"/>
  <c r="K169" i="9"/>
  <c r="J169" i="9"/>
  <c r="K168" i="9"/>
  <c r="J168" i="9"/>
  <c r="K167" i="9"/>
  <c r="J167" i="9"/>
  <c r="K166" i="9"/>
  <c r="J166" i="9"/>
  <c r="K165" i="9"/>
  <c r="J165" i="9"/>
  <c r="J162" i="9"/>
  <c r="I162" i="9"/>
  <c r="H162" i="9"/>
  <c r="F162" i="9"/>
  <c r="E162" i="9"/>
  <c r="D162" i="9"/>
  <c r="G161" i="9"/>
  <c r="G160" i="9"/>
  <c r="G159" i="9"/>
  <c r="G158" i="9"/>
  <c r="G157" i="9"/>
  <c r="G156" i="9"/>
  <c r="G155" i="9"/>
  <c r="N151" i="9"/>
  <c r="M151" i="9"/>
  <c r="L151" i="9"/>
  <c r="K151" i="9"/>
  <c r="J151" i="9"/>
  <c r="H151" i="9"/>
  <c r="G151" i="9"/>
  <c r="F151" i="9"/>
  <c r="E151" i="9"/>
  <c r="D151" i="9"/>
  <c r="I150" i="9"/>
  <c r="I149" i="9"/>
  <c r="I148" i="9"/>
  <c r="I147" i="9"/>
  <c r="I146" i="9"/>
  <c r="I145" i="9"/>
  <c r="I144" i="9"/>
  <c r="F137" i="9"/>
  <c r="E137" i="9"/>
  <c r="D137" i="9"/>
  <c r="G136" i="9"/>
  <c r="G135" i="9"/>
  <c r="G134" i="9"/>
  <c r="G133" i="9"/>
  <c r="G132" i="9"/>
  <c r="G131" i="9"/>
  <c r="G137" i="9" s="1"/>
  <c r="L127" i="9"/>
  <c r="K127" i="9"/>
  <c r="I127" i="9"/>
  <c r="H127" i="9"/>
  <c r="G127" i="9"/>
  <c r="F127" i="9"/>
  <c r="E127" i="9"/>
  <c r="D127" i="9"/>
  <c r="L116" i="9"/>
  <c r="K116" i="9"/>
  <c r="I116" i="9"/>
  <c r="H116" i="9"/>
  <c r="G116" i="9"/>
  <c r="F116" i="9"/>
  <c r="E116" i="9"/>
  <c r="D116" i="9"/>
  <c r="M105" i="9"/>
  <c r="L105" i="9"/>
  <c r="K105" i="9"/>
  <c r="J105" i="9"/>
  <c r="I105" i="9"/>
  <c r="H105" i="9"/>
  <c r="G105" i="9"/>
  <c r="F105" i="9"/>
  <c r="E105" i="9"/>
  <c r="D105" i="9"/>
  <c r="K92" i="9"/>
  <c r="J92" i="9"/>
  <c r="I92" i="9"/>
  <c r="H92" i="9"/>
  <c r="G92" i="9"/>
  <c r="F92" i="9"/>
  <c r="E92" i="9"/>
  <c r="D92" i="9"/>
  <c r="O79" i="9"/>
  <c r="N79" i="9"/>
  <c r="M79" i="9"/>
  <c r="L79" i="9"/>
  <c r="J79" i="9"/>
  <c r="I79" i="9"/>
  <c r="F79" i="9"/>
  <c r="E79" i="9"/>
  <c r="D79" i="9"/>
  <c r="G78" i="9"/>
  <c r="G77" i="9"/>
  <c r="G76" i="9"/>
  <c r="G75" i="9"/>
  <c r="K74" i="9"/>
  <c r="K79" i="9" s="1"/>
  <c r="G74" i="9"/>
  <c r="G73" i="9"/>
  <c r="G72" i="9"/>
  <c r="K69" i="9"/>
  <c r="I69" i="9"/>
  <c r="H69" i="9"/>
  <c r="G69" i="9"/>
  <c r="F69" i="9"/>
  <c r="E69" i="9"/>
  <c r="L64" i="9"/>
  <c r="L69" i="9" s="1"/>
  <c r="D64" i="9"/>
  <c r="D64" i="2" s="1"/>
  <c r="D69" i="2" s="1"/>
  <c r="K58" i="9"/>
  <c r="J58" i="9"/>
  <c r="I58" i="9"/>
  <c r="H58" i="9"/>
  <c r="G58" i="9"/>
  <c r="F58" i="9"/>
  <c r="E58" i="9"/>
  <c r="D58" i="9"/>
  <c r="E47" i="9"/>
  <c r="D47" i="9"/>
  <c r="F35" i="9"/>
  <c r="E35" i="9"/>
  <c r="G35" i="9" s="1"/>
  <c r="D35" i="9"/>
  <c r="G34" i="9"/>
  <c r="G33" i="9"/>
  <c r="G32" i="9"/>
  <c r="G31" i="9"/>
  <c r="G30" i="9"/>
  <c r="G29" i="9"/>
  <c r="G28" i="9"/>
  <c r="O24" i="9"/>
  <c r="N24" i="9"/>
  <c r="M24" i="9"/>
  <c r="L24" i="9"/>
  <c r="K24" i="9"/>
  <c r="J24" i="9"/>
  <c r="I24" i="9"/>
  <c r="H24" i="9"/>
  <c r="F24" i="9"/>
  <c r="E24" i="9"/>
  <c r="D24" i="9"/>
  <c r="G23" i="9"/>
  <c r="G22" i="9"/>
  <c r="G21" i="9"/>
  <c r="G20" i="9"/>
  <c r="G19" i="9"/>
  <c r="G18" i="9"/>
  <c r="G17" i="9"/>
  <c r="G24" i="9" l="1"/>
  <c r="J172" i="9"/>
  <c r="D69" i="9"/>
  <c r="G79" i="9"/>
  <c r="G162" i="9"/>
  <c r="K172" i="9"/>
  <c r="I151" i="9"/>
  <c r="L185" i="9"/>
  <c r="L180" i="2"/>
  <c r="L185" i="2" s="1"/>
  <c r="G196" i="9"/>
  <c r="D219" i="9"/>
  <c r="I219" i="8" l="1"/>
  <c r="H219" i="8"/>
  <c r="G219" i="8"/>
  <c r="F219" i="8"/>
  <c r="D219" i="8"/>
  <c r="E216" i="8"/>
  <c r="E214" i="8"/>
  <c r="E219" i="8" s="1"/>
  <c r="E213" i="8"/>
  <c r="D213" i="8"/>
  <c r="L209" i="8"/>
  <c r="K209" i="8"/>
  <c r="J209" i="8"/>
  <c r="I209" i="8"/>
  <c r="H209" i="8"/>
  <c r="G209" i="8"/>
  <c r="F209" i="8"/>
  <c r="E209" i="8"/>
  <c r="D209" i="8"/>
  <c r="K196" i="8"/>
  <c r="J196" i="8"/>
  <c r="I196" i="8"/>
  <c r="H196" i="8"/>
  <c r="F196" i="8"/>
  <c r="E196" i="8"/>
  <c r="G195" i="8"/>
  <c r="G194" i="8"/>
  <c r="G193" i="8"/>
  <c r="G192" i="8"/>
  <c r="L191" i="8"/>
  <c r="D191" i="8"/>
  <c r="D191" i="2" s="1"/>
  <c r="G191" i="2" s="1"/>
  <c r="D190" i="8"/>
  <c r="D190" i="2" s="1"/>
  <c r="G189" i="8"/>
  <c r="O185" i="8"/>
  <c r="N185" i="8"/>
  <c r="M185" i="8"/>
  <c r="L185" i="8"/>
  <c r="K185" i="8"/>
  <c r="J185" i="8"/>
  <c r="I185" i="8"/>
  <c r="H185" i="8"/>
  <c r="F185" i="8"/>
  <c r="E185" i="8"/>
  <c r="D185" i="8"/>
  <c r="G184" i="8"/>
  <c r="G183" i="8"/>
  <c r="G182" i="8"/>
  <c r="G181" i="8"/>
  <c r="G180" i="8"/>
  <c r="G179" i="8"/>
  <c r="G178" i="8"/>
  <c r="I172" i="8"/>
  <c r="H172" i="8"/>
  <c r="G172" i="8"/>
  <c r="F172" i="8"/>
  <c r="E172" i="8"/>
  <c r="D172" i="8"/>
  <c r="K171" i="8"/>
  <c r="J171" i="8"/>
  <c r="K170" i="8"/>
  <c r="J170" i="8"/>
  <c r="K169" i="8"/>
  <c r="J169" i="8"/>
  <c r="K168" i="8"/>
  <c r="J168" i="8"/>
  <c r="K167" i="8"/>
  <c r="J167" i="8"/>
  <c r="K166" i="8"/>
  <c r="J166" i="8"/>
  <c r="K165" i="8"/>
  <c r="K172" i="8" s="1"/>
  <c r="J165" i="8"/>
  <c r="J162" i="8"/>
  <c r="I162" i="8"/>
  <c r="H162" i="8"/>
  <c r="F162" i="8"/>
  <c r="E162" i="8"/>
  <c r="D162" i="8"/>
  <c r="G161" i="8"/>
  <c r="G160" i="8"/>
  <c r="G159" i="8"/>
  <c r="G158" i="8"/>
  <c r="G157" i="8"/>
  <c r="G156" i="8"/>
  <c r="G155" i="8"/>
  <c r="N151" i="8"/>
  <c r="M151" i="8"/>
  <c r="L151" i="8"/>
  <c r="K151" i="8"/>
  <c r="J151" i="8"/>
  <c r="H151" i="8"/>
  <c r="G151" i="8"/>
  <c r="F151" i="8"/>
  <c r="E151" i="8"/>
  <c r="D151" i="8"/>
  <c r="I150" i="8"/>
  <c r="I149" i="8"/>
  <c r="I148" i="8"/>
  <c r="I147" i="8"/>
  <c r="I146" i="8"/>
  <c r="I145" i="8"/>
  <c r="I144" i="8"/>
  <c r="F137" i="8"/>
  <c r="E137" i="8"/>
  <c r="G136" i="8"/>
  <c r="G135" i="8"/>
  <c r="G134" i="8"/>
  <c r="G133" i="8"/>
  <c r="D132" i="8"/>
  <c r="G132" i="8" s="1"/>
  <c r="G131" i="8"/>
  <c r="L127" i="8"/>
  <c r="K127" i="8"/>
  <c r="I127" i="8"/>
  <c r="H127" i="8"/>
  <c r="G127" i="8"/>
  <c r="F127" i="8"/>
  <c r="E127" i="8"/>
  <c r="D127" i="8"/>
  <c r="L116" i="8"/>
  <c r="K116" i="8"/>
  <c r="I116" i="8"/>
  <c r="H116" i="8"/>
  <c r="G116" i="8"/>
  <c r="F116" i="8"/>
  <c r="E116" i="8"/>
  <c r="D116" i="8"/>
  <c r="M105" i="8"/>
  <c r="L105" i="8"/>
  <c r="K105" i="8"/>
  <c r="J105" i="8"/>
  <c r="I105" i="8"/>
  <c r="H105" i="8"/>
  <c r="G105" i="8"/>
  <c r="F105" i="8"/>
  <c r="E105" i="8"/>
  <c r="D105" i="8"/>
  <c r="K92" i="8"/>
  <c r="J92" i="8"/>
  <c r="I92" i="8"/>
  <c r="H92" i="8"/>
  <c r="G92" i="8"/>
  <c r="F92" i="8"/>
  <c r="E92" i="8"/>
  <c r="D92" i="8"/>
  <c r="N79" i="8"/>
  <c r="M79" i="8"/>
  <c r="L79" i="8"/>
  <c r="K79" i="8"/>
  <c r="J79" i="8"/>
  <c r="I79" i="8"/>
  <c r="F79" i="8"/>
  <c r="E79" i="8"/>
  <c r="G78" i="8"/>
  <c r="G77" i="8"/>
  <c r="G76" i="8"/>
  <c r="G75" i="8"/>
  <c r="O74" i="8"/>
  <c r="O79" i="8" s="1"/>
  <c r="D74" i="8"/>
  <c r="G74" i="8" s="1"/>
  <c r="G73" i="8"/>
  <c r="G72" i="8"/>
  <c r="K69" i="8"/>
  <c r="I69" i="8"/>
  <c r="H69" i="8"/>
  <c r="G69" i="8"/>
  <c r="F69" i="8"/>
  <c r="E69" i="8"/>
  <c r="D69" i="8"/>
  <c r="L64" i="8"/>
  <c r="K58" i="8"/>
  <c r="J58" i="8"/>
  <c r="I58" i="8"/>
  <c r="H58" i="8"/>
  <c r="G58" i="8"/>
  <c r="F58" i="8"/>
  <c r="E58" i="8"/>
  <c r="D58" i="8"/>
  <c r="E47" i="8"/>
  <c r="D47" i="8"/>
  <c r="F35" i="8"/>
  <c r="G34" i="8"/>
  <c r="G33" i="8"/>
  <c r="G32" i="8"/>
  <c r="G31" i="8"/>
  <c r="E30" i="8"/>
  <c r="D30" i="8"/>
  <c r="G30" i="8" s="1"/>
  <c r="E29" i="8"/>
  <c r="E35" i="8" s="1"/>
  <c r="D29" i="8"/>
  <c r="G28" i="8"/>
  <c r="O24" i="8"/>
  <c r="N24" i="8"/>
  <c r="M24" i="8"/>
  <c r="L24" i="8"/>
  <c r="K24" i="8"/>
  <c r="J24" i="8"/>
  <c r="I24" i="8"/>
  <c r="H24" i="8"/>
  <c r="F24" i="8"/>
  <c r="E24" i="8"/>
  <c r="D24" i="8"/>
  <c r="G23" i="8"/>
  <c r="G22" i="8"/>
  <c r="G21" i="8"/>
  <c r="G20" i="8"/>
  <c r="G19" i="8"/>
  <c r="G17" i="8"/>
  <c r="I151" i="8" l="1"/>
  <c r="L69" i="8"/>
  <c r="L64" i="2"/>
  <c r="L69" i="2" s="1"/>
  <c r="G79" i="8"/>
  <c r="D79" i="8"/>
  <c r="G137" i="8"/>
  <c r="G162" i="8"/>
  <c r="D196" i="2"/>
  <c r="G190" i="2"/>
  <c r="G196" i="2" s="1"/>
  <c r="L196" i="8"/>
  <c r="L191" i="2"/>
  <c r="L196" i="2" s="1"/>
  <c r="G191" i="8"/>
  <c r="G24" i="8"/>
  <c r="D35" i="8"/>
  <c r="G35" i="8" s="1"/>
  <c r="J172" i="8"/>
  <c r="G185" i="8"/>
  <c r="G190" i="8"/>
  <c r="G196" i="8" s="1"/>
  <c r="D196" i="8"/>
  <c r="G29" i="8"/>
  <c r="D137" i="8"/>
  <c r="I219" i="7" l="1"/>
  <c r="H219" i="7"/>
  <c r="G219" i="7"/>
  <c r="F219" i="7"/>
  <c r="E219" i="7"/>
  <c r="D219" i="7"/>
  <c r="E213" i="7"/>
  <c r="D213" i="7"/>
  <c r="L209" i="7"/>
  <c r="K209" i="7"/>
  <c r="J209" i="7"/>
  <c r="I209" i="7"/>
  <c r="H209" i="7"/>
  <c r="G209" i="7"/>
  <c r="F209" i="7"/>
  <c r="E209" i="7"/>
  <c r="D209" i="7"/>
  <c r="L196" i="7"/>
  <c r="K196" i="7"/>
  <c r="J196" i="7"/>
  <c r="I196" i="7"/>
  <c r="H196" i="7"/>
  <c r="F196" i="7"/>
  <c r="E196" i="7"/>
  <c r="D196" i="7"/>
  <c r="G195" i="7"/>
  <c r="G194" i="7"/>
  <c r="G193" i="7"/>
  <c r="G192" i="7"/>
  <c r="G191" i="7"/>
  <c r="G190" i="7"/>
  <c r="G189" i="7"/>
  <c r="G196" i="7" s="1"/>
  <c r="O185" i="7"/>
  <c r="N185" i="7"/>
  <c r="M185" i="7"/>
  <c r="L185" i="7"/>
  <c r="K185" i="7"/>
  <c r="J185" i="7"/>
  <c r="I185" i="7"/>
  <c r="H185" i="7"/>
  <c r="F185" i="7"/>
  <c r="E185" i="7"/>
  <c r="D185" i="7"/>
  <c r="G184" i="7"/>
  <c r="G183" i="7"/>
  <c r="G182" i="7"/>
  <c r="G181" i="7"/>
  <c r="G180" i="7"/>
  <c r="G179" i="7"/>
  <c r="G178" i="7"/>
  <c r="I172" i="7"/>
  <c r="H172" i="7"/>
  <c r="G172" i="7"/>
  <c r="F172" i="7"/>
  <c r="E172" i="7"/>
  <c r="D172" i="7"/>
  <c r="K171" i="7"/>
  <c r="J171" i="7"/>
  <c r="K170" i="7"/>
  <c r="J170" i="7"/>
  <c r="K169" i="7"/>
  <c r="J169" i="7"/>
  <c r="K168" i="7"/>
  <c r="J168" i="7"/>
  <c r="K167" i="7"/>
  <c r="J167" i="7"/>
  <c r="K166" i="7"/>
  <c r="J166" i="7"/>
  <c r="K165" i="7"/>
  <c r="J165" i="7"/>
  <c r="J162" i="7"/>
  <c r="I162" i="7"/>
  <c r="H162" i="7"/>
  <c r="F162" i="7"/>
  <c r="E162" i="7"/>
  <c r="D162" i="7"/>
  <c r="G161" i="7"/>
  <c r="G160" i="7"/>
  <c r="G159" i="7"/>
  <c r="G158" i="7"/>
  <c r="G157" i="7"/>
  <c r="G156" i="7"/>
  <c r="G155" i="7"/>
  <c r="N151" i="7"/>
  <c r="M151" i="7"/>
  <c r="L151" i="7"/>
  <c r="K151" i="7"/>
  <c r="J151" i="7"/>
  <c r="H151" i="7"/>
  <c r="G151" i="7"/>
  <c r="F151" i="7"/>
  <c r="E151" i="7"/>
  <c r="D151" i="7"/>
  <c r="I150" i="7"/>
  <c r="I149" i="7"/>
  <c r="I148" i="7"/>
  <c r="I147" i="7"/>
  <c r="I146" i="7"/>
  <c r="I145" i="7"/>
  <c r="I144" i="7"/>
  <c r="I151" i="7" s="1"/>
  <c r="F137" i="7"/>
  <c r="E137" i="7"/>
  <c r="D137" i="7"/>
  <c r="G136" i="7"/>
  <c r="G135" i="7"/>
  <c r="G134" i="7"/>
  <c r="G133" i="7"/>
  <c r="G132" i="7"/>
  <c r="G131" i="7"/>
  <c r="L127" i="7"/>
  <c r="K127" i="7"/>
  <c r="I127" i="7"/>
  <c r="H127" i="7"/>
  <c r="G127" i="7"/>
  <c r="F127" i="7"/>
  <c r="E127" i="7"/>
  <c r="D127" i="7"/>
  <c r="L116" i="7"/>
  <c r="K116" i="7"/>
  <c r="I116" i="7"/>
  <c r="H116" i="7"/>
  <c r="G116" i="7"/>
  <c r="F116" i="7"/>
  <c r="E116" i="7"/>
  <c r="D116" i="7"/>
  <c r="M105" i="7"/>
  <c r="L105" i="7"/>
  <c r="K105" i="7"/>
  <c r="J105" i="7"/>
  <c r="I105" i="7"/>
  <c r="H105" i="7"/>
  <c r="G105" i="7"/>
  <c r="F105" i="7"/>
  <c r="E105" i="7"/>
  <c r="D105" i="7"/>
  <c r="K92" i="7"/>
  <c r="J92" i="7"/>
  <c r="I92" i="7"/>
  <c r="H92" i="7"/>
  <c r="G92" i="7"/>
  <c r="F92" i="7"/>
  <c r="E92" i="7"/>
  <c r="D92" i="7"/>
  <c r="O79" i="7"/>
  <c r="N79" i="7"/>
  <c r="M79" i="7"/>
  <c r="L79" i="7"/>
  <c r="K79" i="7"/>
  <c r="J79" i="7"/>
  <c r="I79" i="7"/>
  <c r="F79" i="7"/>
  <c r="E79" i="7"/>
  <c r="D79" i="7"/>
  <c r="G78" i="7"/>
  <c r="G77" i="7"/>
  <c r="G76" i="7"/>
  <c r="G75" i="7"/>
  <c r="G74" i="7"/>
  <c r="G73" i="7"/>
  <c r="G72" i="7"/>
  <c r="L69" i="7"/>
  <c r="K69" i="7"/>
  <c r="I69" i="7"/>
  <c r="H69" i="7"/>
  <c r="G69" i="7"/>
  <c r="F69" i="7"/>
  <c r="E69" i="7"/>
  <c r="D69" i="7"/>
  <c r="K58" i="7"/>
  <c r="J58" i="7"/>
  <c r="I58" i="7"/>
  <c r="H58" i="7"/>
  <c r="G58" i="7"/>
  <c r="F58" i="7"/>
  <c r="E58" i="7"/>
  <c r="D58" i="7"/>
  <c r="E47" i="7"/>
  <c r="D47" i="7"/>
  <c r="F35" i="7"/>
  <c r="E35" i="7"/>
  <c r="G35" i="7" s="1"/>
  <c r="D35" i="7"/>
  <c r="G34" i="7"/>
  <c r="G33" i="7"/>
  <c r="G32" i="7"/>
  <c r="G31" i="7"/>
  <c r="G30" i="7"/>
  <c r="G29" i="7"/>
  <c r="G28" i="7"/>
  <c r="O24" i="7"/>
  <c r="N24" i="7"/>
  <c r="M24" i="7"/>
  <c r="L24" i="7"/>
  <c r="K24" i="7"/>
  <c r="J24" i="7"/>
  <c r="I24" i="7"/>
  <c r="H24" i="7"/>
  <c r="F24" i="7"/>
  <c r="E24" i="7"/>
  <c r="D24" i="7"/>
  <c r="G24" i="7" s="1"/>
  <c r="G23" i="7"/>
  <c r="G22" i="7"/>
  <c r="G21" i="7"/>
  <c r="G20" i="7"/>
  <c r="G19" i="7"/>
  <c r="G18" i="7"/>
  <c r="G17" i="7"/>
  <c r="G79" i="7" l="1"/>
  <c r="J172" i="7"/>
  <c r="G185" i="7"/>
  <c r="G137" i="7"/>
  <c r="G162" i="7"/>
  <c r="K172" i="7"/>
  <c r="I219" i="6"/>
  <c r="H219" i="6"/>
  <c r="G219" i="6"/>
  <c r="F219" i="6"/>
  <c r="E219" i="6"/>
  <c r="D219" i="6"/>
  <c r="L209" i="6"/>
  <c r="K209" i="6"/>
  <c r="J209" i="6"/>
  <c r="I209" i="6"/>
  <c r="H209" i="6"/>
  <c r="G209" i="6"/>
  <c r="F209" i="6"/>
  <c r="E209" i="6"/>
  <c r="D209" i="6"/>
  <c r="L196" i="6"/>
  <c r="K196" i="6"/>
  <c r="J196" i="6"/>
  <c r="I196" i="6"/>
  <c r="H196" i="6"/>
  <c r="F196" i="6"/>
  <c r="E196" i="6"/>
  <c r="D196" i="6"/>
  <c r="G195" i="6"/>
  <c r="G194" i="6"/>
  <c r="G193" i="6"/>
  <c r="G192" i="6"/>
  <c r="G191" i="6"/>
  <c r="G190" i="6"/>
  <c r="G189" i="6"/>
  <c r="O185" i="6"/>
  <c r="N185" i="6"/>
  <c r="M185" i="6"/>
  <c r="L185" i="6"/>
  <c r="K185" i="6"/>
  <c r="J185" i="6"/>
  <c r="I185" i="6"/>
  <c r="H185" i="6"/>
  <c r="F185" i="6"/>
  <c r="E185" i="6"/>
  <c r="D185" i="6"/>
  <c r="G184" i="6"/>
  <c r="G183" i="6"/>
  <c r="G182" i="6"/>
  <c r="G181" i="6"/>
  <c r="G180" i="6"/>
  <c r="G185" i="6" s="1"/>
  <c r="G179" i="6"/>
  <c r="G178" i="6"/>
  <c r="I172" i="6"/>
  <c r="H172" i="6"/>
  <c r="G172" i="6"/>
  <c r="F172" i="6"/>
  <c r="E172" i="6"/>
  <c r="D172" i="6"/>
  <c r="K171" i="6"/>
  <c r="J171" i="6"/>
  <c r="K170" i="6"/>
  <c r="J170" i="6"/>
  <c r="K169" i="6"/>
  <c r="J169" i="6"/>
  <c r="K168" i="6"/>
  <c r="J168" i="6"/>
  <c r="K167" i="6"/>
  <c r="J167" i="6"/>
  <c r="K166" i="6"/>
  <c r="J166" i="6"/>
  <c r="K165" i="6"/>
  <c r="J165" i="6"/>
  <c r="J162" i="6"/>
  <c r="I162" i="6"/>
  <c r="H162" i="6"/>
  <c r="F162" i="6"/>
  <c r="E162" i="6"/>
  <c r="D162" i="6"/>
  <c r="G161" i="6"/>
  <c r="G160" i="6"/>
  <c r="G159" i="6"/>
  <c r="G158" i="6"/>
  <c r="G157" i="6"/>
  <c r="G156" i="6"/>
  <c r="G155" i="6"/>
  <c r="N151" i="6"/>
  <c r="M151" i="6"/>
  <c r="L151" i="6"/>
  <c r="K151" i="6"/>
  <c r="J151" i="6"/>
  <c r="H151" i="6"/>
  <c r="G151" i="6"/>
  <c r="F151" i="6"/>
  <c r="E151" i="6"/>
  <c r="D151" i="6"/>
  <c r="I150" i="6"/>
  <c r="I149" i="6"/>
  <c r="I148" i="6"/>
  <c r="I147" i="6"/>
  <c r="I146" i="6"/>
  <c r="I145" i="6"/>
  <c r="I144" i="6"/>
  <c r="I151" i="6" s="1"/>
  <c r="F137" i="6"/>
  <c r="E137" i="6"/>
  <c r="D137" i="6"/>
  <c r="G136" i="6"/>
  <c r="G135" i="6"/>
  <c r="G134" i="6"/>
  <c r="G133" i="6"/>
  <c r="G132" i="6"/>
  <c r="G131" i="6"/>
  <c r="L127" i="6"/>
  <c r="K127" i="6"/>
  <c r="I127" i="6"/>
  <c r="H127" i="6"/>
  <c r="G127" i="6"/>
  <c r="F127" i="6"/>
  <c r="E127" i="6"/>
  <c r="D127" i="6"/>
  <c r="L116" i="6"/>
  <c r="K116" i="6"/>
  <c r="I116" i="6"/>
  <c r="H116" i="6"/>
  <c r="G116" i="6"/>
  <c r="F116" i="6"/>
  <c r="E116" i="6"/>
  <c r="D116" i="6"/>
  <c r="M105" i="6"/>
  <c r="L105" i="6"/>
  <c r="K105" i="6"/>
  <c r="J105" i="6"/>
  <c r="I105" i="6"/>
  <c r="H105" i="6"/>
  <c r="G105" i="6"/>
  <c r="F105" i="6"/>
  <c r="E105" i="6"/>
  <c r="D105" i="6"/>
  <c r="K92" i="6"/>
  <c r="J92" i="6"/>
  <c r="I92" i="6"/>
  <c r="H92" i="6"/>
  <c r="G92" i="6"/>
  <c r="F92" i="6"/>
  <c r="E92" i="6"/>
  <c r="D92" i="6"/>
  <c r="O79" i="6"/>
  <c r="N79" i="6"/>
  <c r="M79" i="6"/>
  <c r="L79" i="6"/>
  <c r="K79" i="6"/>
  <c r="J79" i="6"/>
  <c r="I79" i="6"/>
  <c r="F79" i="6"/>
  <c r="E79" i="6"/>
  <c r="D79" i="6"/>
  <c r="G78" i="6"/>
  <c r="G77" i="6"/>
  <c r="G76" i="6"/>
  <c r="G75" i="6"/>
  <c r="G74" i="6"/>
  <c r="G73" i="6"/>
  <c r="G72" i="6"/>
  <c r="G79" i="6" s="1"/>
  <c r="L69" i="6"/>
  <c r="K69" i="6"/>
  <c r="I69" i="6"/>
  <c r="H69" i="6"/>
  <c r="G69" i="6"/>
  <c r="F69" i="6"/>
  <c r="E69" i="6"/>
  <c r="D69" i="6"/>
  <c r="K58" i="6"/>
  <c r="J58" i="6"/>
  <c r="I58" i="6"/>
  <c r="H58" i="6"/>
  <c r="G58" i="6"/>
  <c r="F58" i="6"/>
  <c r="E58" i="6"/>
  <c r="D58" i="6"/>
  <c r="E47" i="6"/>
  <c r="D47" i="6"/>
  <c r="F35" i="6"/>
  <c r="E35" i="6"/>
  <c r="D35" i="6"/>
  <c r="G34" i="6"/>
  <c r="G33" i="6"/>
  <c r="G32" i="6"/>
  <c r="G31" i="6"/>
  <c r="G30" i="6"/>
  <c r="G29" i="6"/>
  <c r="G28" i="6"/>
  <c r="O24" i="6"/>
  <c r="N24" i="6"/>
  <c r="M24" i="6"/>
  <c r="L24" i="6"/>
  <c r="K24" i="6"/>
  <c r="J24" i="6"/>
  <c r="I24" i="6"/>
  <c r="H24" i="6"/>
  <c r="F24" i="6"/>
  <c r="E24" i="6"/>
  <c r="D24" i="6"/>
  <c r="G23" i="6"/>
  <c r="G22" i="6"/>
  <c r="G21" i="6"/>
  <c r="G20" i="6"/>
  <c r="G19" i="6"/>
  <c r="G18" i="6"/>
  <c r="G17" i="6"/>
  <c r="G162" i="6" l="1"/>
  <c r="G196" i="6"/>
  <c r="G24" i="6"/>
  <c r="J172" i="6"/>
  <c r="G35" i="6"/>
  <c r="G137" i="6"/>
  <c r="K172" i="6"/>
  <c r="I219" i="5"/>
  <c r="H219" i="5"/>
  <c r="G219" i="5"/>
  <c r="F219" i="5"/>
  <c r="E219" i="5"/>
  <c r="D219" i="5"/>
  <c r="L209" i="5"/>
  <c r="K209" i="5"/>
  <c r="J209" i="5"/>
  <c r="I209" i="5"/>
  <c r="H209" i="5"/>
  <c r="G209" i="5"/>
  <c r="F209" i="5"/>
  <c r="E209" i="5"/>
  <c r="D209" i="5"/>
  <c r="L196" i="5"/>
  <c r="K196" i="5"/>
  <c r="J196" i="5"/>
  <c r="I196" i="5"/>
  <c r="H196" i="5"/>
  <c r="F196" i="5"/>
  <c r="E196" i="5"/>
  <c r="D196" i="5"/>
  <c r="G195" i="5"/>
  <c r="G194" i="5"/>
  <c r="G193" i="5"/>
  <c r="G192" i="5"/>
  <c r="G191" i="5"/>
  <c r="G190" i="5"/>
  <c r="G189" i="5"/>
  <c r="O185" i="5"/>
  <c r="N185" i="5"/>
  <c r="M185" i="5"/>
  <c r="L185" i="5"/>
  <c r="K185" i="5"/>
  <c r="J185" i="5"/>
  <c r="I185" i="5"/>
  <c r="H185" i="5"/>
  <c r="F185" i="5"/>
  <c r="E185" i="5"/>
  <c r="D185" i="5"/>
  <c r="G184" i="5"/>
  <c r="G183" i="5"/>
  <c r="G182" i="5"/>
  <c r="G181" i="5"/>
  <c r="G180" i="5"/>
  <c r="G179" i="5"/>
  <c r="G178" i="5"/>
  <c r="I172" i="5"/>
  <c r="H172" i="5"/>
  <c r="G172" i="5"/>
  <c r="F172" i="5"/>
  <c r="E172" i="5"/>
  <c r="D172" i="5"/>
  <c r="K171" i="5"/>
  <c r="J171" i="5"/>
  <c r="K170" i="5"/>
  <c r="J170" i="5"/>
  <c r="K169" i="5"/>
  <c r="J169" i="5"/>
  <c r="K168" i="5"/>
  <c r="J168" i="5"/>
  <c r="K167" i="5"/>
  <c r="J167" i="5"/>
  <c r="K166" i="5"/>
  <c r="J166" i="5"/>
  <c r="K165" i="5"/>
  <c r="J165" i="5"/>
  <c r="J162" i="5"/>
  <c r="I162" i="5"/>
  <c r="H162" i="5"/>
  <c r="F162" i="5"/>
  <c r="E162" i="5"/>
  <c r="D162" i="5"/>
  <c r="G161" i="5"/>
  <c r="G160" i="5"/>
  <c r="G159" i="5"/>
  <c r="G158" i="5"/>
  <c r="G157" i="5"/>
  <c r="G156" i="5"/>
  <c r="G155" i="5"/>
  <c r="N151" i="5"/>
  <c r="M151" i="5"/>
  <c r="L151" i="5"/>
  <c r="K151" i="5"/>
  <c r="J151" i="5"/>
  <c r="H151" i="5"/>
  <c r="G151" i="5"/>
  <c r="F151" i="5"/>
  <c r="E151" i="5"/>
  <c r="D151" i="5"/>
  <c r="I150" i="5"/>
  <c r="I149" i="5"/>
  <c r="I148" i="5"/>
  <c r="I147" i="5"/>
  <c r="I146" i="5"/>
  <c r="I145" i="5"/>
  <c r="I144" i="5"/>
  <c r="I151" i="5" s="1"/>
  <c r="F137" i="5"/>
  <c r="E137" i="5"/>
  <c r="G136" i="5"/>
  <c r="G135" i="5"/>
  <c r="G134" i="5"/>
  <c r="G133" i="5"/>
  <c r="D132" i="5"/>
  <c r="G132" i="5" s="1"/>
  <c r="G131" i="5"/>
  <c r="L127" i="5"/>
  <c r="K127" i="5"/>
  <c r="I127" i="5"/>
  <c r="H127" i="5"/>
  <c r="G127" i="5"/>
  <c r="F127" i="5"/>
  <c r="E127" i="5"/>
  <c r="D127" i="5"/>
  <c r="L116" i="5"/>
  <c r="K116" i="5"/>
  <c r="I116" i="5"/>
  <c r="H116" i="5"/>
  <c r="G116" i="5"/>
  <c r="F116" i="5"/>
  <c r="E116" i="5"/>
  <c r="D116" i="5"/>
  <c r="M105" i="5"/>
  <c r="L105" i="5"/>
  <c r="K105" i="5"/>
  <c r="J105" i="5"/>
  <c r="I105" i="5"/>
  <c r="H105" i="5"/>
  <c r="G105" i="5"/>
  <c r="F105" i="5"/>
  <c r="E105" i="5"/>
  <c r="D105" i="5"/>
  <c r="K92" i="5"/>
  <c r="J92" i="5"/>
  <c r="I92" i="5"/>
  <c r="H92" i="5"/>
  <c r="G92" i="5"/>
  <c r="F92" i="5"/>
  <c r="E92" i="5"/>
  <c r="D92" i="5"/>
  <c r="O79" i="5"/>
  <c r="N79" i="5"/>
  <c r="M79" i="5"/>
  <c r="L79" i="5"/>
  <c r="K79" i="5"/>
  <c r="J79" i="5"/>
  <c r="I79" i="5"/>
  <c r="F79" i="5"/>
  <c r="E79" i="5"/>
  <c r="D79" i="5"/>
  <c r="G78" i="5"/>
  <c r="G77" i="5"/>
  <c r="G76" i="5"/>
  <c r="G75" i="5"/>
  <c r="G74" i="5"/>
  <c r="G73" i="5"/>
  <c r="G72" i="5"/>
  <c r="G79" i="5" s="1"/>
  <c r="L69" i="5"/>
  <c r="K69" i="5"/>
  <c r="I69" i="5"/>
  <c r="H69" i="5"/>
  <c r="G69" i="5"/>
  <c r="F69" i="5"/>
  <c r="E69" i="5"/>
  <c r="D69" i="5"/>
  <c r="K58" i="5"/>
  <c r="J58" i="5"/>
  <c r="I58" i="5"/>
  <c r="H58" i="5"/>
  <c r="G58" i="5"/>
  <c r="F58" i="5"/>
  <c r="E58" i="5"/>
  <c r="D58" i="5"/>
  <c r="E47" i="5"/>
  <c r="E42" i="5"/>
  <c r="D42" i="5"/>
  <c r="D47" i="5" s="1"/>
  <c r="F35" i="5"/>
  <c r="E35" i="5"/>
  <c r="D35" i="5"/>
  <c r="G34" i="5"/>
  <c r="G33" i="5"/>
  <c r="G32" i="5"/>
  <c r="G31" i="5"/>
  <c r="G30" i="5"/>
  <c r="G29" i="5"/>
  <c r="G28" i="5"/>
  <c r="O24" i="5"/>
  <c r="N24" i="5"/>
  <c r="M24" i="5"/>
  <c r="L24" i="5"/>
  <c r="K24" i="5"/>
  <c r="J24" i="5"/>
  <c r="I24" i="5"/>
  <c r="H24" i="5"/>
  <c r="F24" i="5"/>
  <c r="E24" i="5"/>
  <c r="D24" i="5"/>
  <c r="G23" i="5"/>
  <c r="G22" i="5"/>
  <c r="G21" i="5"/>
  <c r="G20" i="5"/>
  <c r="G19" i="5"/>
  <c r="G18" i="5"/>
  <c r="G17" i="5"/>
  <c r="D137" i="5" l="1"/>
  <c r="G24" i="5"/>
  <c r="G35" i="5"/>
  <c r="J172" i="5"/>
  <c r="G162" i="5"/>
  <c r="G137" i="5"/>
  <c r="K172" i="5"/>
  <c r="G185" i="5"/>
  <c r="G196" i="5"/>
  <c r="I219" i="4"/>
  <c r="H219" i="4"/>
  <c r="G219" i="4"/>
  <c r="L209" i="4"/>
  <c r="K209" i="4"/>
  <c r="J209" i="4"/>
  <c r="I209" i="4"/>
  <c r="H209" i="4"/>
  <c r="G209" i="4"/>
  <c r="F209" i="4"/>
  <c r="E209" i="4"/>
  <c r="D209" i="4"/>
  <c r="L196" i="4"/>
  <c r="J196" i="4"/>
  <c r="I196" i="4"/>
  <c r="H196" i="4"/>
  <c r="F196" i="4"/>
  <c r="E196" i="4"/>
  <c r="D196" i="4"/>
  <c r="G195" i="4"/>
  <c r="G194" i="4"/>
  <c r="G193" i="4"/>
  <c r="G192" i="4"/>
  <c r="G191" i="4"/>
  <c r="G190" i="4"/>
  <c r="K190" i="4" s="1"/>
  <c r="G189" i="4"/>
  <c r="O185" i="4"/>
  <c r="N185" i="4"/>
  <c r="M185" i="4"/>
  <c r="L185" i="4"/>
  <c r="J185" i="4"/>
  <c r="I185" i="4"/>
  <c r="H185" i="4"/>
  <c r="F185" i="4"/>
  <c r="E185" i="4"/>
  <c r="D185" i="4"/>
  <c r="G184" i="4"/>
  <c r="G183" i="4"/>
  <c r="G182" i="4"/>
  <c r="G181" i="4"/>
  <c r="K180" i="4"/>
  <c r="K180" i="2" s="1"/>
  <c r="K185" i="2" s="1"/>
  <c r="G180" i="4"/>
  <c r="G178" i="4"/>
  <c r="I172" i="4"/>
  <c r="H172" i="4"/>
  <c r="G172" i="4"/>
  <c r="F172" i="4"/>
  <c r="E172" i="4"/>
  <c r="D172" i="4"/>
  <c r="K171" i="4"/>
  <c r="J171" i="4"/>
  <c r="K170" i="4"/>
  <c r="J170" i="4"/>
  <c r="K169" i="4"/>
  <c r="J169" i="4"/>
  <c r="K168" i="4"/>
  <c r="J168" i="4"/>
  <c r="K167" i="4"/>
  <c r="J167" i="4"/>
  <c r="K166" i="4"/>
  <c r="J166" i="4"/>
  <c r="K165" i="4"/>
  <c r="K172" i="4" s="1"/>
  <c r="J165" i="4"/>
  <c r="J162" i="4"/>
  <c r="I162" i="4"/>
  <c r="H162" i="4"/>
  <c r="F162" i="4"/>
  <c r="E162" i="4"/>
  <c r="D162" i="4"/>
  <c r="G161" i="4"/>
  <c r="G160" i="4"/>
  <c r="G159" i="4"/>
  <c r="G158" i="4"/>
  <c r="G157" i="4"/>
  <c r="G156" i="4"/>
  <c r="G155" i="4"/>
  <c r="N151" i="4"/>
  <c r="M151" i="4"/>
  <c r="L151" i="4"/>
  <c r="K151" i="4"/>
  <c r="J151" i="4"/>
  <c r="H151" i="4"/>
  <c r="G151" i="4"/>
  <c r="F151" i="4"/>
  <c r="E151" i="4"/>
  <c r="D151" i="4"/>
  <c r="I150" i="4"/>
  <c r="I149" i="4"/>
  <c r="I148" i="4"/>
  <c r="I147" i="4"/>
  <c r="I146" i="4"/>
  <c r="I145" i="4"/>
  <c r="I144" i="4"/>
  <c r="F137" i="4"/>
  <c r="E137" i="4"/>
  <c r="D137" i="4"/>
  <c r="G136" i="4"/>
  <c r="G135" i="4"/>
  <c r="G134" i="4"/>
  <c r="G133" i="4"/>
  <c r="G132" i="4"/>
  <c r="G131" i="4"/>
  <c r="L127" i="4"/>
  <c r="K127" i="4"/>
  <c r="I127" i="4"/>
  <c r="H127" i="4"/>
  <c r="G127" i="4"/>
  <c r="F127" i="4"/>
  <c r="E127" i="4"/>
  <c r="D127" i="4"/>
  <c r="L116" i="4"/>
  <c r="K116" i="4"/>
  <c r="I116" i="4"/>
  <c r="H116" i="4"/>
  <c r="G116" i="4"/>
  <c r="F116" i="4"/>
  <c r="E116" i="4"/>
  <c r="D116" i="4"/>
  <c r="M105" i="4"/>
  <c r="L105" i="4"/>
  <c r="K105" i="4"/>
  <c r="J105" i="4"/>
  <c r="I105" i="4"/>
  <c r="H105" i="4"/>
  <c r="G105" i="4"/>
  <c r="F105" i="4"/>
  <c r="E105" i="4"/>
  <c r="D105" i="4"/>
  <c r="K92" i="4"/>
  <c r="J92" i="4"/>
  <c r="I92" i="4"/>
  <c r="H92" i="4"/>
  <c r="G92" i="4"/>
  <c r="F92" i="4"/>
  <c r="E92" i="4"/>
  <c r="D92" i="4"/>
  <c r="O79" i="4"/>
  <c r="N79" i="4"/>
  <c r="M79" i="4"/>
  <c r="L79" i="4"/>
  <c r="K79" i="4"/>
  <c r="J79" i="4"/>
  <c r="I79" i="4"/>
  <c r="F79" i="4"/>
  <c r="E79" i="4"/>
  <c r="D79" i="4"/>
  <c r="G78" i="4"/>
  <c r="G77" i="4"/>
  <c r="G76" i="4"/>
  <c r="G75" i="4"/>
  <c r="G74" i="4"/>
  <c r="G72" i="4"/>
  <c r="L69" i="4"/>
  <c r="K69" i="4"/>
  <c r="I69" i="4"/>
  <c r="H69" i="4"/>
  <c r="F69" i="4"/>
  <c r="E69" i="4"/>
  <c r="D69" i="4"/>
  <c r="G64" i="4"/>
  <c r="K58" i="4"/>
  <c r="J58" i="4"/>
  <c r="I58" i="4"/>
  <c r="H58" i="4"/>
  <c r="G58" i="4"/>
  <c r="F58" i="4"/>
  <c r="E58" i="4"/>
  <c r="D58" i="4"/>
  <c r="E47" i="4"/>
  <c r="D47" i="4"/>
  <c r="F35" i="4"/>
  <c r="E35" i="4"/>
  <c r="D35" i="4"/>
  <c r="G35" i="4" s="1"/>
  <c r="G34" i="4"/>
  <c r="G33" i="4"/>
  <c r="G32" i="4"/>
  <c r="G31" i="4"/>
  <c r="G30" i="4"/>
  <c r="G29" i="4"/>
  <c r="G28" i="4"/>
  <c r="O24" i="4"/>
  <c r="N24" i="4"/>
  <c r="M24" i="4"/>
  <c r="L24" i="4"/>
  <c r="K24" i="4"/>
  <c r="J24" i="4"/>
  <c r="I24" i="4"/>
  <c r="H24" i="4"/>
  <c r="F24" i="4"/>
  <c r="E24" i="4"/>
  <c r="G23" i="4"/>
  <c r="G22" i="4"/>
  <c r="G21" i="4"/>
  <c r="G20" i="4"/>
  <c r="G19" i="4"/>
  <c r="D18" i="4"/>
  <c r="D24" i="4" s="1"/>
  <c r="G24" i="4" s="1"/>
  <c r="G17" i="4"/>
  <c r="K196" i="4" l="1"/>
  <c r="K190" i="2"/>
  <c r="K196" i="2" s="1"/>
  <c r="G18" i="4"/>
  <c r="G69" i="4"/>
  <c r="G64" i="2"/>
  <c r="G69" i="2" s="1"/>
  <c r="G79" i="4"/>
  <c r="G162" i="4"/>
  <c r="J172" i="4"/>
  <c r="G185" i="4"/>
  <c r="G137" i="4"/>
  <c r="I151" i="4"/>
  <c r="K185" i="4"/>
  <c r="G196" i="4"/>
  <c r="I219" i="1"/>
  <c r="H219" i="1"/>
  <c r="G219" i="1"/>
  <c r="F219" i="1"/>
  <c r="E218" i="1"/>
  <c r="E218" i="2" s="1"/>
  <c r="D218" i="1"/>
  <c r="D218" i="2" s="1"/>
  <c r="E217" i="1"/>
  <c r="E217" i="2" s="1"/>
  <c r="E216" i="1"/>
  <c r="E216" i="2" s="1"/>
  <c r="D216" i="1"/>
  <c r="D216" i="2" s="1"/>
  <c r="E214" i="1"/>
  <c r="E214" i="2" s="1"/>
  <c r="D214" i="1"/>
  <c r="D219" i="1" s="1"/>
  <c r="L209" i="1"/>
  <c r="K209" i="1"/>
  <c r="J209" i="1"/>
  <c r="I209" i="1"/>
  <c r="H209" i="1"/>
  <c r="G209" i="1"/>
  <c r="F209" i="1"/>
  <c r="E209" i="1"/>
  <c r="D209" i="1"/>
  <c r="L196" i="1"/>
  <c r="K196" i="1"/>
  <c r="J196" i="1"/>
  <c r="I196" i="1"/>
  <c r="H196" i="1"/>
  <c r="F196" i="1"/>
  <c r="E196" i="1"/>
  <c r="D196" i="1"/>
  <c r="G195" i="1"/>
  <c r="G194" i="1"/>
  <c r="G193" i="1"/>
  <c r="G192" i="1"/>
  <c r="G191" i="1"/>
  <c r="G190" i="1"/>
  <c r="G189" i="1"/>
  <c r="O185" i="1"/>
  <c r="N185" i="1"/>
  <c r="M185" i="1"/>
  <c r="L185" i="1"/>
  <c r="K185" i="1"/>
  <c r="J185" i="1"/>
  <c r="I185" i="1"/>
  <c r="H185" i="1"/>
  <c r="F185" i="1"/>
  <c r="E185" i="1"/>
  <c r="D185" i="1"/>
  <c r="G184" i="1"/>
  <c r="G183" i="1"/>
  <c r="G182" i="1"/>
  <c r="G181" i="1"/>
  <c r="G180" i="1"/>
  <c r="G179" i="1"/>
  <c r="G178" i="1"/>
  <c r="I172" i="1"/>
  <c r="H172" i="1"/>
  <c r="G172" i="1"/>
  <c r="F172" i="1"/>
  <c r="E172" i="1"/>
  <c r="D172" i="1"/>
  <c r="K171" i="1"/>
  <c r="J171" i="1"/>
  <c r="K170" i="1"/>
  <c r="J170" i="1"/>
  <c r="K169" i="1"/>
  <c r="J169" i="1"/>
  <c r="K168" i="1"/>
  <c r="J168" i="1"/>
  <c r="K167" i="1"/>
  <c r="J167" i="1"/>
  <c r="K166" i="1"/>
  <c r="J166" i="1"/>
  <c r="K165" i="1"/>
  <c r="K172" i="1" s="1"/>
  <c r="J165" i="1"/>
  <c r="J172" i="1" s="1"/>
  <c r="J162" i="1"/>
  <c r="I162" i="1"/>
  <c r="H162" i="1"/>
  <c r="F162" i="1"/>
  <c r="E162" i="1"/>
  <c r="D162" i="1"/>
  <c r="G161" i="1"/>
  <c r="G160" i="1"/>
  <c r="G159" i="1"/>
  <c r="G158" i="1"/>
  <c r="G157" i="1"/>
  <c r="G162" i="1" s="1"/>
  <c r="G156" i="1"/>
  <c r="G155" i="1"/>
  <c r="N151" i="1"/>
  <c r="M151" i="1"/>
  <c r="L151" i="1"/>
  <c r="K151" i="1"/>
  <c r="J151" i="1"/>
  <c r="H151" i="1"/>
  <c r="G151" i="1"/>
  <c r="F151" i="1"/>
  <c r="E151" i="1"/>
  <c r="D151" i="1"/>
  <c r="I150" i="1"/>
  <c r="I149" i="1"/>
  <c r="I148" i="1"/>
  <c r="I147" i="1"/>
  <c r="I146" i="1"/>
  <c r="I145" i="1"/>
  <c r="I144" i="1"/>
  <c r="F137" i="1"/>
  <c r="E137" i="1"/>
  <c r="G136" i="1"/>
  <c r="G135" i="1"/>
  <c r="G134" i="1"/>
  <c r="G133" i="1"/>
  <c r="D132" i="1"/>
  <c r="D132" i="2" s="1"/>
  <c r="G131" i="1"/>
  <c r="L127" i="1"/>
  <c r="K127" i="1"/>
  <c r="I127" i="1"/>
  <c r="H127" i="1"/>
  <c r="G127" i="1"/>
  <c r="F127" i="1"/>
  <c r="E127" i="1"/>
  <c r="D127" i="1"/>
  <c r="L116" i="1"/>
  <c r="K116" i="1"/>
  <c r="I116" i="1"/>
  <c r="H116" i="1"/>
  <c r="G116" i="1"/>
  <c r="F116" i="1"/>
  <c r="E116" i="1"/>
  <c r="D116" i="1"/>
  <c r="M105" i="1"/>
  <c r="L105" i="1"/>
  <c r="K105" i="1"/>
  <c r="J105" i="1"/>
  <c r="I105" i="1"/>
  <c r="H105" i="1"/>
  <c r="G105" i="1"/>
  <c r="F105" i="1"/>
  <c r="E105" i="1"/>
  <c r="D105" i="1"/>
  <c r="K92" i="1"/>
  <c r="J92" i="1"/>
  <c r="I92" i="1"/>
  <c r="H92" i="1"/>
  <c r="G92" i="1"/>
  <c r="F92" i="1"/>
  <c r="E92" i="1"/>
  <c r="D92" i="1"/>
  <c r="N79" i="1"/>
  <c r="M79" i="1"/>
  <c r="L79" i="1"/>
  <c r="J79" i="1"/>
  <c r="I79" i="1"/>
  <c r="F79" i="1"/>
  <c r="E79" i="1"/>
  <c r="G78" i="1"/>
  <c r="G77" i="1"/>
  <c r="G76" i="1"/>
  <c r="G75" i="1"/>
  <c r="O74" i="1"/>
  <c r="K74" i="1"/>
  <c r="K74" i="2" s="1"/>
  <c r="D74" i="1"/>
  <c r="K73" i="1"/>
  <c r="H73" i="1"/>
  <c r="H73" i="2" s="1"/>
  <c r="G73" i="1"/>
  <c r="D73" i="1"/>
  <c r="G72" i="1"/>
  <c r="L69" i="1"/>
  <c r="K69" i="1"/>
  <c r="I69" i="1"/>
  <c r="H69" i="1"/>
  <c r="G69" i="1"/>
  <c r="F69" i="1"/>
  <c r="E69" i="1"/>
  <c r="D69" i="1"/>
  <c r="K58" i="1"/>
  <c r="J58" i="1"/>
  <c r="I58" i="1"/>
  <c r="H58" i="1"/>
  <c r="G58" i="1"/>
  <c r="F58" i="1"/>
  <c r="E58" i="1"/>
  <c r="D58" i="1"/>
  <c r="E42" i="1"/>
  <c r="E42" i="2" s="1"/>
  <c r="D42" i="1"/>
  <c r="D42" i="2" s="1"/>
  <c r="E41" i="1"/>
  <c r="D41" i="1"/>
  <c r="G34" i="1"/>
  <c r="G33" i="1"/>
  <c r="G32" i="1"/>
  <c r="G31" i="1"/>
  <c r="G30" i="1"/>
  <c r="F30" i="1"/>
  <c r="E30" i="1"/>
  <c r="E30" i="2" s="1"/>
  <c r="D30" i="1"/>
  <c r="D30" i="2" s="1"/>
  <c r="E29" i="1"/>
  <c r="D29" i="1"/>
  <c r="G28" i="1"/>
  <c r="N24" i="1"/>
  <c r="M24" i="1"/>
  <c r="L24" i="1"/>
  <c r="J24" i="1"/>
  <c r="G23" i="1"/>
  <c r="G22" i="1"/>
  <c r="G21" i="1"/>
  <c r="G20" i="1"/>
  <c r="O19" i="1"/>
  <c r="K19" i="1"/>
  <c r="K19" i="2" s="1"/>
  <c r="I19" i="1"/>
  <c r="I19" i="2" s="1"/>
  <c r="H19" i="1"/>
  <c r="H19" i="2" s="1"/>
  <c r="F19" i="1"/>
  <c r="D19" i="1"/>
  <c r="K18" i="1"/>
  <c r="I18" i="1"/>
  <c r="H18" i="1"/>
  <c r="H18" i="2" s="1"/>
  <c r="H24" i="2" s="1"/>
  <c r="E18" i="1"/>
  <c r="D18" i="1"/>
  <c r="G17" i="1"/>
  <c r="D137" i="2" l="1"/>
  <c r="G132" i="2"/>
  <c r="G137" i="2" s="1"/>
  <c r="I24" i="1"/>
  <c r="I18" i="2"/>
  <c r="I24" i="2" s="1"/>
  <c r="H24" i="1"/>
  <c r="D47" i="1"/>
  <c r="D41" i="2"/>
  <c r="D47" i="2" s="1"/>
  <c r="K79" i="1"/>
  <c r="K73" i="2"/>
  <c r="K79" i="2" s="1"/>
  <c r="G132" i="1"/>
  <c r="I151" i="1"/>
  <c r="E213" i="1"/>
  <c r="G18" i="1"/>
  <c r="D18" i="2"/>
  <c r="K24" i="1"/>
  <c r="K18" i="2"/>
  <c r="K24" i="2" s="1"/>
  <c r="E47" i="1"/>
  <c r="E41" i="2"/>
  <c r="E47" i="2" s="1"/>
  <c r="D79" i="1"/>
  <c r="D73" i="2"/>
  <c r="G74" i="1"/>
  <c r="D74" i="2"/>
  <c r="G74" i="2" s="1"/>
  <c r="D137" i="1"/>
  <c r="G196" i="1"/>
  <c r="D214" i="2"/>
  <c r="E219" i="1"/>
  <c r="F24" i="1"/>
  <c r="F19" i="2"/>
  <c r="F24" i="2" s="1"/>
  <c r="O24" i="1"/>
  <c r="O19" i="2"/>
  <c r="O24" i="2" s="1"/>
  <c r="E35" i="1"/>
  <c r="E29" i="2"/>
  <c r="E35" i="2" s="1"/>
  <c r="O79" i="1"/>
  <c r="O74" i="2"/>
  <c r="O79" i="2" s="1"/>
  <c r="E24" i="1"/>
  <c r="E18" i="2"/>
  <c r="E24" i="2" s="1"/>
  <c r="G19" i="1"/>
  <c r="D19" i="2"/>
  <c r="G19" i="2" s="1"/>
  <c r="D35" i="1"/>
  <c r="G35" i="1" s="1"/>
  <c r="D29" i="2"/>
  <c r="F35" i="1"/>
  <c r="F30" i="2"/>
  <c r="F35" i="2" s="1"/>
  <c r="H79" i="1"/>
  <c r="G137" i="1"/>
  <c r="G185" i="1"/>
  <c r="E219" i="2"/>
  <c r="E213" i="2"/>
  <c r="G79" i="1"/>
  <c r="G29" i="1"/>
  <c r="D24" i="1"/>
  <c r="G24" i="1" s="1"/>
  <c r="D219" i="2" l="1"/>
  <c r="D213" i="2"/>
  <c r="D24" i="2"/>
  <c r="G24" i="2" s="1"/>
  <c r="G18" i="2"/>
  <c r="D35" i="2"/>
  <c r="G35" i="2" s="1"/>
  <c r="G29" i="2"/>
  <c r="G30" i="2"/>
  <c r="G73" i="2"/>
  <c r="G79" i="2" s="1"/>
  <c r="D79" i="2"/>
</calcChain>
</file>

<file path=xl/comments1.xml><?xml version="1.0" encoding="utf-8"?>
<comments xmlns="http://schemas.openxmlformats.org/spreadsheetml/2006/main">
  <authors>
    <author>Beata Adamska</author>
  </authors>
  <commentList>
    <comment ref="F19" authorId="0">
      <text>
        <r>
          <rPr>
            <b/>
            <sz val="9"/>
            <color indexed="81"/>
            <rFont val="Tahoma"/>
            <family val="2"/>
            <charset val="238"/>
          </rPr>
          <t>Beata Adamska:</t>
        </r>
        <r>
          <rPr>
            <sz val="9"/>
            <color indexed="81"/>
            <rFont val="Tahoma"/>
            <family val="2"/>
            <charset val="238"/>
          </rPr>
          <t xml:space="preserve">
Ekogala, Dubiecko</t>
        </r>
      </text>
    </comment>
  </commentList>
</comments>
</file>

<file path=xl/comments2.xml><?xml version="1.0" encoding="utf-8"?>
<comments xmlns="http://schemas.openxmlformats.org/spreadsheetml/2006/main">
  <authors>
    <author>Sacharczuk Ewa</author>
  </authors>
  <commentList>
    <comment ref="D42" authorId="0">
      <text>
        <r>
          <rPr>
            <b/>
            <sz val="9"/>
            <color indexed="81"/>
            <rFont val="Tahoma"/>
            <family val="2"/>
            <charset val="238"/>
          </rPr>
          <t>Sacharczuk Ewa:</t>
        </r>
        <r>
          <rPr>
            <sz val="9"/>
            <color indexed="81"/>
            <rFont val="Tahoma"/>
            <family val="2"/>
            <charset val="238"/>
          </rPr>
          <t xml:space="preserve">
- strona KSOW 8 612
- strona PROW 5 698</t>
        </r>
      </text>
    </comment>
    <comment ref="E42" authorId="0">
      <text>
        <r>
          <rPr>
            <b/>
            <sz val="9"/>
            <color indexed="81"/>
            <rFont val="Tahoma"/>
            <family val="2"/>
            <charset val="238"/>
          </rPr>
          <t>Sacharczuk Ewa:</t>
        </r>
        <r>
          <rPr>
            <sz val="9"/>
            <color indexed="81"/>
            <rFont val="Tahoma"/>
            <family val="2"/>
            <charset val="238"/>
          </rPr>
          <t xml:space="preserve">
- strona KSOW 5 384
- strona PROW 1 301</t>
        </r>
      </text>
    </comment>
    <comment ref="D132" authorId="0">
      <text>
        <r>
          <rPr>
            <b/>
            <sz val="9"/>
            <color indexed="81"/>
            <rFont val="Tahoma"/>
            <family val="2"/>
            <charset val="238"/>
          </rPr>
          <t>Sacharczuk Ewa:</t>
        </r>
        <r>
          <rPr>
            <sz val="9"/>
            <color indexed="81"/>
            <rFont val="Tahoma"/>
            <family val="2"/>
            <charset val="238"/>
          </rPr>
          <t xml:space="preserve">
Organizowaliśmy 7 posiedzeń obiegowo w których kazdorazowo głosowali wszyscy członkowie grupy (47 osób).</t>
        </r>
      </text>
    </comment>
  </commentList>
</comments>
</file>

<file path=xl/sharedStrings.xml><?xml version="1.0" encoding="utf-8"?>
<sst xmlns="http://schemas.openxmlformats.org/spreadsheetml/2006/main" count="9580" uniqueCount="573">
  <si>
    <t>Wspólna Statystyka Sieci Obszarów Wiejskich</t>
  </si>
  <si>
    <t>Ogólne Wytyczne</t>
  </si>
  <si>
    <r>
      <rPr>
        <b/>
        <u/>
        <sz val="12"/>
        <color indexed="8"/>
        <rFont val="Calibri"/>
        <family val="2"/>
        <charset val="238"/>
      </rPr>
      <t>Cel i kontekst Wspólnej Statystyki Sieci</t>
    </r>
    <r>
      <rPr>
        <sz val="12"/>
        <color indexed="8"/>
        <rFont val="Calibri"/>
        <family val="2"/>
      </rPr>
      <t xml:space="preserve">
Wspólna Statystyka Sieci została opracowana przez Punkt Kontaktowy ENRD we współpracy z jednostkami wspierającymi sieci w Państwach Członkowskich UE w celu uzyskania całościowego obrazu dokonań KSOW. Informacja ta zostanie wykorzystana do podsumowania i oceny działań sieci, a także umożliwi porównywanie sieci w różnych krajach UE.
</t>
    </r>
    <r>
      <rPr>
        <b/>
        <u/>
        <sz val="12"/>
        <color indexed="8"/>
        <rFont val="Calibri"/>
        <family val="2"/>
        <charset val="238"/>
      </rPr>
      <t>Powiązania między Wspólną Statystyką Sieci i obligatoryjnymi wskaźnikami monitorowania określonymi w rozporządzeniu wykonawczym KE (UE) nr 808/2014</t>
    </r>
    <r>
      <rPr>
        <sz val="12"/>
        <color indexed="8"/>
        <rFont val="Calibri"/>
        <family val="2"/>
      </rPr>
      <t xml:space="preserve">
Celem Wspólnej Statystyki Sieci jest ułatwienie zbierania danych do obligatoryjnych wskaźników. Wszystkie podmioty zaangażowane w realizację zadań sieci wypełniają tylko arkusz </t>
    </r>
    <r>
      <rPr>
        <i/>
        <sz val="12"/>
        <color indexed="8"/>
        <rFont val="Calibri"/>
        <family val="2"/>
        <charset val="238"/>
      </rPr>
      <t xml:space="preserve">"Wspólna Statystyka Sieci". </t>
    </r>
    <r>
      <rPr>
        <sz val="12"/>
        <color indexed="8"/>
        <rFont val="Calibri"/>
        <family val="2"/>
      </rPr>
      <t xml:space="preserve">
</t>
    </r>
    <r>
      <rPr>
        <b/>
        <u/>
        <sz val="12"/>
        <color indexed="8"/>
        <rFont val="Calibri"/>
        <family val="2"/>
        <charset val="238"/>
      </rPr>
      <t>Definicje i wytyczne do poszczególnych wskaźników</t>
    </r>
    <r>
      <rPr>
        <sz val="12"/>
        <color indexed="8"/>
        <rFont val="Calibri"/>
        <family val="2"/>
      </rPr>
      <t xml:space="preserve">
W opisie poszczególnych wskaźników/mierników znajdują się wytyczne dla każdego wskaźnika. W sytuacji, kiedy wytyczne nie są jasne albo mierniki/wskaźniki nie są możliwe do uzupełnienia - prosimy wypełnić rubrykę "K</t>
    </r>
    <r>
      <rPr>
        <i/>
        <sz val="12"/>
        <color indexed="8"/>
        <rFont val="Calibri"/>
        <family val="2"/>
        <charset val="238"/>
      </rPr>
      <t>omentarze"</t>
    </r>
    <r>
      <rPr>
        <sz val="12"/>
        <color indexed="8"/>
        <rFont val="Calibri"/>
        <family val="2"/>
      </rPr>
      <t xml:space="preserve">. 
 Zakres tematyczny został powiązany z priorytetami PROW 2014-2020.
</t>
    </r>
    <r>
      <rPr>
        <b/>
        <u/>
        <sz val="12"/>
        <color indexed="8"/>
        <rFont val="Calibri"/>
        <family val="2"/>
        <charset val="238"/>
      </rPr>
      <t>Udział w budżecie</t>
    </r>
    <r>
      <rPr>
        <b/>
        <sz val="12"/>
        <color indexed="8"/>
        <rFont val="Calibri"/>
        <family val="2"/>
      </rPr>
      <t xml:space="preserve">
</t>
    </r>
    <r>
      <rPr>
        <sz val="12"/>
        <color indexed="8"/>
        <rFont val="Calibri"/>
        <family val="2"/>
        <charset val="238"/>
      </rPr>
      <t>Szacowany podział budżetu (Tabela 8) ma na celu dostarczenie informacji jak proporcjonalnie środki</t>
    </r>
    <r>
      <rPr>
        <b/>
        <sz val="12"/>
        <color indexed="8"/>
        <rFont val="Calibri"/>
        <family val="2"/>
      </rPr>
      <t xml:space="preserve"> </t>
    </r>
    <r>
      <rPr>
        <sz val="12"/>
        <color indexed="8"/>
        <rFont val="Calibri"/>
        <family val="2"/>
        <charset val="238"/>
      </rPr>
      <t>rocznego budżetu sieci zostały przeznaczone na odpowiednie działania objęte wskaźnikami. Proszę podaj budzet dla poszczególnych kategorii i wskaż trudności w komentarzu.</t>
    </r>
    <r>
      <rPr>
        <sz val="12"/>
        <color indexed="8"/>
        <rFont val="Calibri"/>
        <family val="2"/>
      </rPr>
      <t xml:space="preserve">
</t>
    </r>
    <r>
      <rPr>
        <b/>
        <u/>
        <sz val="12"/>
        <color indexed="8"/>
        <rFont val="Calibri"/>
        <family val="2"/>
        <charset val="238"/>
      </rPr>
      <t/>
    </r>
  </si>
  <si>
    <t>1. Wydarzenia</t>
  </si>
  <si>
    <t>Zasięg geograficzny</t>
  </si>
  <si>
    <t>Zakres tematyczny (w tym)</t>
  </si>
  <si>
    <t>1.1 Liczba zorganizowanych wydarzeń</t>
  </si>
  <si>
    <r>
      <t>Komentarze</t>
    </r>
    <r>
      <rPr>
        <sz val="10"/>
        <color indexed="8"/>
        <rFont val="Calibri"/>
        <family val="2"/>
      </rPr>
      <t xml:space="preserve"> 
(proszę wskazać co jest rozumiane przez kategorię "inne")</t>
    </r>
  </si>
  <si>
    <t>Rok</t>
  </si>
  <si>
    <t>lokalny/regionalny</t>
  </si>
  <si>
    <t>krajowy</t>
  </si>
  <si>
    <t>międzynarodowy</t>
  </si>
  <si>
    <t>SUMA</t>
  </si>
  <si>
    <t>przeznaczone dla doradców i/lub usługi wspierające innowacje (P1)</t>
  </si>
  <si>
    <t>z naciskiem na żywotność i konkurencyjność gospodarstw rolnych, łańcuch żywnościowy, przetwórstwo i marketing, zarządzanie ryzykiem (P2 i P3)</t>
  </si>
  <si>
    <t>z naciskiem na zarządzanie ekosystemami, zasoby naturalne i klimat (P4 i P5)</t>
  </si>
  <si>
    <t>z naciskiem na włączenie społeczne, redukcja ubóstwa (P6)</t>
  </si>
  <si>
    <t xml:space="preserve">z naciskiem na LEADER/RLKS i LGD (włączając współpracę) (P6) </t>
  </si>
  <si>
    <t>z których przeznaczone dla LGD włączając wsparcie współpracy (P6)</t>
  </si>
  <si>
    <t>z naciskiem na upowszechnianie wyników monitoringu i ewaluacji</t>
  </si>
  <si>
    <t>Inne lub mieszane (proszę doprecyzuj w komentarzach)</t>
  </si>
  <si>
    <r>
      <rPr>
        <b/>
        <sz val="10"/>
        <rFont val="Calibri"/>
        <family val="2"/>
        <charset val="238"/>
      </rPr>
      <t>Zasięg krajowy:</t>
    </r>
    <r>
      <rPr>
        <sz val="10"/>
        <rFont val="Calibri"/>
        <family val="2"/>
        <charset val="238"/>
      </rPr>
      <t xml:space="preserve"> </t>
    </r>
    <r>
      <rPr>
        <b/>
        <sz val="10"/>
        <rFont val="Calibri"/>
        <family val="2"/>
        <charset val="238"/>
      </rPr>
      <t>2015 rok</t>
    </r>
    <r>
      <rPr>
        <sz val="10"/>
        <rFont val="Calibri"/>
        <family val="2"/>
        <charset val="238"/>
      </rPr>
      <t xml:space="preserve">: Dożynki Prezydenckie w Spale, targi Natura Food, targi Smaki Regionów, Święto Wina i Sera, prezentacje tradycyjnych stołów wigilijnych; </t>
    </r>
    <r>
      <rPr>
        <b/>
        <sz val="10"/>
        <rFont val="Calibri"/>
        <family val="2"/>
        <charset val="238"/>
      </rPr>
      <t xml:space="preserve"> Zasięg krajowy: 2016 rok</t>
    </r>
    <r>
      <rPr>
        <sz val="10"/>
        <rFont val="Calibri"/>
        <family val="2"/>
        <charset val="238"/>
      </rPr>
      <t>:  P1 - Olimpiada Wiedzy i Umiejętności Rolniczych; P3 - Święto Mleka w Kamiennej Górze; Dolnośląski Dzień Pszczelarza; Dary Jesieni - Dolnośląskie Święto Owoców i Warzyw; P6-  obchody 150-lecia Kół Gospodyń Wiejskich;  Prezentacja Tradycyjnych Stołów Wigilijnych; INNE lub MIESZANE , wpisujące się w więcej niż jeden priorytet: prezentacje wojewódzkie Tradycyjnych Stołów Wielkanocnych, Palm i Pisanek; Wystawa Zwierząt Hodowlanych w Piotrowicach; prezentacja Dolnośląska Wieś Zaprasza; Święto wina i sera; Targi Naturalnej Żywności Natura Food; Targi Smaki Regionów; Forum muzeów domowych; konferencja "Agrotechniczne aspekty uprawy winorośli i jakości wina w Polsce" Winnica-Technologia-Enologia-Zdrowie; Konferencja naukowa pt. "Procesy koncentracji ziemi i kapitału a zrównoważony rozwój obszarów wiejskich na Dolnym Śląsku";</t>
    </r>
    <r>
      <rPr>
        <b/>
        <sz val="10"/>
        <rFont val="Calibri"/>
        <family val="2"/>
        <charset val="238"/>
      </rPr>
      <t xml:space="preserve"> Zasięg międzynarodowy:</t>
    </r>
    <r>
      <rPr>
        <sz val="10"/>
        <rFont val="Calibri"/>
        <family val="2"/>
        <charset val="238"/>
      </rPr>
      <t xml:space="preserve">  2016 rok: targi Agrotravel w Kielcach, targi Grune Woche w Berlinie (wydarzenia inne lub mieszane, wpisujące się w więcej niz jeden priorytet).</t>
    </r>
  </si>
  <si>
    <t>1.2 Liczba uczestników wydarzeń</t>
  </si>
  <si>
    <r>
      <rPr>
        <b/>
        <sz val="10"/>
        <rFont val="Calibri"/>
        <family val="2"/>
        <charset val="238"/>
      </rPr>
      <t xml:space="preserve"> Zasięg krajowy: 2015 rok</t>
    </r>
    <r>
      <rPr>
        <sz val="10"/>
        <rFont val="Calibri"/>
        <family val="2"/>
        <charset val="238"/>
      </rPr>
      <t xml:space="preserve">: konferencja inaugurująca rozpoczęcie wdrażanie PROW 2014-2020 na Dolnym Śląsk- 184 osoby, Prezentacja Tradycyjnych Stołów Wigilijnych - około 2 000 odwiedzających; spotkania dotyczące funkcjonowania LGD, działania 19.2 itp. - około 210 osób;  Dożynki Prezydenckie w Spale: 7 wystawców, ok. 10 000 odwiedzających;  targi Natura Food: 8 wystawców, ok. 11 000 odwiedzających;  targi Smaki Regionów: 7 wystawców, ok. 60 000 odwiedzających, Święto Wina i Sera 25 wystawców, ok. 2 000 odwiedzających, prezentacje tradycyjnych stołów wigilijnych: 26 wystawców.
</t>
    </r>
    <r>
      <rPr>
        <b/>
        <sz val="10"/>
        <rFont val="Calibri"/>
        <family val="2"/>
        <charset val="238"/>
      </rPr>
      <t>Zasięg krajowy: 2016 rok:</t>
    </r>
    <r>
      <rPr>
        <sz val="10"/>
        <rFont val="Calibri"/>
        <family val="2"/>
        <charset val="238"/>
      </rPr>
      <t xml:space="preserve"> prezentacje wojewódzkie Tradycyjnych Stołów Wielkanocnych, Palm i Panek - 26 wystawców, ok. 2 000 zwiedzających;; obchody 150-lecia Kół Gospodyń Wiejskich - 98 wystawców, ok. 3 000 zwiedzających; Wystawa Zwierząt Hodowlanych w Piotrowicach - 80 wystawców, ok. 6 000 zwiedzających; prezentacja Dolnośląska Wieś Zaprasza - 62 wystawców, ok. 600 odwiedzających; Olimpiada Wiedzy i Umiejętności Rolniczych - 210 uczestników;  - Święto Mleka w Kamiennej Górze: 30 wystawców, ok. 5000 odwiedzających; Dolnośląski Dzień Pszczelarza: ok. 50 wystawców, ok. 2500 odwiedzających; Dary Jesieni - Dolnośląskie Święto Owoców i Warzyw: ok. 30 wystawców, ok. 1000 odwiedzających;  Prezentacja Tradycyjnych Stołów Wigilijnych - 26 wystawców, ok. 2000 odwiedzających; Święto wina i sera ok. 25 wystawców, ok. 2000 odwiedzających; Targi Naturalnej Żywności Natura Food: 7 wystawców, ok. 12000 odwiedzających; Targi Smaki Regionów: 6 wystawców, ok. 60000 odwiedzających; Forum muzeów domowych - ok. 40 uczestników; konferencja "Agrotechniczne aspekty uprawy winorośli i jakości wina w Polsce" Winnica-Technologia-Enologia-Zdrowie - ok. 80 uczestników; Konferencja naukowa pt. "Procesy koncentracji ziemi i kapitału a zrównoważony rozwój obszarów wiejskich na Dolnym Śląsku" ok. 45 uczestników; w kol. G podano zsumowaną ilość odwiedzających na wydarzeniach targowych oraz ilość uczestników pozostałych wydarzeń.</t>
    </r>
    <r>
      <rPr>
        <b/>
        <sz val="10"/>
        <rFont val="Calibri"/>
        <family val="2"/>
        <charset val="238"/>
      </rPr>
      <t xml:space="preserve"> Zasięg międzynarodowy: 2016 rok:</t>
    </r>
    <r>
      <rPr>
        <sz val="10"/>
        <rFont val="Calibri"/>
        <family val="2"/>
        <charset val="238"/>
      </rPr>
      <t xml:space="preserve">  targi Agrotravel w Kielcach - 10 wystawców, ok. 20 000 zwiedzających; targi Grune Woche w Berlinie - 6 wystawców, ok. 400 tys. zwiedzających</t>
    </r>
  </si>
  <si>
    <t>2. Narzędzia komunikacji</t>
  </si>
  <si>
    <t>2.1 Statystyki strony internetowej</t>
  </si>
  <si>
    <t>Liczba odwiedzin strony</t>
  </si>
  <si>
    <t>Liczba unikalnych użytkowników strony</t>
  </si>
  <si>
    <t>Działanie bezkosztowe</t>
  </si>
  <si>
    <t>2.2 Media społecznościowe i fora internetowe</t>
  </si>
  <si>
    <t>Liczba używanych mediów społecznościowych</t>
  </si>
  <si>
    <t>Liczba założonych platform elektronicznych (e-forums)</t>
  </si>
  <si>
    <t>Liczba forów dyskusyjnych (w tym grup na facebooku i grupy dyskusyjne linkeldin)</t>
  </si>
  <si>
    <t>Liczba fanów na facebooku</t>
  </si>
  <si>
    <t>Liczba obserwujących Twitter</t>
  </si>
  <si>
    <t>Liczba tweetów (włączając re- tweety)</t>
  </si>
  <si>
    <t>Liczba postów na facebooku (wliczając udostępnienia)</t>
  </si>
  <si>
    <t>Liczba odwiedzin na stronie przekierowanych łącznie ze wszystkich mediów społecznościowych</t>
  </si>
  <si>
    <t>1.01.2014 (bazowy)</t>
  </si>
  <si>
    <t>2.3 Liczba publikacji</t>
  </si>
  <si>
    <t>Liczba publikacji</t>
  </si>
  <si>
    <t xml:space="preserve">inne/mieszane= 4 publikacje dotyczące 3 wydarzeń, w tym: 2 publikacje pokonferencyjne, tj. dot. agrotechnicznych aspektów uprawy winorośli oraz procesów koncentracji ziemi i kapitału na obszarach wiejskich Dolnego Śląska. 2 publikacje po Forum Muzeów Domowych, tj. Informator pt.  „Muzea Domowe Informator 2016” (wersja czeska)  oraz Materiały informacyjno-metodyczne pt.”Muzea domowe. Materiały informacyjno-metodyczne. 2”-. Koszty zostały zaliczone w tab. 8 do kosztów zawartych w tab. 1 (wszystkie wydarzenia wpisano w tab. 1)
</t>
  </si>
  <si>
    <t>2.4 Liczba multimediów i innych narzędzi komunikacji</t>
  </si>
  <si>
    <t>Liczba filmów/ programów telewizyjnych/audycji radiowych</t>
  </si>
  <si>
    <t xml:space="preserve">Liczba konkursów/ kategorii konkursowych </t>
  </si>
  <si>
    <r>
      <t>Liczba innych narzędzi komunikacyjnych - proszę określić jakich w "</t>
    </r>
    <r>
      <rPr>
        <i/>
        <sz val="10"/>
        <color indexed="8"/>
        <rFont val="Calibri"/>
        <family val="2"/>
        <charset val="238"/>
      </rPr>
      <t>Komentarzu"</t>
    </r>
  </si>
  <si>
    <t>Całkowita liczba multimediów i innych narzędzi komunikacji</t>
  </si>
  <si>
    <t>Inne/mieszane= Konkurs Nasze kulinarne dziedzictwo - smaki regionów; cykl audycji tv - Zrób to ze smakiem (koszty zostały zaliczone w tab. 8 do kosztów zawartych w trab 2.3, 2.4)</t>
  </si>
  <si>
    <t>3. Zbieranie, analiza i upowszechnianie dobrych praktyk</t>
  </si>
  <si>
    <t xml:space="preserve">3.1 Liczba zebranych i upowszechnionych przykładów dobrej praktyki </t>
  </si>
  <si>
    <r>
      <t>Komentarze</t>
    </r>
    <r>
      <rPr>
        <b/>
        <sz val="10"/>
        <color indexed="8"/>
        <rFont val="Calibri"/>
        <family val="2"/>
        <charset val="238"/>
      </rPr>
      <t xml:space="preserve"> 
</t>
    </r>
    <r>
      <rPr>
        <sz val="10"/>
        <color indexed="8"/>
        <rFont val="Calibri"/>
        <family val="2"/>
        <charset val="238"/>
      </rPr>
      <t>(proszę wskazać co jest rozumiane przez kategorię "inne")</t>
    </r>
  </si>
  <si>
    <t xml:space="preserve">Liczba dobrych praktyk </t>
  </si>
  <si>
    <t xml:space="preserve">Z naciskiem na transfer wiedzy i innowacyjność (P1) </t>
  </si>
  <si>
    <t>Z naciskiem na żywotność gospodarstw i konkurencyjność, łańcuch żywnościowy, przetwórstwo i marketing, zarządzanie ryzykiem (P2 i P3)</t>
  </si>
  <si>
    <t>Z naciskiem na zarządzanie ekosystemami, zasoby naturalne i klimat (P4 i P5)</t>
  </si>
  <si>
    <t>Z naciskiem na włączenie społeczne, redukcja ubóstwa (P6)</t>
  </si>
  <si>
    <t>Z naciskiem na LEADER/RLKS i LGD  (włączając współpracę) (P6)</t>
  </si>
  <si>
    <t>Z naciskiem na upowszechnianie wyników monitoringu i ewaluacji</t>
  </si>
  <si>
    <t>Inne tematy lub tematy mieszane  (proszę doprecyzuj w "Komentarzu")</t>
  </si>
  <si>
    <t>4. Wymiany tematyczne i analityczne</t>
  </si>
  <si>
    <t>4.1 Liczba utworzonych grup tematycznych i zorganizowanych spotkań</t>
  </si>
  <si>
    <r>
      <t>Komentarze</t>
    </r>
    <r>
      <rPr>
        <sz val="12"/>
        <color indexed="8"/>
        <rFont val="Calibri"/>
        <family val="2"/>
        <charset val="238"/>
      </rPr>
      <t xml:space="preserve"> 
(</t>
    </r>
    <r>
      <rPr>
        <sz val="10"/>
        <color indexed="8"/>
        <rFont val="Calibri"/>
        <family val="2"/>
        <charset val="238"/>
      </rPr>
      <t>proszę wskazać co jest rozumiane przez kategorię "inne")</t>
    </r>
  </si>
  <si>
    <t>Liczba tematycznych inicjatyw wg rodzajów aktywności</t>
  </si>
  <si>
    <t>Liczba grup tematycznych według głównego obszaru tematycznego w tym</t>
  </si>
  <si>
    <t>liczba grup tematycznych</t>
  </si>
  <si>
    <t>liczba spotkań grup tematycznych</t>
  </si>
  <si>
    <t>Z naciskiem na żywotność gospodarstw rolnych i konkurencyjność, łańcuch żywnościowy, przetwórstwo i marketing, zarządzanie ryzykiem (P2 i P3)</t>
  </si>
  <si>
    <t>z których przeznaczone dla LGD włączając wsparcie współpracy</t>
  </si>
  <si>
    <r>
      <t xml:space="preserve">Dolnośląska Grupa Robocza ds. KSOW głosowała 12 razy w okresie sprawozdawczym; Grupa Robocza realizowała zadania wynikające z art. 57 ust. 2 pkt 4 ustawy z dnia 20 lutego 2015 r.
o wspieraniu rozwoju obszarów wiejskich z udziałem środków Europejskiego Funduszu Rolnego na rzecz Rozwoju Obszarów Wiejskich w ramach Programu Rozwoju Obszarów Wiejskich na lata 2014–2020; Istnieje </t>
    </r>
    <r>
      <rPr>
        <sz val="10"/>
        <rFont val="Calibri"/>
        <family val="2"/>
        <charset val="238"/>
      </rPr>
      <t>1 grupa robocza, która została wykazana dla każdego roku osobno.</t>
    </r>
  </si>
  <si>
    <t xml:space="preserve">4.2 Liczba konsultacji tematycznych </t>
  </si>
  <si>
    <t>Konsultacje tematyczne z partnerami (włączając grupy koordynacyjne)</t>
  </si>
  <si>
    <t>Liczba inicjatyw tematycznych według głównego obszaru tematycznego w tym</t>
  </si>
  <si>
    <t>4.3 Liczba utworzonych innych inicjatyw tematycznych</t>
  </si>
  <si>
    <t>Inne (włączając inicjatywy badawcze dotyczące określonych tematów, fora internetowe, szkolenia tematyczne)</t>
  </si>
  <si>
    <t>4.4 Liczba osób zaangażowanych w poszczególne inicjatywy</t>
  </si>
  <si>
    <t>Liczba osób według typu inicjatywy</t>
  </si>
  <si>
    <t>Grupy tematyczne</t>
  </si>
  <si>
    <t>tematyczne grupy konsultacyjne z partnerami (włączając grupy koordynacyjne)</t>
  </si>
  <si>
    <t>Inne (włączając inicjatywy badawcze dotyczące określonych tematów, fora internetowe)</t>
  </si>
  <si>
    <t>5. Współpraca i wkład do działań ENRD i EIP</t>
  </si>
  <si>
    <t>5.1 Liczba działań ENRD i EIP-AGRI, w których podmioty brały udział</t>
  </si>
  <si>
    <t>Rodzaj inicjatywy</t>
  </si>
  <si>
    <t>Całkowita liczba wydarzeń/inicjatyw według głównego organizatora</t>
  </si>
  <si>
    <t>Liczba inicjatyw tematycznych</t>
  </si>
  <si>
    <t>Liczba spotkań w ramach inicjatyw tematycznych (np. spotkania grup tematycznych)</t>
  </si>
  <si>
    <t>Liczba spotkań sieci Państw Członkowskich UE</t>
  </si>
  <si>
    <t>Liczba seminariów/ konferencji</t>
  </si>
  <si>
    <t>Inne wydarzenia (włączając Komitet Sterujący, Zgromadzenie ogólne, itp. Proszę określ inne wydarzenia w Komentarzach)</t>
  </si>
  <si>
    <t>Całkowita liczba inicjatyw, w których uczestniczyli przedstawiciele podmiotu lub partnerzy sieci</t>
  </si>
  <si>
    <t xml:space="preserve"> ...ENRD CP</t>
  </si>
  <si>
    <t>z których przedstawiciele podmiotu lub partnerzy sieci mieli aktywny wkład</t>
  </si>
  <si>
    <t>… Evaluation HD</t>
  </si>
  <si>
    <t>…EIP SP</t>
  </si>
  <si>
    <t>5.2 Liczba materiałów informacyjnych przekazanych ENRD i EIP-AGRI</t>
  </si>
  <si>
    <t>Prezentacje, publikacje i analizy przypadku</t>
  </si>
  <si>
    <t>Całkowita liczba materiałów informacyjnych dostarczonych do różnych jednostek organizacyjnych europejskiej sieci</t>
  </si>
  <si>
    <t>Liczba artyułów /informacji do publikacji ENRD/ EIP</t>
  </si>
  <si>
    <t xml:space="preserve">Liczba przekazanych przykładów dobrych praktyk/ case study </t>
  </si>
  <si>
    <t>Inne (proszę wyszczególnić jakie  w rubryce "Komentarze"</t>
  </si>
  <si>
    <t>Całkowita liczba informacji</t>
  </si>
  <si>
    <t>…ENRD CP</t>
  </si>
  <si>
    <t>…Evaluation HD</t>
  </si>
  <si>
    <t>5.3 Liczba materiałów informacyjnych przygotowanych przez ENRD CP, Evaluation HD lub EIP-AGRI SP, które zostały przetłumaczone i/lub rozpowszechnione na potrzeby szerszej publiczności w ramach sieci</t>
  </si>
  <si>
    <r>
      <rPr>
        <b/>
        <sz val="12"/>
        <color theme="1"/>
        <rFont val="Calibri"/>
        <family val="2"/>
        <charset val="238"/>
        <scheme val="minor"/>
      </rPr>
      <t>Komentarze</t>
    </r>
    <r>
      <rPr>
        <sz val="10"/>
        <color theme="1"/>
        <rFont val="Calibri"/>
        <family val="2"/>
        <scheme val="minor"/>
      </rPr>
      <t xml:space="preserve"> 
</t>
    </r>
    <r>
      <rPr>
        <sz val="10"/>
        <color theme="1"/>
        <rFont val="Calibri"/>
        <family val="2"/>
        <charset val="238"/>
        <scheme val="minor"/>
      </rPr>
      <t>(proszę wskazać co jest rozumiane przez kategorię "inne")</t>
    </r>
  </si>
  <si>
    <t>Liczba  informacji ENRD CP przetłumaczonych na język polski</t>
  </si>
  <si>
    <t>Liczba informacji ENRD CP rozpowszechnionych w Polsce</t>
  </si>
  <si>
    <t>Liczba  informacji Evaluation HD przetłumaczonych na język polski</t>
  </si>
  <si>
    <t>Liczba informacji Evalution HD rozpowszechnionych w Polsce</t>
  </si>
  <si>
    <t>Liczba  informacji EIP-SP przetłumaczonych na język polski</t>
  </si>
  <si>
    <t>Liczba informacji EIP-SP rozpowszechnionych w Polsce</t>
  </si>
  <si>
    <t>Całkowita liczba informacji przetłumaczonych na język polski</t>
  </si>
  <si>
    <t>Całkowita liczba informacji rozpowszechnionych w Polsce</t>
  </si>
  <si>
    <t>6.  Budowanie umiejętności i szkolenia</t>
  </si>
  <si>
    <t>6.1 Liczba działań o charakterze szkoleniowym</t>
  </si>
  <si>
    <r>
      <t xml:space="preserve">Komentarze 
</t>
    </r>
    <r>
      <rPr>
        <sz val="10"/>
        <color indexed="8"/>
        <rFont val="Calibri"/>
        <family val="2"/>
        <charset val="238"/>
      </rPr>
      <t>(proszę wskazać co jest rozumiane przez kategorię "inne")</t>
    </r>
  </si>
  <si>
    <t xml:space="preserve">Rodzaj działania szkoleniowego </t>
  </si>
  <si>
    <t>Zakres tematyczny</t>
  </si>
  <si>
    <t>liczba warsztatów/ szkoleń</t>
  </si>
  <si>
    <t>liczba wizyt/ wyjazdów studyjnych</t>
  </si>
  <si>
    <t>Inne (proszę podaj w komentarzach)</t>
  </si>
  <si>
    <t>całkowita liczba działań szkoleniowych</t>
  </si>
  <si>
    <t>liczba dni szkoleniowych</t>
  </si>
  <si>
    <t>6.2 Liczba osób biorących udział w działaniach szkoleniowych</t>
  </si>
  <si>
    <t>Rodzaj działania szkoleniowego</t>
  </si>
  <si>
    <t>Grupy interesariuszy</t>
  </si>
  <si>
    <t>liczba uczestników szkoleń/ warsztatów</t>
  </si>
  <si>
    <t>liczba uczestników wizyt/ wyjazdów studyjnych</t>
  </si>
  <si>
    <t>liczba uczestników innych lub mieszanych działań szkoleniowych (proszę doprecyzuj w "Komentarzu")</t>
  </si>
  <si>
    <t>liczba przedstawicieli IZ/AP</t>
  </si>
  <si>
    <t>liczba przedstawicieli LGD</t>
  </si>
  <si>
    <t>liczba doradców rolnych i przedstawicieli SIR</t>
  </si>
  <si>
    <t xml:space="preserve">liczba przedstawicieli lokalnych partnerów i organizacji </t>
  </si>
  <si>
    <t>liczba przedstawicieli innych grup interesariuszy (proszę doprecyzuj w"Komentarzu")</t>
  </si>
  <si>
    <t xml:space="preserve">Uczestnikami szkoleń byli potencjalni beneficjnci i beneficjenci działania "Podstawowe usługi i odnowa wsi na obszarach wiejskich" tj. gminy, gminne zaklady komunalne </t>
  </si>
  <si>
    <t xml:space="preserve">7. Wsparcie transnarodowej i międzyterytorialnej współpracy w ramach LEADER/RLKS i wspólnych inicjatyw  </t>
  </si>
  <si>
    <t xml:space="preserve">7.1 Liczba inicjatyw współpracy, ofert poszukiwania partnerów do współpracy, badań/analiz, wizyt studyjnych i innych działań na rzecz współpracy </t>
  </si>
  <si>
    <t>Liczba wydarzeń poświęconych współpracy</t>
  </si>
  <si>
    <t>Liczba osób zaangażowanych w te inicjatywy</t>
  </si>
  <si>
    <t>… w tym liczba osób z innych Państw Członkowskich UE</t>
  </si>
  <si>
    <t>… w tym liczba osób z innych regionów (do wypełnienia tylko przez JR)</t>
  </si>
  <si>
    <t>Liczba zebranych i przekazanych ofert poszukiwania partnerów do współpracy</t>
  </si>
  <si>
    <t>Liczba badań/analiz na temat współpracy</t>
  </si>
  <si>
    <t>Liczba wizyt studyjnych z naciskiem na współpracę</t>
  </si>
  <si>
    <t>Liczba osób uczestniczących w wyjazdach studyjnych</t>
  </si>
  <si>
    <t>…w tym osób z innych Państw Członkowskich UE</t>
  </si>
  <si>
    <t xml:space="preserve">8. Budżet sieci w EUR - Proszę nie licz podwójnie </t>
  </si>
  <si>
    <r>
      <rPr>
        <b/>
        <sz val="12"/>
        <color indexed="8"/>
        <rFont val="Calibri"/>
        <family val="2"/>
        <charset val="238"/>
      </rPr>
      <t xml:space="preserve">Komentarze </t>
    </r>
    <r>
      <rPr>
        <sz val="10"/>
        <color indexed="8"/>
        <rFont val="Calibri"/>
        <family val="2"/>
        <charset val="238"/>
      </rPr>
      <t>(proszę wskazać także inne kategorie)</t>
    </r>
  </si>
  <si>
    <t>Koszty związane z działalnością/planem działania</t>
  </si>
  <si>
    <t>do kosztów funkcjonowania zaliczone zostały: koszty delegacji, wynagrodzeń, składek członkowskich w ESRDK i ARGE (składki tylko w 2016 r.); posiedzenia Grupy Roboczej były bezkosztowe</t>
  </si>
  <si>
    <t>w tym wydarzenia (tab. 1)</t>
  </si>
  <si>
    <t>w tym strona internetowa (tab. 2.1, 2.2)</t>
  </si>
  <si>
    <t>w tym związane z innymi działaniami komunikacji (tab. 2.3, 2.4)</t>
  </si>
  <si>
    <t>w tym związane z innymi działaniami (tab. 3, 4, 5, 6, 7)</t>
  </si>
  <si>
    <t>Koszty funkcjonowania (wszystkie koszty administracyjne, materiały, koordynacja, itp.) Proszę określ je w komentarzach.</t>
  </si>
  <si>
    <t>Data, podpis i pieczęć</t>
  </si>
  <si>
    <t>……………………………………….</t>
  </si>
  <si>
    <r>
      <t xml:space="preserve">Promocja osiągnięć w sferze rolnictwa i rozwoju obszarów wiejskich , stoiska informacyjno-promocyjne PROW 2014-2020 podczas imprez lokalnych i regionalnych, 
</t>
    </r>
    <r>
      <rPr>
        <b/>
        <sz val="11"/>
        <color theme="1"/>
        <rFont val="Calibri"/>
        <family val="2"/>
        <charset val="238"/>
        <scheme val="minor"/>
      </rPr>
      <t>2015 rok</t>
    </r>
    <r>
      <rPr>
        <sz val="11"/>
        <color theme="1"/>
        <rFont val="Calibri"/>
        <family val="2"/>
        <charset val="238"/>
        <scheme val="minor"/>
      </rPr>
      <t xml:space="preserve">
międzynarodowe: V Międzynarodowe Sympozjum Naukowe dla Doktorantów i Studentów Uczelni Rolniczych  pn. „Innowacyjne badania w rolnictwie i na rzecz rozwoju obszarów wiejskich”  w Bydgoszczy ,  Europejski Kongres Menadżerów Agrobiznesu; Międzynarodowe Twrgi Polagra Food'2015 w Poznaniu 
 krajowe:   VIII Otwarte Forum Rolników Pomorza i Kujaw; Forum Turystyki Wiejskiej
</t>
    </r>
    <r>
      <rPr>
        <b/>
        <sz val="11"/>
        <color theme="1"/>
        <rFont val="Calibri"/>
        <family val="2"/>
        <charset val="238"/>
        <scheme val="minor"/>
      </rPr>
      <t>2016 rok</t>
    </r>
    <r>
      <rPr>
        <sz val="11"/>
        <color theme="1"/>
        <rFont val="Calibri"/>
        <family val="2"/>
        <charset val="238"/>
        <scheme val="minor"/>
      </rPr>
      <t xml:space="preserve">
międzynarodowe: VI Międzynarodowe Sympozjum Naukowe dla Doktorantów i Studentów Uczelni Rolniczych  pn. „Innowacyjne badania w rolnictwie i na rzecz rozwoju obszarów wiejskich”  w Bydgoszczy Międzynarodowe Twrgi Polagra Food'2016 w Poznaniu; Grune Woche'2016 w Berlinie; Euiropejska Sieć Dziedzictwa Kulinarnego Region Kujawy i Pomorze; udział w MIędzynarodowym Forum ESDK
krajowe: Forum Rolników Pomorza I Kujaw, Konferencja UTP pn. „Innowacyjne rozwiązania w produkcji rolnej i przetwórstwie rolno-spożywczym impulsem rozwoju rolnictwa Pomorza i Kujaw” ; "Kujawsko-Pomorska Gęsina na Św. Marcina" Wizyta studyjna "Produkt sieciowy i specjalizacja oferty w turystyce wiejskiej – dobre praktyki” Woj. Dolnośląskie; Wyższa Szkoła Gospodarki w Bydgoszczy  konferencja  pn. " Naukowe Obserwatorium Obszarów Wiejskich" </t>
    </r>
    <r>
      <rPr>
        <b/>
        <sz val="11"/>
        <color theme="1"/>
        <rFont val="Calibri"/>
        <family val="2"/>
        <charset val="238"/>
        <scheme val="minor"/>
      </rPr>
      <t xml:space="preserve">
</t>
    </r>
    <r>
      <rPr>
        <sz val="11"/>
        <color theme="1"/>
        <rFont val="Calibri"/>
        <family val="2"/>
        <charset val="238"/>
        <scheme val="minor"/>
      </rPr>
      <t/>
    </r>
  </si>
  <si>
    <r>
      <rPr>
        <b/>
        <sz val="10"/>
        <color indexed="8"/>
        <rFont val="Calibri"/>
        <family val="2"/>
        <charset val="238"/>
      </rPr>
      <t>2015 rok</t>
    </r>
    <r>
      <rPr>
        <sz val="10"/>
        <color indexed="8"/>
        <rFont val="Calibri"/>
        <family val="2"/>
        <charset val="238"/>
      </rPr>
      <t xml:space="preserve">
międzynarodowe: V Międzynarodowe Sympozjum Naukowe dla Doktorantów i Studentów Uczelni Rolniczych  pn. „Innowacyjne badania w rolnictwie i na rzecz rozwoju obszarów wiejskich”  w Bydgoszczy 150;  Europejski Kongres Menadżerów Agrobiznesu - 90; Międzynarodowe Targi Polagra Food'2015 w Poznaniu - 10 (wystawcy), 
 krajowe:   VIII Otwarte Forum Rolników Pomorza i Kujaw - 78; Forum Turystyki Wiejskiej - 120
</t>
    </r>
    <r>
      <rPr>
        <b/>
        <sz val="10"/>
        <color indexed="8"/>
        <rFont val="Calibri"/>
        <family val="2"/>
        <charset val="238"/>
      </rPr>
      <t>2016 rok</t>
    </r>
    <r>
      <rPr>
        <sz val="10"/>
        <color indexed="8"/>
        <rFont val="Calibri"/>
        <family val="2"/>
        <charset val="238"/>
      </rPr>
      <t xml:space="preserve">
międzynarodowe: VI Międzynarodowe Sympozjum Naukowe dla Doktorantów i Studentów Uczelni Rolniczych  pn. „Innowacyjne badania w rolnictwie i na rzecz rozwoju obszarów wiejskich”  w Bydgoszczy - 50; Międzynarodowe Twrgi Polagra Food'2016 w Poznaniu - 11 (wystawcy); Grune Woche'2016 w Berlinie - 12 (wystawcy), 400.000 (odwiedzający); Euiropejska Sieć Dziedzictwa Kulinarnego Region Kujawy i Pomorze - 52 (członkowie); udział w MIędzynarodowym Forum ESDK - 2 (delegacje)
krajowe: Forum Rolników Pomorza I Kujaw - 355, Konferencja UTP pn. „Innowacyjne rozwiązania w produkcji rolnej i przetwórstwie rolno-spożywczym impulsem rozwoju rolnictwa Pomorza i Kujaw” - 50 ; "Kujawsko-Pomorska Gęsina na Św. Marcina" - 5100; Wizyta studyjna "Produkt sieciowy i specjalizacja oferty w turystyce wiejskiej – dobre praktyki” Woj. Dolnośląskie - 25; Wyższa Szkoła Gospodarki w Bydgoszczy  konferencja  pn. " Naukowe Obserwatorium Obszarów Wiejskich" - 59
</t>
    </r>
  </si>
  <si>
    <t>W zestawieniu ujęto następujące adresy stron:
1. www.kujawsko-pomorskie.ksow.pl 
2. www.agroturystyka.kpodr.pl
3. www.mojregion.eu 
( brak danych za 2015 r. dla stron okrelonych w pkt 2-3)</t>
  </si>
  <si>
    <t>,</t>
  </si>
  <si>
    <t>Promocja rejonu atrakcyjnego turystycznie ze szczególnym uwzględnieniem twórzości lokalnych rzemieślników i wytwórców tradycyjnej żywności zamieszkujących tereny wiejskie</t>
  </si>
  <si>
    <t>Inne lub mieszane (proszę doprecyzuj w komentarzach)*</t>
  </si>
  <si>
    <t>*popularyzacja osiągnięć w sferze rolnictwa i rozwoju obszarów wiejskich oraz  promocja osób zasłużonych dla tego rzwoju</t>
  </si>
  <si>
    <t>grupa robocza ds.  KSOW, podejmująca uchwały ws. plaów i sprawozdań</t>
  </si>
  <si>
    <t>W 2015 r. prowadzono konsultacjeprzy opracowywaniu Planu działania KSOW pomiędzy różnymi organizacjami partnerów i ich przedstawicielami w celu ułatwiania wymiany poglądów, pomysłów i doświadczeń oraz przekazania informacji nt. nowych zasad wdrażania  pomocy technicznej KSOW</t>
  </si>
  <si>
    <t>Zakres tematyczny spotkań-szkolenia: z  zasad udzielania zamówień publicznych  w projektach unijnych realizowanych z PROW 2014-2020",    z działania „Budowa lub modernizacja dróg lokalnych”, z zakresu danych osobowych;  z zakresu funduszy europejskich 2014-2020</t>
  </si>
  <si>
    <t>Rodzaj działania - konferencja podsumowkująca projekt</t>
  </si>
  <si>
    <t xml:space="preserve"> przedstawiciele władz samorządowych z regionu, mieszkańcy terenów wiejskich, potencjalni beneficjenci PROW 2014-2020, rolnicy, przedstawiciele uczelni wyższych, </t>
  </si>
  <si>
    <t>Koszty utrzymania:
- płace;
- delegacje;
- media;
- telefony;
- zakup i konserwacja sprzętu;
- poczta.</t>
  </si>
  <si>
    <t xml:space="preserve">Liczba zorganizowanych wydarzeń w 2015 roku dotyczy przedsięwzięć zrealizowanych w ramach planu operacyjnego i komuniakacyjnego, który jest częscią planu operacyjnego. W ramach wskazanego planu operacyjnego zorganizowano 14 wydarzeń. Wskazano w poz. 1.11 operacji, natomiast pozostałe 3 zadania zostały ujete w poz.2.3 przedmiotowej tabeli.  Inne- projekt realizowany  w ramach Priorytetu I oraz III.   Przeznaczony dla dordaców oraz beneficjentów wspierających rolnictwo a jednocześnie nastawiony na promocję zasobów naturalnych. (III). Zakres tematyczny  w 2016 roku w kolumnie inne zoastał ujeta konferencja informacyjno - szkoleniowa  dla liderów działających na rzecz rozwoju obszarów wiejskich (P 2,3,6  ). Całkowity koszt gadżetów został ujety w tabeli 8 w pozycji w tym wydarzenia (tab 1) rozdyspopnowanych  podczas wydarzeń. Liczba zorganizowanych  wydarzeń w 2016 roku dotyczy przesięwzięć zrealizowanych w ramach planu operacyjnegi i komunikacyjnego. W ramach planu operacyjnego zorganizowano 24 wydarzenia. 23 to wydarzenia o zasięgu lokalnym, jedno wydarzenie o zasięgu międzynarodowym. W ramach przedięwzięcia o zasiegu miedzynarodowym została zorganizowana 2-dniowa konferencja pt: "Krowanie rozwoju Lubelszczyzny w oparciu o dobre praktyki krajowe i międzynarodowe" wraz z wyjazdem studyjnym, którego uczestnikami byli przedstawicele stowarzyszenia Bihar-Sarret Videkfejlesztesi Egyesulet z Węgier.                              </t>
  </si>
  <si>
    <t xml:space="preserve">W ramach jednego zadania są trzy listy np. uczestników konferencji, wystawców i np. dzieci biorących udział w konkursie. Problmetyczne jest określenie, czy mamy sumować wszystkich uczestników, jeśli na danych listach są osoby,  które brały udział zarówno w konferencji, jak i konkursach. W 2016 roku zorganizowano konferencję 2-dniową z wyjazdem studyjnym o zasiegu międzynarodowym. W konferencji wzięło udział pierwszego dnia 50 osób t tym 16 osób z Węgier, drugiego dnia konferencji uczestników było 100 osób w tym 16 osób z Węgier.    </t>
  </si>
  <si>
    <t xml:space="preserve"> Do dnia 2 lipca 2016 roku używane były stataystyki google analytics. Od 2 lipca 2016 roku wraz ze stworzeniem nowej strony internetowej używamy nowego narzędzia do prowadzenia statystyk o nazwie Piwik open Source Web Analytics.Używane strony internetowe ksow.lubelskie oraz prow.lubelskie.</t>
  </si>
  <si>
    <t>Media społecznościowe:  Facebook</t>
  </si>
  <si>
    <t xml:space="preserve">W kolumnie inne podano liczbę newsletterów. Liczba newsletterów w 2016 roku wynosi 105.  W kolumnie liczba publikacji podana jest liczba publikacji. Natomiast nakład trzech  publikacji łącznie w 2015 roku wynosił 31500 sztuk, natomiast w 2016 roku nakład łącznie 4 publikacji wyniósł 17890 sztuk.  </t>
  </si>
  <si>
    <t xml:space="preserve">Nie zostały zorganizowane w ramach wsparcia sieci konkursów, natomiast odbyły się w ramach dużych przedsięwzięć konkursy np. dla dzieci uczestniczących w festynie czy imprezie plenerowej. Były to konkursy organizowane w ramach </t>
  </si>
  <si>
    <t xml:space="preserve">  Spotkanie odbyło się w 2015 roku i było związane miedzy innymi z pracami nad Planem Operacyjnym oraz Działania na lata 2014-2020. W 2016 roku odbył się 3  spotkania Grupy Roboczej ds. KSOW, które związane były między innymi z zaopiniowaniem zmian w PO na lata 2016-2017, zaopiniowaniem informacji półrocznej na dzień 30 kwietnia 2016 r oraz spotkanie w sprawie zaopiniowania informacji półrocznej  na dzień 31 sierpnia 2016.</t>
  </si>
  <si>
    <t xml:space="preserve">Dwa spotkania szkoleniowe w 2015 roku dla LGD w ramach współpracy i rozwiązywania problemów zgłaszanych przez partnerów KSOW. Każde szkolenia trwało jeden dzień a więc sumując dwa szkolenia to dwa dni. W 2016 roku odbyły się trzy szkolenia dla LGD w tym jedno dwudniowe w związku z tym wpisano trzy dni szkoleniowe. </t>
  </si>
  <si>
    <t xml:space="preserve">W 2015 roku w ramach dwóch spotkań szkoleniowych brało udział: w jednym szkoleniu 50 osób a w drugim 390 osób. W 2016 roku w trzech szkoleniach brało udział 142 osoby z LGD oraz 23-ech przedstawicieli Urzędu Marzałkowskiego Województwa Lubelskiego. </t>
  </si>
  <si>
    <t xml:space="preserve"> Koszty funkcjonowania dotyczą: zatrudnienia pracowników KSOW oraz zakupu sprzętu, oprogramowania, licncje i wyposażenia biurowego dla SR KSOW WL. </t>
  </si>
  <si>
    <t>SR KSOW Województwa Lubuskiego</t>
  </si>
  <si>
    <t xml:space="preserve">2016 rok - Inne: dotyczy wykonania materiałów informacyjno - promocyjnych (2 zadania)  oraz wykonania kalendarzy na 2017 rok, zasięg zadania - lokalny/regionalny - jako promocja programu i KSOW na terenie Województwa Lubuskiego.                                                                                                                                                                                                                                                              Zadanie krajowe: Wyjazd  studyjno szkoleniowy do Skierniewic, dla sadowników i doradców rolnych - organizator SR KSOW woj. lubuskie, jednostak sieci - Lubuski Ośrodek Doradztwa Rolniczego w Kalsku oraz wyjazd studyjny do Województwa Małopolskiego  organizator SR KSOW woj. lubuskie, jednostak sieci - przedstawiciele lokalnych grup działania                                                                                                                                                               Zadanie międzynarodowe - dotyczy organizacji i udziału w Międzynarodowych Targach Grune Woche 2016                                                                                                                                                                                                        </t>
  </si>
  <si>
    <t>2016 rok -Zadanie: Wyjazd  studyjno szkoleniowy do Skierniewic, dla sadoników i doardców rolnych - organizator SR KSOW woj. lubuskie, jednostak sieci - Lubuski Ośrodek Doradztwa Rolniczego w Kalsku - wskaźnik/ilość uczestników - 25  oraz wyjazd studyjny do Województwa Małopolskiego  organizator SR KSOW woj. lubuskie, jednostak sieci - przedstawiciele lokalnych grup działania    - wskaźnik/ilość uczestników 15                                                                                                                                                                                                 Liczba uczestników wydarzenia międzynarodowego - szacowane ok. 400 000 osób, które odwiedziło Targi Grune Woche 2016. Liczbę szacunkową otrzymano ze strony internetowej: www.targiberlinskie.pl. oraz  wskaźnik/ilość uczestników - 11 wyjazd studyjny do Republiki Czeskiej</t>
  </si>
  <si>
    <t>W ramach Planu działania KSOW na lata 2014 – 2020 w działaniu 12 zidentyfikowano 3 dobre praktyki: Konkurs Najpiękniejsza Wieś Lubuska 2016, Cykl artykułów do czasopisma samorządowego REGION, imprezę pn.Powiatowy Folk Festiwal.</t>
  </si>
  <si>
    <t>Wojewódzka Grupa Robocza - realizacja priorytetów KSOW. Liczba spotkań wynosi 0, z uwagi na to, iż wszlekie konsultacje były prowadzone obiegowo, zgodnie z Regulaminem Wojeódzkiej Grupy Roboczej ds. KSOW woj. Lubuskiego. Fizycznie nie odbyło się żadne spotkanie.</t>
  </si>
  <si>
    <t>Inne: 1) wyjazd studyjno szkoleniowy do Skierniewic, dla sadoników i doradców rolnych - 25 osób, 2) Wyjazd studyjny  szkoleniowy do Iłowy, dla społeczności wiejskiej - 69</t>
  </si>
  <si>
    <t>Inne - liczba uczestników dotyczy wyjzdu studyjnego do Skierniewic (sadownicy), który był połączeniem szkolenia oraz wyjazdu studyjnego</t>
  </si>
  <si>
    <t>SR KSOW Województwa Lubelskiego</t>
  </si>
  <si>
    <t>SR KSOW Województwa Kujawsko-pomorskiego</t>
  </si>
  <si>
    <t>SR KSOW Województwa Dolnośląskiego</t>
  </si>
  <si>
    <r>
      <rPr>
        <b/>
        <u/>
        <sz val="12"/>
        <color indexed="8"/>
        <rFont val="Calibri"/>
        <family val="2"/>
        <charset val="238"/>
      </rPr>
      <t>Cel i kontekst Wspólnej Statystyki Sieci</t>
    </r>
    <r>
      <rPr>
        <sz val="12"/>
        <color indexed="8"/>
        <rFont val="Calibri"/>
        <family val="2"/>
      </rPr>
      <t xml:space="preserve">
Wspólna Statystyka Sieci została opracowana przez Punkt Kontaktowy ENRD we współpracy z jednostkami wspierającymi sieci w Państwach Członkowskich UE w celu uzyskania całościowego obrazu dokonań KSOW. Informacja ta zostanie wykorzystana do podsumowania i oceny działań sieci, a także umożliwi porównywanie sieci w różnych krajach UE.
</t>
    </r>
    <r>
      <rPr>
        <b/>
        <u/>
        <sz val="12"/>
        <color indexed="8"/>
        <rFont val="Calibri"/>
        <family val="2"/>
        <charset val="238"/>
      </rPr>
      <t>Powiązania między Wspólną Statystyką Sieci i obligatoryjnymi wskaźnikami monitorowania określonymi w rozporządzeniu wykonawczym KE (UE) nr 808/2014</t>
    </r>
    <r>
      <rPr>
        <sz val="12"/>
        <color indexed="8"/>
        <rFont val="Calibri"/>
        <family val="2"/>
      </rPr>
      <t xml:space="preserve">
Celem Wspólnej Statystyki Sieci jest ułatwienie zbierania danych do obligatoryjnych wskaźników. Wszystkie podmioty zaangażowane w realizację zadań sieci wypełniają tylko arkusz </t>
    </r>
    <r>
      <rPr>
        <i/>
        <sz val="12"/>
        <color indexed="8"/>
        <rFont val="Calibri"/>
        <family val="2"/>
        <charset val="238"/>
      </rPr>
      <t xml:space="preserve">"Wspólna Statystyka Sieci". </t>
    </r>
    <r>
      <rPr>
        <sz val="12"/>
        <color indexed="8"/>
        <rFont val="Calibri"/>
        <family val="2"/>
      </rPr>
      <t xml:space="preserve">
</t>
    </r>
    <r>
      <rPr>
        <b/>
        <u/>
        <sz val="12"/>
        <color indexed="8"/>
        <rFont val="Calibri"/>
        <family val="2"/>
        <charset val="238"/>
      </rPr>
      <t>Definicje i wytyczne do poszczególnych wskaźników</t>
    </r>
    <r>
      <rPr>
        <sz val="12"/>
        <color indexed="8"/>
        <rFont val="Calibri"/>
        <family val="2"/>
      </rPr>
      <t xml:space="preserve">
W opisie poszczególnych wskaźników/mierników znajdują się wytyczne dla każdego wskaźnika. W sytuacji, kiedy wytyczne nie są jasne albo mierniki/wskaźniki nie są możliwe do uzupełnienia - prosimy wypełnić rubrykę "K</t>
    </r>
    <r>
      <rPr>
        <i/>
        <sz val="12"/>
        <color indexed="8"/>
        <rFont val="Calibri"/>
        <family val="2"/>
        <charset val="238"/>
      </rPr>
      <t>omentarze"</t>
    </r>
    <r>
      <rPr>
        <sz val="12"/>
        <color indexed="8"/>
        <rFont val="Calibri"/>
        <family val="2"/>
      </rPr>
      <t xml:space="preserve">. 
 Zakres tematyczny został powiązany z priorytetami PROW 2014-2020.
</t>
    </r>
    <r>
      <rPr>
        <b/>
        <u/>
        <sz val="12"/>
        <color indexed="8"/>
        <rFont val="Calibri"/>
        <family val="2"/>
        <charset val="238"/>
      </rPr>
      <t>Udział w budżecie</t>
    </r>
    <r>
      <rPr>
        <b/>
        <sz val="12"/>
        <color indexed="8"/>
        <rFont val="Calibri"/>
        <family val="2"/>
      </rPr>
      <t xml:space="preserve">
</t>
    </r>
    <r>
      <rPr>
        <sz val="12"/>
        <color indexed="8"/>
        <rFont val="Calibri"/>
        <family val="2"/>
        <charset val="238"/>
      </rPr>
      <t>Szacowany podział budżetu (Tabela 8) ma na celu dostarczenie informacji jak proporcjonalnie środki</t>
    </r>
    <r>
      <rPr>
        <b/>
        <sz val="12"/>
        <color indexed="8"/>
        <rFont val="Calibri"/>
        <family val="2"/>
      </rPr>
      <t xml:space="preserve"> </t>
    </r>
    <r>
      <rPr>
        <sz val="12"/>
        <color indexed="8"/>
        <rFont val="Calibri"/>
        <family val="2"/>
        <charset val="238"/>
      </rPr>
      <t>rocznego budżetu sieci zostały przeznaczone na odpowiednie działania objęte wskaźnikami. Proszę podaj budżet dla poszczególnych kategorii i wskaż trudności w komentarzu.</t>
    </r>
    <r>
      <rPr>
        <sz val="12"/>
        <color indexed="8"/>
        <rFont val="Calibri"/>
        <family val="2"/>
      </rPr>
      <t xml:space="preserve">
</t>
    </r>
    <r>
      <rPr>
        <b/>
        <u/>
        <sz val="12"/>
        <color indexed="8"/>
        <rFont val="Calibri"/>
        <family val="2"/>
        <charset val="238"/>
      </rPr>
      <t/>
    </r>
  </si>
  <si>
    <t xml:space="preserve">Udział w Międzynarodowych Targach Turystyki Wiejskiej i Agroturystyki Agrotravel podczas którego województwo łódzkie i mazowieckie wspólnie zrealizowały projekt pn. "Pociąg do natury", który wygrał Międzynarodowe Targi Turystyki Wiejskiej i Agroturystyki Agrotravel. Podczas targów w przedmiotowym wydarzeniu brały udział również inne jednostki regionalne KSOW. Szacuje się udział 20 000 odwiedzających stoisko województwa łódzkiego  oraz udział 40 osób tj. wystawców.  Zakres tematyczny inne lub mieszane dotyczy udziału samorządu województwa łódzkiego  w wydarzeniach organizowanych przez jednostki samorządu terytorialnego, powiatowego, koła gospodyń wiejskich, sieć LGD, beneficjentów PROW 2014-2020 , gdzie w  ramach  seminariów  informacyjnych przekazywano wiedzę dotyczącą możliwości wykorzystania środków w ramach PROW 2014-2020  m in. Mixer Regionalny finansowany ze środków województwa łódzkiego.  </t>
  </si>
  <si>
    <t xml:space="preserve">Udział w Międzynarodowych Targach Turystyki Wiejskiej i Agroturystyki. Szacuje się udział 20 000 odwiedzających stoisko województwa łódzkiego  oraz udział 40 osób tj. wystawców.  </t>
  </si>
  <si>
    <t xml:space="preserve">W ramach Planu operacyjnego zrealizowano : broszurę w ramach konkursu Bezpieczne Gospodarstwo Rolne, projekt graficzny publikacji "Pociąg do natury",  Trzy numery kwartalnika Wprowadzamy Zmiany", Opublikowano 7 ogłoszenia dotyczące pozyskania środków w ramach PROW 2014-2020 . Tematy mieszane w związku z powyższym 10 z publikacji tj. ogłoszenia i kwartalnik zakwalifikowano do zakresu tematycznego inne lub mieszane. </t>
  </si>
  <si>
    <t xml:space="preserve">W ramach konkursu Bezpieczne gospodarstwo rolne wykonano program telewizyjny promujący fundusze unijne. Łącznie w 7 konkursach wzięło udział  1309 przedstawicieli, a ich liczba nie została dodana do tabeli 1.2  i nie  dodano ich do liczby wydarzeń , celem uniknięcia  podwójnego liczenia kosztów .  W ramach Planu komunikacyjnego  wykonano zgodnie z projektami graficznymi następujące nośniki informacji tj. 4  rollupy i ściankę informacyjną oraz zakupiono materiały promocyjne w postaci  produktów regionalnych. W 2015 r . zakupiono  trzy rodzaje miodów, a  w 2016 r. syrop malinowy, sok jabłkowy, sok pomidorowy, konfitura agrestowa, kwas chlebowy  oraz  zestawy tych produktów w koszach. </t>
  </si>
  <si>
    <t xml:space="preserve">Wojewódzka Grupa Robocza ds. KSOW w ramach PROW 2014-2020 została powołana w lipcu 2015 r , a jej zakres prac dotyczy całego obszaru KSOW. </t>
  </si>
  <si>
    <t xml:space="preserve">Wojewódzka Grupa Robocza zajmuje się tematyką dotyczącą całego KSOW w ramach PROW 2014-2020 , a tym samym poruszane są problemy dotyczące obszarów wiejskich we wszystkich aspektach. </t>
  </si>
  <si>
    <t>Liczba artykułów /informacji do publikacji ENRD/ EIP</t>
  </si>
  <si>
    <t xml:space="preserve">Organizacja przez samorząd województwa łódzkiego trzech szkolenia dotyczące: budowy i modernizacji dróg lokalnych,  szkolenie poświęcone dostosowaniu procedur przeprowadzenia naboru i wyboru operacji do nowych wytycznych Ministra Rolnictwa i Rozwoju Wsi i rozporządzenia RLKS, szkolenie dotyczące kwalifikowalności kosztów oraz wypełniania wniosków o przyznanie pomocy na operacje z zakresu gospodarki wodno-kanalizacyjnej. Na szkoleniach omówione zostały zasady wypełniania wniosku o przyznanie pomocy, realizacji projektów, informacje dotyczące poprawnie przeprowadzonego postępowania o udzielenie zamówienia publicznego oraz wytyczne wynikające ze stanowiska Ministerstwa Rolnictwa i Rozwoju Wsi, Podczas szkolenia przekazywano informację nt. możliwości wykorzystania innych środków w ramach działań PROW 20014-2020.  Wzięło w nim udział 514 przedstawicieli gmin, powiatów i lokalnych grup działania z terenu województwa łódzkiego. </t>
  </si>
  <si>
    <t>Uczestnicy szkoleń to: potencjalni beneficjenci działań PROW 2014-2020, przedsiębiorcy, młodzi rolnicy , przedstawiciele jednostek samorządu terytorialnego, dzieci i młodzież z obszarów wiejskich województwa łódzkiego, koła gospodyń wiejskich, pszczelarze.</t>
  </si>
  <si>
    <t xml:space="preserve">Koszty wynagrodzeń, najem i utrzymanie powierzchni biurowych, usługi telekomunikacyjne i pocztowe, koszty delegacji  </t>
  </si>
  <si>
    <r>
      <rPr>
        <b/>
        <u/>
        <sz val="11"/>
        <color theme="1"/>
        <rFont val="Calibri"/>
        <family val="2"/>
        <charset val="238"/>
        <scheme val="minor"/>
      </rPr>
      <t xml:space="preserve">Rok 2015:  </t>
    </r>
    <r>
      <rPr>
        <b/>
        <sz val="11"/>
        <color theme="1"/>
        <rFont val="Calibri"/>
        <family val="2"/>
        <charset val="238"/>
        <scheme val="minor"/>
      </rPr>
      <t xml:space="preserve">Wydarzenia krajowe: </t>
    </r>
    <r>
      <rPr>
        <sz val="11"/>
        <color theme="1"/>
        <rFont val="Calibri"/>
        <family val="2"/>
        <charset val="238"/>
        <scheme val="minor"/>
      </rPr>
      <t xml:space="preserve">Udział w targach Smaki Regionów, Udział w Dożynkach Prezydenckich w Spale. </t>
    </r>
    <r>
      <rPr>
        <b/>
        <sz val="11"/>
        <color theme="1"/>
        <rFont val="Calibri"/>
        <family val="2"/>
        <charset val="238"/>
        <scheme val="minor"/>
      </rPr>
      <t>Wydarzenia lokalne/regionalne:</t>
    </r>
    <r>
      <rPr>
        <sz val="11"/>
        <color theme="1"/>
        <rFont val="Calibri"/>
        <family val="2"/>
        <charset val="238"/>
        <scheme val="minor"/>
      </rPr>
      <t xml:space="preserve"> Szkolenie dla instytucji wdrażającej PROW 2014-2020 w dniu 21.12.2015 r. Wykonanie materiałów promocyjnych - promocja PROW 2014 - 2020 . Kampania Zasmakuj  w Małopolsce, Udział w Targach Horeca Gastrofood w Krakowie.</t>
    </r>
    <r>
      <rPr>
        <u/>
        <sz val="11"/>
        <color theme="1"/>
        <rFont val="Calibri"/>
        <family val="2"/>
        <charset val="238"/>
        <scheme val="minor"/>
      </rPr>
      <t xml:space="preserve"> </t>
    </r>
    <r>
      <rPr>
        <b/>
        <u/>
        <sz val="11"/>
        <color theme="1"/>
        <rFont val="Calibri"/>
        <family val="2"/>
        <charset val="238"/>
        <scheme val="minor"/>
      </rPr>
      <t>Rok 2016</t>
    </r>
    <r>
      <rPr>
        <u/>
        <sz val="11"/>
        <color theme="1"/>
        <rFont val="Calibri"/>
        <family val="2"/>
        <charset val="238"/>
        <scheme val="minor"/>
      </rPr>
      <t>:</t>
    </r>
    <r>
      <rPr>
        <sz val="11"/>
        <color theme="1"/>
        <rFont val="Calibri"/>
        <family val="2"/>
        <charset val="238"/>
        <scheme val="minor"/>
      </rPr>
      <t xml:space="preserve"> W</t>
    </r>
    <r>
      <rPr>
        <b/>
        <sz val="11"/>
        <color theme="1"/>
        <rFont val="Calibri"/>
        <family val="2"/>
        <charset val="238"/>
        <scheme val="minor"/>
      </rPr>
      <t>ydarzenia lokalne/regionalne:</t>
    </r>
    <r>
      <rPr>
        <sz val="11"/>
        <color theme="1"/>
        <rFont val="Calibri"/>
        <family val="2"/>
        <charset val="238"/>
        <scheme val="minor"/>
      </rPr>
      <t xml:space="preserve"> Uroczyste wręczenie umów LGD na realizację LSR: Kraków,Tarnów, Nowy Sącz, Szkolenia, spotkania, warsztaty dla potencjalnych beneficjentów PROW 2014-2020, Spotkanie - Forum Wojtów, Burmistrzów i Prezydentów Malopolski, </t>
    </r>
    <r>
      <rPr>
        <b/>
        <sz val="11"/>
        <color theme="1"/>
        <rFont val="Calibri"/>
        <family val="2"/>
        <charset val="238"/>
        <scheme val="minor"/>
      </rPr>
      <t xml:space="preserve">Wydarzenia międzynarodowe: </t>
    </r>
    <r>
      <rPr>
        <sz val="11"/>
        <color theme="1"/>
        <rFont val="Calibri"/>
        <family val="2"/>
        <charset val="238"/>
        <scheme val="minor"/>
      </rPr>
      <t xml:space="preserve">Udział w Międzynarodowych Targach Rolno-Spożywczych Grune Woche, </t>
    </r>
    <r>
      <rPr>
        <b/>
        <sz val="11"/>
        <color theme="1"/>
        <rFont val="Calibri"/>
        <family val="2"/>
        <charset val="238"/>
        <scheme val="minor"/>
      </rPr>
      <t xml:space="preserve">Wydarzenia krajowe: </t>
    </r>
    <r>
      <rPr>
        <sz val="11"/>
        <color theme="1"/>
        <rFont val="Calibri"/>
        <family val="2"/>
        <charset val="238"/>
        <scheme val="minor"/>
      </rPr>
      <t>Udział w targach Agrotravel w Kielcach, udział w targach Produktów Regionalnych Regionalia w Warszawie, udział w targach Smaki Regionów w Poznaniu</t>
    </r>
  </si>
  <si>
    <r>
      <rPr>
        <b/>
        <u/>
        <sz val="11"/>
        <color theme="1"/>
        <rFont val="Calibri"/>
        <family val="2"/>
        <charset val="238"/>
        <scheme val="minor"/>
      </rPr>
      <t>Rok 2015:</t>
    </r>
    <r>
      <rPr>
        <sz val="11"/>
        <color theme="1"/>
        <rFont val="Calibri"/>
        <family val="2"/>
        <charset val="238"/>
        <scheme val="minor"/>
      </rPr>
      <t xml:space="preserve"> </t>
    </r>
    <r>
      <rPr>
        <b/>
        <sz val="11"/>
        <color theme="1"/>
        <rFont val="Calibri"/>
        <family val="2"/>
        <charset val="238"/>
        <scheme val="minor"/>
      </rPr>
      <t xml:space="preserve">Wydarzenia krajowe: </t>
    </r>
    <r>
      <rPr>
        <sz val="11"/>
        <color theme="1"/>
        <rFont val="Calibri"/>
        <family val="2"/>
        <charset val="238"/>
        <scheme val="minor"/>
      </rPr>
      <t>Udział w targach Smaki Regionów, Udział w Dożynkach Prezydenckich w Spale.</t>
    </r>
    <r>
      <rPr>
        <b/>
        <sz val="11"/>
        <color theme="1"/>
        <rFont val="Calibri"/>
        <family val="2"/>
        <charset val="238"/>
        <scheme val="minor"/>
      </rPr>
      <t xml:space="preserve"> Wydarzenia lokalne/regionalne: </t>
    </r>
    <r>
      <rPr>
        <sz val="11"/>
        <color theme="1"/>
        <rFont val="Calibri"/>
        <family val="2"/>
        <charset val="238"/>
        <scheme val="minor"/>
      </rPr>
      <t>Szkolenie dla instytucji wdrażającej PROW 2014-2020 w dniu 21.12.2015 r. Wykonanie materiałów promocyjnych - promocja PROW 2014 - 2020 . Kampania Zasmakuj  w Małopolsce, Udział w Targach Horeca Gastrofood w Krakowie.</t>
    </r>
    <r>
      <rPr>
        <b/>
        <sz val="11"/>
        <color theme="1"/>
        <rFont val="Calibri"/>
        <family val="2"/>
        <charset val="238"/>
        <scheme val="minor"/>
      </rPr>
      <t xml:space="preserve"> </t>
    </r>
    <r>
      <rPr>
        <b/>
        <u/>
        <sz val="11"/>
        <color theme="1"/>
        <rFont val="Calibri"/>
        <family val="2"/>
        <charset val="238"/>
        <scheme val="minor"/>
      </rPr>
      <t>Rok 2016</t>
    </r>
    <r>
      <rPr>
        <b/>
        <sz val="11"/>
        <color theme="1"/>
        <rFont val="Calibri"/>
        <family val="2"/>
        <charset val="238"/>
        <scheme val="minor"/>
      </rPr>
      <t xml:space="preserve">: Wydarzenia międzynarodowe: </t>
    </r>
    <r>
      <rPr>
        <sz val="11"/>
        <color theme="1"/>
        <rFont val="Calibri"/>
        <family val="2"/>
        <charset val="238"/>
        <scheme val="minor"/>
      </rPr>
      <t xml:space="preserve">Udział w Targach Grune Woche w Berlinie: około 400 000,00 - odwiedzających, </t>
    </r>
    <r>
      <rPr>
        <b/>
        <sz val="11"/>
        <color theme="1"/>
        <rFont val="Calibri"/>
        <family val="2"/>
        <charset val="238"/>
        <scheme val="minor"/>
      </rPr>
      <t>Wydarzenia krajowe</t>
    </r>
    <r>
      <rPr>
        <sz val="11"/>
        <color theme="1"/>
        <rFont val="Calibri"/>
        <family val="2"/>
        <charset val="238"/>
        <scheme val="minor"/>
      </rPr>
      <t xml:space="preserve">: Agrotravel w Kielcach: około 20 000,00 - odwiedzających, Regionalia w Warszawie: około 12 000,00 - odwiedzających, , Promocja Województwa Małopolskiego na targach Smaki Regionów w Poznaniu około 500 000 odwiedzających, </t>
    </r>
    <r>
      <rPr>
        <b/>
        <sz val="11"/>
        <color theme="1"/>
        <rFont val="Calibri"/>
        <family val="2"/>
        <charset val="238"/>
        <scheme val="minor"/>
      </rPr>
      <t>Wydarzenia lokalne/regionalne</t>
    </r>
    <r>
      <rPr>
        <sz val="11"/>
        <color theme="1"/>
        <rFont val="Calibri"/>
        <family val="2"/>
        <charset val="238"/>
        <scheme val="minor"/>
      </rPr>
      <t>: Zorganizowanie konferencji dla LGD: 72 - uczestników, Uroczyste wręczenie umów LGD na realizację LSR: 71 - uczestników , Szkolenia dla LGD 6 szkoleń -z list obecności, Szkolenia dla potencjalnych beneficjentów PROW, Forum Wójtów,Burmistrzów i Prezydentów Małopolski, Uroczyste rozdanie umów podpisanych na działanie "Budowa lub modernizacja dróg lokalnych", Udział w targach Regionalia w Warszawie - liczba odwiedzających targi około 200 000 odwiedzających, Rozwój i promocja szlaku kulinarnego "Małopolska Trasa dla Smakoszy", Doskonalenie zawodowe kadr turystyki wiejskiej w Małopolsce- cykl 4 szkoleń -154 uczestników zgodnie z listami obecności, Wyjazdy studyjne dotyczące promocji produków regionalnych i tradycyjnych - 54 uczestników,  cykl szkoleń dotyczących sprzedaży bezpośredniej -367 osób</t>
    </r>
  </si>
  <si>
    <r>
      <rPr>
        <b/>
        <sz val="11"/>
        <color theme="1"/>
        <rFont val="Calibri"/>
        <family val="2"/>
        <charset val="238"/>
        <scheme val="minor"/>
      </rPr>
      <t xml:space="preserve">2015 r.: </t>
    </r>
    <r>
      <rPr>
        <sz val="11"/>
        <color theme="1"/>
        <rFont val="Calibri"/>
        <family val="2"/>
        <charset val="238"/>
        <scheme val="minor"/>
      </rPr>
      <t xml:space="preserve">Wkładka Dożynkowa, </t>
    </r>
    <r>
      <rPr>
        <b/>
        <sz val="11"/>
        <color theme="1"/>
        <rFont val="Calibri"/>
        <family val="2"/>
        <charset val="238"/>
        <scheme val="minor"/>
      </rPr>
      <t>2016 r.:</t>
    </r>
    <r>
      <rPr>
        <sz val="11"/>
        <color theme="1"/>
        <rFont val="Calibri"/>
        <family val="2"/>
        <charset val="238"/>
        <scheme val="minor"/>
      </rPr>
      <t xml:space="preserve"> , Wkładka Dożynkowa, Publikacja realizowana w ramach partnerskiego projektu "Wieś dla Smakoszy",</t>
    </r>
  </si>
  <si>
    <r>
      <rPr>
        <b/>
        <sz val="11"/>
        <color theme="1"/>
        <rFont val="Calibri"/>
        <family val="2"/>
        <charset val="238"/>
        <scheme val="minor"/>
      </rPr>
      <t xml:space="preserve">2015 r.:  </t>
    </r>
    <r>
      <rPr>
        <sz val="11"/>
        <color theme="1"/>
        <rFont val="Calibri"/>
        <family val="2"/>
        <charset val="238"/>
        <scheme val="minor"/>
      </rPr>
      <t xml:space="preserve"> Cykl reportaży TV "Odmieniona Mąlopolska" - promocja efektów wdrażania PROW 2007-2013, </t>
    </r>
    <r>
      <rPr>
        <b/>
        <sz val="11"/>
        <color theme="1"/>
        <rFont val="Calibri"/>
        <family val="2"/>
        <charset val="238"/>
        <scheme val="minor"/>
      </rPr>
      <t>2016 r.:</t>
    </r>
    <r>
      <rPr>
        <sz val="11"/>
        <color theme="1"/>
        <rFont val="Calibri"/>
        <family val="2"/>
        <charset val="238"/>
        <scheme val="minor"/>
      </rPr>
      <t xml:space="preserve"> Cykl reportaży promujących
PROW 2014-2020, Przygotowanie i emisja 4 audycji TV promujących ideę Sieci Dziedzictwa Kulinarnego Małopolska,  audycje promujące szlak "Wieś dla Smakoszy"</t>
    </r>
  </si>
  <si>
    <r>
      <rPr>
        <b/>
        <sz val="11"/>
        <color theme="1"/>
        <rFont val="Calibri"/>
        <family val="2"/>
        <charset val="238"/>
        <scheme val="minor"/>
      </rPr>
      <t>2015 r.:</t>
    </r>
    <r>
      <rPr>
        <sz val="11"/>
        <color theme="1"/>
        <rFont val="Calibri"/>
        <family val="2"/>
        <charset val="238"/>
        <scheme val="minor"/>
      </rPr>
      <t xml:space="preserve"> Małopolska Grupa Robocza odbyła jedno spotkanie i 1 opiniowanie w trybie obiegowycm, </t>
    </r>
    <r>
      <rPr>
        <b/>
        <sz val="11"/>
        <color theme="1"/>
        <rFont val="Calibri"/>
        <family val="2"/>
        <charset val="238"/>
        <scheme val="minor"/>
      </rPr>
      <t>2016 r.</t>
    </r>
    <r>
      <rPr>
        <sz val="11"/>
        <color theme="1"/>
        <rFont val="Calibri"/>
        <family val="2"/>
        <charset val="238"/>
        <scheme val="minor"/>
      </rPr>
      <t xml:space="preserve"> Małopolska Grupa Robocza ds. KSOW, Grupa opiniowała dokumenty obiegowo, 6 - obiegów dokumentów oraz jedno posiedzenie w siedzibie Urzędu Marszałkowskiego Województwa Małopolskiego</t>
    </r>
  </si>
  <si>
    <r>
      <rPr>
        <b/>
        <sz val="11"/>
        <color theme="1"/>
        <rFont val="Calibri"/>
        <family val="2"/>
        <charset val="238"/>
        <scheme val="minor"/>
      </rPr>
      <t>2015 r. :</t>
    </r>
    <r>
      <rPr>
        <sz val="11"/>
        <color theme="1"/>
        <rFont val="Calibri"/>
        <family val="2"/>
        <charset val="238"/>
        <scheme val="minor"/>
      </rPr>
      <t xml:space="preserve"> 14 człkonków Małopolskiej Grupy Roboczej obradowało, </t>
    </r>
    <r>
      <rPr>
        <b/>
        <sz val="11"/>
        <color theme="1"/>
        <rFont val="Calibri"/>
        <family val="2"/>
        <charset val="238"/>
        <scheme val="minor"/>
      </rPr>
      <t>2016 r.:</t>
    </r>
    <r>
      <rPr>
        <sz val="11"/>
        <color theme="1"/>
        <rFont val="Calibri"/>
        <family val="2"/>
        <charset val="238"/>
        <scheme val="minor"/>
      </rPr>
      <t xml:space="preserve"> Liczba członków Małopolskiej Grupy Roboczej ds. KSOW, w obiegowym opiniowaniu dokumentów brało udział 72 członków 
(6 obiegów i 1 posiedzenie)</t>
    </r>
  </si>
  <si>
    <r>
      <rPr>
        <b/>
        <sz val="8"/>
        <color theme="1"/>
        <rFont val="Calibri"/>
        <family val="2"/>
        <charset val="238"/>
        <scheme val="minor"/>
      </rPr>
      <t xml:space="preserve">2015 r.: </t>
    </r>
    <r>
      <rPr>
        <sz val="8"/>
        <color theme="1"/>
        <rFont val="Calibri"/>
        <family val="2"/>
        <scheme val="minor"/>
      </rPr>
      <t>Szkolenie dla instytucji wdrażającej PROW 21.12.2015 r., Dwa szkolenia dla LGD ,</t>
    </r>
    <r>
      <rPr>
        <b/>
        <sz val="8"/>
        <color theme="1"/>
        <rFont val="Calibri"/>
        <family val="2"/>
        <charset val="238"/>
        <scheme val="minor"/>
      </rPr>
      <t xml:space="preserve"> 2016 r.</t>
    </r>
    <r>
      <rPr>
        <sz val="8"/>
        <color theme="1"/>
        <rFont val="Calibri"/>
        <family val="2"/>
        <scheme val="minor"/>
      </rPr>
      <t xml:space="preserve">: Szkolenia dla potencjalnych beneficjentów działania "Podstawowe usługi i odnowa miejscowości na obszarach wiejskich" PROW na lata 2014-2020 w zakresie budowy lub modernizacji dróg lokalnych,  Szkolenia dla potencjalnych beneficjentów poddziałania „Wsparcie na inwestycje związane z rozwojem, modernizacją i dostosowaniem rolnictwa i leśnictwa” PROW na lata 2014-2020, Szkolenie dla osób chcących prowadzić punkty „Wieś dla smakoszy” oraz osób współpracujących,szkolenia dotyczące sprzedaży bezpośredniej, szkolenia dotyczące doskonalenia kadry turystyki wiejskiej, wyjazdy studyjne dotyczące produktów regionalnych i tradycyjnych, szkolenia dla LGD </t>
    </r>
  </si>
  <si>
    <r>
      <rPr>
        <b/>
        <sz val="11"/>
        <color theme="1"/>
        <rFont val="Calibri"/>
        <family val="2"/>
        <charset val="238"/>
        <scheme val="minor"/>
      </rPr>
      <t>2015 r:</t>
    </r>
    <r>
      <rPr>
        <sz val="11"/>
        <color theme="1"/>
        <rFont val="Calibri"/>
        <family val="2"/>
        <charset val="238"/>
        <scheme val="minor"/>
      </rPr>
      <t xml:space="preserve"> Przedstawiciele instytucji wdrażającej, Przedstawiciele Urzędów Gmin i Powiatów, , Lokalne Grupy Działania, potencjalni beneficjenci PROW 2014-2020, </t>
    </r>
    <r>
      <rPr>
        <b/>
        <sz val="11"/>
        <color theme="1"/>
        <rFont val="Calibri"/>
        <family val="2"/>
        <charset val="238"/>
        <scheme val="minor"/>
      </rPr>
      <t xml:space="preserve">2016 r.: </t>
    </r>
    <r>
      <rPr>
        <sz val="11"/>
        <color theme="1"/>
        <rFont val="Calibri"/>
        <family val="2"/>
        <charset val="238"/>
        <scheme val="minor"/>
      </rPr>
      <t>Przedstawiciele Urzędów Gmin i Powiatów, Osoby chcące prowadzić punkty „Wieś dla smakoszy”, rolnicy, właściciele gospodarstw agoturystycznych i ekologicznych, producenci. Lokalne Grupy Działania, potencjalni beneficjenci PROW 2014-2020</t>
    </r>
  </si>
  <si>
    <t>Koszty funkcjonowania: wynagrodzenia, delegacje, szkolenia pracowników, czynsz, koszty sprzątania, abonament telefoniczny</t>
  </si>
  <si>
    <t xml:space="preserve"> SR KSOW Województwa Łódzkiego </t>
  </si>
  <si>
    <t>SR KSOW Województwa Małopolskiego</t>
  </si>
  <si>
    <r>
      <rPr>
        <b/>
        <sz val="10"/>
        <color indexed="8"/>
        <rFont val="Calibri"/>
        <family val="2"/>
        <charset val="238"/>
      </rPr>
      <t>2015:</t>
    </r>
    <r>
      <rPr>
        <sz val="10"/>
        <color indexed="8"/>
        <rFont val="Calibri"/>
        <family val="2"/>
        <charset val="238"/>
      </rPr>
      <t xml:space="preserve"> Wydarzenia o zasięgu międzynarodowym: dwie wizyty studyjne do Słowenii i Wielkiej Brytanii, wydarzenia o zasięgu krajowym: Targi smaki Regionów w Poznaniu, Dożynki Prezydenckie w Spale, Wizyta Studyjna „Innowacyjne sposoby zagospodarowania i przetwarzania owoców, szansą na podniesienie konkurencyjności gospodarstwa rolnego” oraz ,,Gospodarstwa Opiekuńcze - jako alternatywna ścieżka rozwoju gospodarstw'' </t>
    </r>
    <r>
      <rPr>
        <b/>
        <sz val="10"/>
        <color indexed="8"/>
        <rFont val="Calibri"/>
        <family val="2"/>
        <charset val="238"/>
      </rPr>
      <t>2016</t>
    </r>
    <r>
      <rPr>
        <sz val="10"/>
        <color indexed="8"/>
        <rFont val="Calibri"/>
        <family val="2"/>
        <charset val="238"/>
      </rPr>
      <t xml:space="preserve"> wydarzenia o zasięgu międzynarodowym: wykazano udział w targach Fruit Logistica - realizowany w ramach PO 2014-2015 - jednak targi odbyły się w 2016 (sfinansowanie powierzchni miało miejsce w 2015 roku);  VIII Międzynarodowe Targi Turystyki Wiejskiej i Agroturystyki Agrotravel - 2016;  KONGRES MŁODYCH ROLNIKÓW;  Międzynarodowe Targi Owoców i Warzyw Fruit Logistica 2016, Doroczne Forum Europejskiej Sieci Dziedzictwa,  wizyty studyjne do Hiszpanii, Norwegii i Francji. Wydarzenia o zasięgu krajowym: Toruński Festiwal Smaku i Targi Wypoczynek; Targi Produktów Regionalnych i Ekologicznych REGIONALIA; Dzień Ziemi - 2016, Dożynki Prezydenckie w Spale, Targi Smaki Regionów w Poznaniu, XIV Warszawskie Święto Chleba, Dożynki Województwa Mazowieckiego, XVII Mazowieckie Dni Rolnictwa, Szkolenie pn. „Inkubator kuchenny i lokalne formy sprzedaży produktów lokalnych szansą na rozwój przedsiębiorczości wiejskiej”;  „Konie, łosie, kajaki i czosnowskie przysmaki”, wizyta studyjna "Realizacja Programów Aktywności Lokalnej w praktyce" oraz Poznajemy zwyczaje Podhala – wyjazd studyjny dla Kół Gospodyń Wiejskich z Gminy Krasnosielc</t>
    </r>
  </si>
  <si>
    <r>
      <t>2015: Wydarzenia o zasięgu międzynarodowym: dwie wizyty studyjne do Słowenii i Wielkiej Brytanii (28 osób), wydarzenia o zasięgu krajowym: Targi smaki Regionów w Poznaniu (20 tys. osób), Dożynki Prezydenckie w Spale (40 tys. osób), wizyta studyjna „Innowacyjne sposoby zagospodarowania i przetwarzania owoców, szansą na podniesienie konkurencyjności gospodarstwa rolnego” (50 osób) oraz wizyta studyjna ,,Gospodarstwa Opiekuńcze - jako alternatywna ścieżka rozwoju gospodarstw''(40 osób).</t>
    </r>
    <r>
      <rPr>
        <b/>
        <sz val="10"/>
        <color indexed="8"/>
        <rFont val="Calibri"/>
        <family val="2"/>
        <charset val="238"/>
      </rPr>
      <t xml:space="preserve"> 2016: </t>
    </r>
    <r>
      <rPr>
        <sz val="10"/>
        <color indexed="8"/>
        <rFont val="Calibri"/>
        <family val="2"/>
        <charset val="238"/>
      </rPr>
      <t>Wydarzenia o zasięgu międzynarodowym: VIII Międzynarodowe Targi Turystyki Wiejskiej i Agroturystyki Agrotravel -2016 (20 tys. osób); KONGRES MŁODYCH ROLNIKÓW organizowany przez EUROPEA POLSKA (301 osób); Międzynarodowe Targi Owoców i Warzyw Fruit Logistica 20160 (70 tys. osób), Doroczne Forum Europejskiej Sieci Dziedzictwa (78 osób), wizyty studyjne do Hiszpanii i Norwegii (razem 25 osób) i Francji (20 osób). Wydarzenia o zasięgu krajowym: Toruński Festiwal Smaku i Targi Wypoczynek (5 tys. osób); Targi Produktów Regionalnych i Ekologicznych REGIONALIA  (6,5 tys. osób) ; Dzień Ziemi - 2016 (30 tys. osób), Dożynki Prezydenckie w Spale (40 tys. osób), Targi Smaki Regionów w Poznaniu (20 tys. osób), XIV Warszawskie Święto Chleba (2 tys. osób), Dożynki Województwa Mazowieckiego (20 tys. osób); szkolenie podczas XVII Mazowieckie Dni Rolnictwa (100 osób), Szkolenie pn. „Inkubator kuchenny i lokalne formy sprzedaży produktów lokalnych szansą na rozwój przedsiębiorczości wiejskiej” (32 osoby);  „Konie, łosie, kajaki i czosnowskie przysmaki” (50 osób), wizyta studyjna "Realizacja Programów Aktywności Lokalnej w praktyce" (16 osób) oraz Poznajemy zwyczaje Podhala – wyjazd studyjny dla Kół Gospodyń Wiejskich z Gminy Krasnosielc (50 osób).</t>
    </r>
  </si>
  <si>
    <r>
      <rPr>
        <b/>
        <sz val="10"/>
        <color theme="1"/>
        <rFont val="Calibri"/>
        <family val="2"/>
        <charset val="238"/>
        <scheme val="minor"/>
      </rPr>
      <t xml:space="preserve">2015 r. </t>
    </r>
    <r>
      <rPr>
        <sz val="10"/>
        <rFont val="Calibri"/>
        <family val="2"/>
        <charset val="238"/>
        <scheme val="minor"/>
      </rPr>
      <t>10 publikacji (dotyczy newslettera i stron w Kronice Mazowieckiej) realizowało mieszane zakresy tematyczne</t>
    </r>
    <r>
      <rPr>
        <b/>
        <sz val="10"/>
        <rFont val="Calibri"/>
        <family val="2"/>
        <charset val="238"/>
        <scheme val="minor"/>
      </rPr>
      <t xml:space="preserve">  </t>
    </r>
    <r>
      <rPr>
        <sz val="10"/>
        <rFont val="Calibri"/>
        <family val="2"/>
        <charset val="238"/>
        <scheme val="minor"/>
      </rPr>
      <t>(nie poruszano jedynie P1</t>
    </r>
    <r>
      <rPr>
        <b/>
        <sz val="10"/>
        <rFont val="Calibri"/>
        <family val="2"/>
        <charset val="238"/>
        <scheme val="minor"/>
      </rPr>
      <t xml:space="preserve">) </t>
    </r>
    <r>
      <rPr>
        <b/>
        <sz val="10"/>
        <color theme="1"/>
        <rFont val="Calibri"/>
        <family val="2"/>
        <charset val="238"/>
        <scheme val="minor"/>
      </rPr>
      <t>2016 r</t>
    </r>
    <r>
      <rPr>
        <sz val="10"/>
        <color theme="1"/>
        <rFont val="Calibri"/>
        <family val="2"/>
        <charset val="238"/>
        <scheme val="minor"/>
      </rPr>
      <t xml:space="preserve">: Dwie publikacje realizowały mieszane zakresy tematyczne w zakresie priorytetu II -Zwiększenie rentowności gospodarstw i konkurencyjność i priorytetu V - Promowanie  efektywnego gospodarowania zasobami i wspieranie przechodzenia w sektorach rolnym, spożywczym i leśnym na gospodarkę niskoemisyjną i odporną na zmianę klimatu; newsletter, strony w Kronice Mazowieckiej, 2 dodatki tematyczne w tygodnikach regionalnych realizowały mieszane zakresy tematyczne (nie poruszano jedynie P1).
</t>
    </r>
  </si>
  <si>
    <r>
      <rPr>
        <b/>
        <sz val="10"/>
        <color indexed="8"/>
        <rFont val="Calibri"/>
        <family val="2"/>
        <charset val="238"/>
      </rPr>
      <t>2016</t>
    </r>
    <r>
      <rPr>
        <sz val="10"/>
        <color indexed="8"/>
        <rFont val="Calibri"/>
        <family val="2"/>
        <charset val="238"/>
      </rPr>
      <t xml:space="preserve">: Liczba innych narzędzi komunikacyjnych dotyczy kampanii Wieści z Mazowsza </t>
    </r>
  </si>
  <si>
    <t>2015 i 2016 Dotyczy Wojewódzkiej Grupy Roboczej. W 2015 r. spotkanie dotyczyło zaopiniowania Planu Operacyjnego na lata 2014-2015. W 2016 r. spotkanie dotyczyło zaopiniowania Planu Operacyjnego na lata 2016-2017.</t>
  </si>
  <si>
    <t>2016 r. Dotyczy spotkania Wojewódzkiej Grupy Roboczej (opiniowanie listy rankingowej operacji do Planu Operacyjnego na lata 2016-2017 dla województwa mazowieckiego - I etap 2016 rok).</t>
  </si>
  <si>
    <t xml:space="preserve">2015 r. oraz 2016 r. dotyczy udziału członków Wojewódzkiej Grupy Roboczej w spotkaniach plenarnych. </t>
  </si>
  <si>
    <r>
      <rPr>
        <b/>
        <sz val="10"/>
        <color theme="1"/>
        <rFont val="Calibri"/>
        <family val="2"/>
        <charset val="238"/>
        <scheme val="minor"/>
      </rPr>
      <t>2015 r.</t>
    </r>
    <r>
      <rPr>
        <sz val="10"/>
        <color theme="1"/>
        <rFont val="Calibri"/>
        <family val="2"/>
        <scheme val="minor"/>
      </rPr>
      <t xml:space="preserve"> Rodzaj działania szkoleniowego inne: 2 seminaria dot. Przedsiębiorczości kobiet </t>
    </r>
    <r>
      <rPr>
        <b/>
        <sz val="10"/>
        <color theme="1"/>
        <rFont val="Calibri"/>
        <family val="2"/>
        <charset val="238"/>
        <scheme val="minor"/>
      </rPr>
      <t xml:space="preserve">2016 r: </t>
    </r>
    <r>
      <rPr>
        <sz val="10"/>
        <color theme="1"/>
        <rFont val="Calibri"/>
        <family val="2"/>
        <scheme val="minor"/>
      </rPr>
      <t>Rodzaj działania szkoleniowego inne: X Mazowiecki Kongres Rozwoju Obszarów Wiejskich był połączeniem konferencji z wizytą studyjną. Zakres tematyczny - tematy mieszane doty. XVII Mazowieckich Dni Rolnictwa (P2,P5)</t>
    </r>
  </si>
  <si>
    <r>
      <rPr>
        <b/>
        <sz val="10"/>
        <color indexed="8"/>
        <rFont val="Calibri"/>
        <family val="2"/>
        <charset val="238"/>
      </rPr>
      <t xml:space="preserve">2015 r. </t>
    </r>
    <r>
      <rPr>
        <sz val="10"/>
        <color indexed="8"/>
        <rFont val="Calibri"/>
        <family val="2"/>
        <charset val="238"/>
      </rPr>
      <t xml:space="preserve">Liczba uczestników innych działań szkoleniowych - dotyczy uczestników dwóch seminariów. Inne grupy interesariuszy: rolnicy, uczniowie szkół, pracownicy samorządowi, lokalni przetwórcy żywności, pracownicy spółdzielni socjalnych, przedsiębiorcy </t>
    </r>
    <r>
      <rPr>
        <b/>
        <sz val="10"/>
        <color indexed="8"/>
        <rFont val="Calibri"/>
        <family val="2"/>
        <charset val="238"/>
      </rPr>
      <t xml:space="preserve">2016 r. </t>
    </r>
    <r>
      <rPr>
        <sz val="10"/>
        <color indexed="8"/>
        <rFont val="Calibri"/>
        <family val="2"/>
        <charset val="238"/>
      </rPr>
      <t>Liczba uczestników innych działań szkoleniowych - dotyczy uczestników X Mazowieckiego Kongresu Rozwoju Obszarów Wiejskich (kongres połączony z wizytą studyjną). Inne grupy interesariuszy: rolnicy, uczniowie szkół, pracownicy samorządowi, lokalni przetwórcy żywności, pracownicy spółdzielni socjalnych, przedsiębiorcy , przedstawiciele branży turystycznej, przedstawiciele organizacji pozarządowych, przedstawicielki kół gospodyń wiejskich, mieszkańcy obszarów wiejskich, koła pszczelarskie.</t>
    </r>
  </si>
  <si>
    <t>Koszty funkcjonowania 2015 r. (II półrocze): wynagrodzenia dla pracowników KSOW, koszty szkoleń, sprzętu oraz najmu i eksploatacji pomieszczeń. Koszty funkcjonowania 2016 r.(od 1.01 do 31.12.2016): koszty wynagrodzeń dla pracowników KSOW, koszty szkoleń, sprzętu oraz  najmu i eksploatacji pomieszczeń KSOW</t>
  </si>
  <si>
    <t xml:space="preserve"> </t>
  </si>
  <si>
    <r>
      <rPr>
        <b/>
        <sz val="10"/>
        <color indexed="8"/>
        <rFont val="Calibri"/>
        <family val="2"/>
        <charset val="238"/>
      </rPr>
      <t xml:space="preserve">2015:                                                                                                                                                                                                                                                                                                                                                  </t>
    </r>
    <r>
      <rPr>
        <sz val="10"/>
        <color indexed="8"/>
        <rFont val="Calibri"/>
        <family val="2"/>
        <charset val="238"/>
      </rPr>
      <t xml:space="preserve">            </t>
    </r>
    <r>
      <rPr>
        <b/>
        <sz val="10"/>
        <color indexed="8"/>
        <rFont val="Calibri"/>
        <family val="2"/>
        <charset val="238"/>
      </rPr>
      <t xml:space="preserve">                                                                                                                                                                                                                                                                                 Wydarzenia o zasięgu międzynarodowym:                                                                                                                                                                                                                                                                                                        </t>
    </r>
    <r>
      <rPr>
        <sz val="10"/>
        <color indexed="8"/>
        <rFont val="Calibri"/>
        <family val="2"/>
        <charset val="238"/>
      </rPr>
      <t xml:space="preserve">1. Międzynarodowe Targi Bazaar Berlin 2015                                                                                                                                                                                                                                                                                             2. Międzynarodowe Targi Tour Salon w Poznaniu                                                                                                                                                                                                                                                                                        3. Organizacja seminarium naukowego pt. "Problemy zarządzania kryzysowego w obliczu zmian zagospodarowania przestrzennego obszarów Wiejskich"                                   </t>
    </r>
    <r>
      <rPr>
        <b/>
        <sz val="10"/>
        <color indexed="8"/>
        <rFont val="Calibri"/>
        <family val="2"/>
        <charset val="238"/>
      </rPr>
      <t xml:space="preserve">Zakres tematyczny - Inne:                                                                                                                                                                                                                                                                                                                                                                        </t>
    </r>
    <r>
      <rPr>
        <sz val="10"/>
        <color indexed="8"/>
        <rFont val="Calibri"/>
        <family val="2"/>
        <charset val="238"/>
      </rPr>
      <t xml:space="preserve">4 operacje z naciskiem na turystykę wiejską, agroturystykę, dziedzictwo kulturowe, w tym kulinarne; 1 operacja dotycząca budowy i modernizacji dróg lokalnych                                                                                                                                                                      </t>
    </r>
    <r>
      <rPr>
        <b/>
        <sz val="10"/>
        <color indexed="8"/>
        <rFont val="Calibri"/>
        <family val="2"/>
        <charset val="238"/>
      </rPr>
      <t xml:space="preserve">                                                                                                                                                                                                                                     2016:                                                                                                                                                                                                                                                                                                                                                  Wydarzenia o zasięgu krajowym</t>
    </r>
    <r>
      <rPr>
        <sz val="10"/>
        <color indexed="8"/>
        <rFont val="Calibri"/>
        <family val="2"/>
        <charset val="238"/>
      </rPr>
      <t xml:space="preserve">:                                                                                                                                                                                                                                                                                                                                1. XV Spotkanie organizacji działających na obszarach wiejskich w Marózie                                                                                                                                                                                                                                                               2. Konferencja poświęcona podejściu LEADER                                                                                                                                                                                                                                                                                                  3. Dożynki Prezydenckie w Spale                                                                                                                                                                                                                                                                                                                </t>
    </r>
    <r>
      <rPr>
        <b/>
        <sz val="10"/>
        <color indexed="8"/>
        <rFont val="Calibri"/>
        <family val="2"/>
        <charset val="238"/>
      </rPr>
      <t>Wydarzenia o zasięgu międzynarodowym</t>
    </r>
    <r>
      <rPr>
        <sz val="10"/>
        <color indexed="8"/>
        <rFont val="Calibri"/>
        <family val="2"/>
        <charset val="238"/>
      </rPr>
      <t xml:space="preserve">:                                                                                                                                                                                                                                                                                                       1. Międzynarodowe Targi Turystyczne ITB Berlin 2016                                                                                                                                                                                                                                                                            2. Wystawa Twórców Ludowych i Rzemiosła Artystycznego Pogranicza Polsko-Czeskiego w Prudniku                                                                                                                                 3. Targi Turystyki Weekendowej "Atrakcje Regionów" w Chorzowie                                                                                                                                                                                                                                                         4. Międzynarodowe Targi Turystyki Wiejskiej i Agroturystyki AGROTRAVEL w Kielcach - stoisko wystawiennicze                                                                                                     5. Międzynarodowe Targi Turystyki Wiejskiej i Agroturystyki AGROTRAVEL w Kielcach - udział w konferencji                                                                                                                                                6. Międzynarodowe Targi "Rheinland-Pfalz Ausstellung" w Moguncji                                                                                                                                                                                                                                              7. Święto Konstytucji Nadrenii-Palatynatu w Moguncji                                                                                                                                                                                                                                                                        8. Festyn Przyjaźni Polsko-Niemieckiej w Moguncji                                                                                                                                                                                                                                                                   9. Doroczne Forum Europejskiej Sieci Regionalnego Dziedzictwa Kulinarnego w Oslo                                                                                                                                                                                                      10. Finał konkursu o Europejską Nagrodę Odnowy Wsi - Węgry                                                                                                                                                                                                                                                    11. XVI Międzynarodowe Targi Turystyczne "W stronę słońca" w Opolu                                                                                                                                                                                                                    12. Wystawa Rolnicza OPOLAGRA 2016                                                                                                                                                                                                                                                                                                                             </t>
    </r>
    <r>
      <rPr>
        <b/>
        <sz val="10"/>
        <color indexed="8"/>
        <rFont val="Calibri"/>
        <family val="2"/>
        <charset val="238"/>
      </rPr>
      <t>Zakres tematyczny - Inne:</t>
    </r>
    <r>
      <rPr>
        <sz val="10"/>
        <color indexed="8"/>
        <rFont val="Calibri"/>
        <family val="2"/>
        <charset val="238"/>
      </rPr>
      <t xml:space="preserve">                                                                                                                                                                                                                                                                                                                                           1. Spotkania informacyjno-konsultacyjne dot. scalania gruntów, gospodarki wodno-kanalizacyjnej oraz spotkanie w sprawie podpisania umów na drogi lokalne</t>
    </r>
  </si>
  <si>
    <r>
      <rPr>
        <b/>
        <sz val="10"/>
        <color indexed="8"/>
        <rFont val="Calibri"/>
        <family val="2"/>
        <charset val="238"/>
      </rPr>
      <t xml:space="preserve">2015:                                                                                                                                                                                                                                                                                                                                                                                                                                                                                                                                                                                                                                               Wydarzenia o zasięgu międzynarodowym:                                                                                                                                                                                                                                                                                                        </t>
    </r>
    <r>
      <rPr>
        <sz val="10"/>
        <color indexed="8"/>
        <rFont val="Calibri"/>
        <family val="2"/>
        <charset val="238"/>
      </rPr>
      <t xml:space="preserve">1. Międzynarodowe Targi Bazaar Berlin 2015 -  40 000 osób                                                                                                                                                                                                                                                                                            2. Międzynarodowe Targi Tour Salon w Poznaniu - 11 000 osób                                                                                                                                                                                                                                                                                        3. Organizacja seminarium naukowego pt. "Problemy zarządzania kryzysowego w obliczu zmian zagospodarowania przestrzennego obszarów Wiejskich" -  51 osób                                                                                                                                                                                                                                                                                                                                                                                         </t>
    </r>
    <r>
      <rPr>
        <b/>
        <sz val="10"/>
        <color indexed="8"/>
        <rFont val="Calibri"/>
        <family val="2"/>
        <charset val="238"/>
      </rPr>
      <t>2016:                                                                                                                                                                                                                                                                                                                                                       Wydarzenia o zasięgu krajowym</t>
    </r>
    <r>
      <rPr>
        <sz val="10"/>
        <color indexed="8"/>
        <rFont val="Calibri"/>
        <family val="2"/>
        <charset val="238"/>
      </rPr>
      <t xml:space="preserve">:                                                                                                                                                                                                                                                                                                                                1. XV Spotkanie organizacji działających na obszarach wiejskich w Marózie - 500 osób                                                                                                                                                                                                                                                               2. Konferencja poświęcona podejściu LEADER - 350 osób                                                                                                                                                                                                                                                                                                  3. Dożynki Prezydenckie w Spale - 4 000 osób                                                                                                                                                                                                                                                                                                                </t>
    </r>
    <r>
      <rPr>
        <b/>
        <sz val="10"/>
        <color indexed="8"/>
        <rFont val="Calibri"/>
        <family val="2"/>
        <charset val="238"/>
      </rPr>
      <t>Wydarzenia o zasięgu międzynarodowym</t>
    </r>
    <r>
      <rPr>
        <sz val="10"/>
        <color indexed="8"/>
        <rFont val="Calibri"/>
        <family val="2"/>
        <charset val="238"/>
      </rPr>
      <t xml:space="preserve">:                                                                                                                                                                                                                                                                                                                 1. Międzynarodowe Targi Turystyczne ITB Berlin 2016 - 120 000 osób                                                                                                                                                                                                                            2. Wystawa Twórców Ludowych i Rzemiosła Artystycznego Pogranicza Polsko-Czeskiego w Prudniku - 10 000 osób                                                                                                                                 3. Targi Turystyki Weekendowej "Atrakcje Regionów" w Chorzowie - 25 000 osób                                                                                                                                                                                                                                                         4. Międzynarodowe Targi Turystyki Wiejskiej i Agroturystyki AGROTRAVEL w Kielcach - stoisko wystawiennicze - 20 000 osób                                                                                                     5. Międzynarodowe Targi Turystyki Wiejskiej i Agroturystyki AGROTRAVEL w Kielcach - udział w konferencji - 600 osób                                                                                                                                               6. Międzynarodowe Targi "Rheinland-Pfalz Ausstellung" w Moguncji - 70 000 osób                                                                                                                                                                                                                                              7. Święto Konstytucji Nadrenii-Palatynatu w Moguncji - 40 000 osób                                                                                                                                                                                                                                                                       8. Festyn Przyjaźni Polsko-Niemieckiej w Moguncji - 10 000 osób                                                                                                                                                                                                                                                                   9. Doroczne Forum Europejskiej Sieci Regionalnego Dziedzictwa Kulinarnego w Oslo - 400 osób                                                                                                                                                                                                      10. Finał konkursu o Europejską Nagrodę Odnowy Wsi - Węgry - 1 500 osób                                                                                                                                                                                                                                                    11. XVI Międzynarodowe Targi Turystyczne "W stronę słońca" w Opolu - 20 000 osób                                                                                                                                                                                                                    12. Wystawa Rolnicza OPOLAGRA 2016 - 48 000 osób                                                                                                                                                                                                                                                                                                                            </t>
    </r>
  </si>
  <si>
    <t>dotyczy strony www.ksow.pl - zakładka woj. opolskiego, statystyki zgodne z Google Analitics</t>
  </si>
  <si>
    <t>nie dotyczy</t>
  </si>
  <si>
    <t xml:space="preserve">2015-2016 - dotyczy 1 grupy tematycznej - WGR ds. KSOW woj. opolskiego. W 2015r. odbyło się 1 posiedzenie  a w 2016r. - 2 posiedzenia WGR ds KSOW. </t>
  </si>
  <si>
    <r>
      <rPr>
        <b/>
        <sz val="10"/>
        <color indexed="8"/>
        <rFont val="Calibri"/>
        <family val="2"/>
        <charset val="238"/>
      </rPr>
      <t>2015r.</t>
    </r>
    <r>
      <rPr>
        <sz val="10"/>
        <color indexed="8"/>
        <rFont val="Calibri"/>
        <family val="2"/>
        <charset val="238"/>
      </rPr>
      <t xml:space="preserve"> - liczba osób wchodzących w skład WGR ds. KSOW woj. opolskiego - 23 osoby.                                                                                                                                                                                                                                       </t>
    </r>
    <r>
      <rPr>
        <b/>
        <sz val="10"/>
        <color indexed="8"/>
        <rFont val="Calibri"/>
        <family val="2"/>
        <charset val="238"/>
      </rPr>
      <t>2016r</t>
    </r>
    <r>
      <rPr>
        <sz val="10"/>
        <color indexed="8"/>
        <rFont val="Calibri"/>
        <family val="2"/>
        <charset val="238"/>
      </rPr>
      <t>. -  liczba osób wchodzących w skład WGR ds. KSOW woj. opolskiego - 23 osoby</t>
    </r>
  </si>
  <si>
    <r>
      <rPr>
        <b/>
        <sz val="10"/>
        <color theme="1"/>
        <rFont val="Calibri"/>
        <family val="2"/>
        <charset val="238"/>
        <scheme val="minor"/>
      </rPr>
      <t xml:space="preserve">2015 -2016: </t>
    </r>
    <r>
      <rPr>
        <sz val="10"/>
        <color theme="1"/>
        <rFont val="Calibri"/>
        <family val="2"/>
        <charset val="238"/>
        <scheme val="minor"/>
      </rPr>
      <t xml:space="preserve">                                                                                                                                                                                                                                                                                                                                                                                                        </t>
    </r>
    <r>
      <rPr>
        <u/>
        <sz val="10"/>
        <color theme="1"/>
        <rFont val="Calibri"/>
        <family val="2"/>
        <charset val="238"/>
        <scheme val="minor"/>
      </rPr>
      <t xml:space="preserve">     </t>
    </r>
    <r>
      <rPr>
        <sz val="10"/>
        <color theme="1"/>
        <rFont val="Calibri"/>
        <family val="2"/>
        <charset val="238"/>
        <scheme val="minor"/>
      </rPr>
      <t xml:space="preserve">                                      Wykazano szkolenia realizowane w ramach planów operacyjnych oraz ze struktury KSOW    </t>
    </r>
    <r>
      <rPr>
        <b/>
        <sz val="10"/>
        <color theme="1"/>
        <rFont val="Calibri"/>
        <family val="2"/>
        <charset val="238"/>
        <scheme val="minor"/>
      </rPr>
      <t xml:space="preserve">                                                                                                                                                                                                       Zakres tematyczny - Inne:                                                                                                                                                                                                                                                                                                                   2015:                                                                                                                                                                                                                                                                                                                                                                               </t>
    </r>
    <r>
      <rPr>
        <sz val="10"/>
        <color theme="1"/>
        <rFont val="Calibri"/>
        <family val="2"/>
        <charset val="238"/>
        <scheme val="minor"/>
      </rPr>
      <t xml:space="preserve">1. Szkolenie z zakresu zamówień publicznych                                                                                                                                                                                                                                                                                        2. Szkolenie z obsługi programu CORELDRAW                                                                                                                                                                                                                                                                                    3. Szkolenie dla beneficjentów PT PROW 2014-2020        </t>
    </r>
    <r>
      <rPr>
        <sz val="10"/>
        <color theme="1"/>
        <rFont val="Calibri"/>
        <family val="2"/>
        <scheme val="minor"/>
      </rPr>
      <t xml:space="preserve">                                                                                                                                                                                                                                                                </t>
    </r>
    <r>
      <rPr>
        <b/>
        <sz val="10"/>
        <color theme="1"/>
        <rFont val="Calibri"/>
        <family val="2"/>
        <charset val="238"/>
        <scheme val="minor"/>
      </rPr>
      <t>2016:</t>
    </r>
    <r>
      <rPr>
        <sz val="10"/>
        <color theme="1"/>
        <rFont val="Calibri"/>
        <family val="2"/>
        <scheme val="minor"/>
      </rPr>
      <t xml:space="preserve">                                                                                                                                                                                                                                                                                                                                                                                              1. Szkolenie z Excel                                                                                                                                                                                                                                                                                                                                                2. Szkolenie z zakresu zamówień publicznych (nowelizacja ustawy)                                                                                                                                                                                                            3. Szkolenie na temat informowania o PROW 2014-2020                                                                                                                                                                                                                               4. Szkolenie dla beneficjentów PT PROW 2014-2020                                                                                                                                                                                                                                                                                  5. Szkolenie z generatora wniosków w ramach PT PROW 2014-2020</t>
    </r>
  </si>
  <si>
    <r>
      <rPr>
        <b/>
        <sz val="10"/>
        <color indexed="8"/>
        <rFont val="Calibri"/>
        <family val="2"/>
        <charset val="238"/>
      </rPr>
      <t xml:space="preserve">2015:                                                                                                                                                                                                                                                                                                                                                                                   </t>
    </r>
    <r>
      <rPr>
        <sz val="10"/>
        <color indexed="8"/>
        <rFont val="Calibri"/>
        <family val="2"/>
        <charset val="238"/>
      </rPr>
      <t xml:space="preserve">Uczestnikami szkoleń / warsztatów i wyjazdów studyjnych byli mieszkańcy Gminy Bierawa, w tym dzieci i młodzież szkolna, osoby odpowiedzialne za zarządzanie kryzysowe w regionie, kraju , NIemczech i Czechach, pracownicy naukowi, przedstawiciele straży pożarnej, pracownicy Jednostki Regionalnej KSOW woj opolskiego                                                                                                                                                                                                                                                                                                                                            </t>
    </r>
    <r>
      <rPr>
        <b/>
        <sz val="10"/>
        <color indexed="8"/>
        <rFont val="Calibri"/>
        <family val="2"/>
        <charset val="238"/>
      </rPr>
      <t xml:space="preserve">2016: </t>
    </r>
    <r>
      <rPr>
        <sz val="10"/>
        <color indexed="8"/>
        <rFont val="Calibri"/>
        <family val="2"/>
        <charset val="238"/>
      </rPr>
      <t xml:space="preserve">                                                                                                                                                                                                                                                                                                                                                   Uczestnikami szkoleń / warsztatów i wyjazdów studyjnych byli liderzy wiejscy, animatorzy życia na obszarach wiejskich, członkowie oraz potencjalni członkowie  sieci "Szlak Lulinarny Województwa Opolskiego </t>
    </r>
    <r>
      <rPr>
        <i/>
        <sz val="10"/>
        <color indexed="8"/>
        <rFont val="Calibri"/>
        <family val="2"/>
        <charset val="238"/>
      </rPr>
      <t>Opolski Bifyj</t>
    </r>
    <r>
      <rPr>
        <sz val="10"/>
        <color indexed="8"/>
        <rFont val="Calibri"/>
        <family val="2"/>
        <charset val="238"/>
      </rPr>
      <t>, mieszkańcy Gminy Bierawa, rolnicy z woj. opolskiego, doradcy rolni z Opolskiego Ośrodka Doradztwa Rolniczego w Łosiowie oraz pracownicy Jednostki Regionalnej KSOW woj opolskiego</t>
    </r>
  </si>
  <si>
    <t xml:space="preserve">1. W kosztach dot. wydarzeń ujęto także koszty wykonania materiałów promocyjnych i wizualizacyjnych w ramach Planu komunikacyjnego.                                                                         2. W kosztach związanych z innymi działaniami ujęto koszty poniesione na organizację posiedzeń WGR ds. KSOW i Zespołu Oceniającego, szkolenia (bez szkoleń ze struktury), warsztaty i wyjazdy studyjne.                                                                                                                      3.Koszty funkcjonowania dotyczą: wynagrodzenia pracowników JR KSOW, koszty najmu pomieszczeń biurowych wraz z energią elektryczną i ogrzewaniem, delegacji służbowych i szkoleń pracowników JR KSOW, zakupów art. biurowych, koszty napraw i konserwacji sprzętu biurowego. </t>
  </si>
  <si>
    <r>
      <rPr>
        <b/>
        <u/>
        <sz val="12"/>
        <color indexed="8"/>
        <rFont val="Arial"/>
        <family val="2"/>
        <charset val="238"/>
      </rPr>
      <t>Cel i kontekst Wspólnej Statystyki Sieci</t>
    </r>
    <r>
      <rPr>
        <sz val="12"/>
        <color indexed="8"/>
        <rFont val="Arial"/>
        <family val="2"/>
        <charset val="238"/>
      </rPr>
      <t xml:space="preserve">
Wspólna Statystyka Sieci została opracowana przez Punkt Kontaktowy ENRD we współpracy z jednostkami wspierającymi sieci w Państwach Członkowskich UE w celu uzyskania całościowego obrazu dokonań KSOW. Informacja ta zostanie wykorzystana do podsumowania i oceny działań sieci, a także umożliwi porównywanie sieci w różnych krajach UE.
</t>
    </r>
    <r>
      <rPr>
        <b/>
        <u/>
        <sz val="12"/>
        <color indexed="8"/>
        <rFont val="Arial"/>
        <family val="2"/>
        <charset val="238"/>
      </rPr>
      <t>Powiązania między Wspólną Statystyką Sieci i obligatoryjnymi wskaźnikami monitorowania określonymi w rozporządzeniu wykonawczym KE (UE) nr 808/2014</t>
    </r>
    <r>
      <rPr>
        <sz val="12"/>
        <color indexed="8"/>
        <rFont val="Arial"/>
        <family val="2"/>
        <charset val="238"/>
      </rPr>
      <t xml:space="preserve">
Celem Wspólnej Statystyki Sieci jest ułatwienie zbierania danych do obligatoryjnych wskaźników. Wszystkie podmioty zaangażowane w realizację zadań sieci wypełniają tylko arkusz </t>
    </r>
    <r>
      <rPr>
        <i/>
        <sz val="12"/>
        <color indexed="8"/>
        <rFont val="Arial"/>
        <family val="2"/>
        <charset val="238"/>
      </rPr>
      <t xml:space="preserve">"Wspólna Statystyka Sieci". </t>
    </r>
    <r>
      <rPr>
        <sz val="12"/>
        <color indexed="8"/>
        <rFont val="Arial"/>
        <family val="2"/>
        <charset val="238"/>
      </rPr>
      <t xml:space="preserve">
</t>
    </r>
    <r>
      <rPr>
        <b/>
        <u/>
        <sz val="12"/>
        <color indexed="8"/>
        <rFont val="Arial"/>
        <family val="2"/>
        <charset val="238"/>
      </rPr>
      <t>Definicje i wytyczne do poszczególnych wskaźników</t>
    </r>
    <r>
      <rPr>
        <sz val="12"/>
        <color indexed="8"/>
        <rFont val="Arial"/>
        <family val="2"/>
        <charset val="238"/>
      </rPr>
      <t xml:space="preserve">
W opisie poszczególnych wskaźników/mierników znajdują się wytyczne dla każdego wskaźnika. W sytuacji, kiedy wytyczne nie są jasne albo mierniki/wskaźniki nie są możliwe do uzupełnienia - prosimy wypełnić rubrykę "K</t>
    </r>
    <r>
      <rPr>
        <i/>
        <sz val="12"/>
        <color indexed="8"/>
        <rFont val="Arial"/>
        <family val="2"/>
        <charset val="238"/>
      </rPr>
      <t>omentarze"</t>
    </r>
    <r>
      <rPr>
        <sz val="12"/>
        <color indexed="8"/>
        <rFont val="Arial"/>
        <family val="2"/>
        <charset val="238"/>
      </rPr>
      <t xml:space="preserve">. 
 Zakres tematyczny został powiązany z priorytetami PROW 2014-2020.
</t>
    </r>
    <r>
      <rPr>
        <b/>
        <u/>
        <sz val="12"/>
        <color indexed="8"/>
        <rFont val="Arial"/>
        <family val="2"/>
        <charset val="238"/>
      </rPr>
      <t>Udział w budżecie</t>
    </r>
    <r>
      <rPr>
        <b/>
        <sz val="12"/>
        <color indexed="8"/>
        <rFont val="Arial"/>
        <family val="2"/>
        <charset val="238"/>
      </rPr>
      <t xml:space="preserve">
</t>
    </r>
    <r>
      <rPr>
        <sz val="12"/>
        <color indexed="8"/>
        <rFont val="Arial"/>
        <family val="2"/>
        <charset val="238"/>
      </rPr>
      <t>Szacowany podział budżetu (Tabela 8) ma na celu dostarczenie informacji jak proporcjonalnie środki</t>
    </r>
    <r>
      <rPr>
        <b/>
        <sz val="12"/>
        <color indexed="8"/>
        <rFont val="Arial"/>
        <family val="2"/>
        <charset val="238"/>
      </rPr>
      <t xml:space="preserve"> </t>
    </r>
    <r>
      <rPr>
        <sz val="12"/>
        <color indexed="8"/>
        <rFont val="Arial"/>
        <family val="2"/>
        <charset val="238"/>
      </rPr>
      <t xml:space="preserve">rocznego budżetu sieci zostały przeznaczone na odpowiednie działania objęte wskaźnikami. Proszę podaj budzet dla poszczególnych kategorii i wskaż trudności w komentarzu.
</t>
    </r>
    <r>
      <rPr>
        <b/>
        <u/>
        <sz val="12"/>
        <color indexed="8"/>
        <rFont val="Calibri"/>
        <family val="2"/>
        <charset val="238"/>
      </rPr>
      <t/>
    </r>
  </si>
  <si>
    <r>
      <t>Komentarze</t>
    </r>
    <r>
      <rPr>
        <sz val="12"/>
        <color indexed="8"/>
        <rFont val="Arial"/>
        <family val="2"/>
        <charset val="238"/>
      </rPr>
      <t xml:space="preserve"> 
(proszę wskazać co jest rozumiane przez kategorię "inne")</t>
    </r>
  </si>
  <si>
    <r>
      <t>Przedsięwzięcie zrealizowane z naciskiem na rozwój gospodarczy na obszarach wiejskich i włączenie społeczne</t>
    </r>
    <r>
      <rPr>
        <sz val="12"/>
        <color rgb="FFFF0000"/>
        <rFont val="Arial"/>
        <family val="2"/>
        <charset val="238"/>
      </rPr>
      <t xml:space="preserve"> </t>
    </r>
    <r>
      <rPr>
        <sz val="12"/>
        <rFont val="Arial"/>
        <family val="2"/>
        <charset val="238"/>
      </rPr>
      <t>(w wydarzeniu nie uczestniczyły innejednostki regionalne KSOW). Operacje o charakterze międzynarodowym to: Organizacja II Międzynarodowego Festiwalu Kuchni Dworskiej im. Hanny Szymanderskiej w Zamku Dubiecko (około 1000 uczestników) oraz EKOGALA międzynarodowe targi produktów i zywności wysokiej jakości (około 12 000 uczestników).</t>
    </r>
  </si>
  <si>
    <t>W wydarzeniu nie uczesticzyły inne jednistki regionalne KSOW.</t>
  </si>
  <si>
    <r>
      <t>Liczba innych narzędzi komunikacyjnych - proszę określić jakich w "</t>
    </r>
    <r>
      <rPr>
        <i/>
        <sz val="12"/>
        <color indexed="8"/>
        <rFont val="Arial"/>
        <family val="2"/>
        <charset val="238"/>
      </rPr>
      <t>Komentarzu"</t>
    </r>
  </si>
  <si>
    <r>
      <t xml:space="preserve">Komentarze 
</t>
    </r>
    <r>
      <rPr>
        <sz val="12"/>
        <color indexed="8"/>
        <rFont val="Arial"/>
        <family val="2"/>
        <charset val="238"/>
      </rPr>
      <t>(proszę wskazać co jest rozumiane przez kategorię "inne")</t>
    </r>
  </si>
  <si>
    <t>Funkcjonowanie Wojewódzkiej Grupy Roboczej ds.. Krajowej Sieci obszarów Wiejskich w wojeództwie podkarpackim (liczba spotakań grupy tematyczne obejmuje także głosowania w trybie obiegowym)</t>
  </si>
  <si>
    <r>
      <rPr>
        <b/>
        <sz val="12"/>
        <color theme="1"/>
        <rFont val="Arial"/>
        <family val="2"/>
        <charset val="238"/>
      </rPr>
      <t>Komentarze</t>
    </r>
    <r>
      <rPr>
        <sz val="12"/>
        <color theme="1"/>
        <rFont val="Arial"/>
        <family val="2"/>
        <charset val="238"/>
      </rPr>
      <t xml:space="preserve"> 
(proszę wskazać co jest rozumiane przez kategorię "inne")</t>
    </r>
  </si>
  <si>
    <t>Szkolenie dla beneficjentó i przyszłych beneficjentów PROW.</t>
  </si>
  <si>
    <r>
      <t xml:space="preserve">Komentarze </t>
    </r>
    <r>
      <rPr>
        <sz val="12"/>
        <color indexed="8"/>
        <rFont val="Arial"/>
        <family val="2"/>
        <charset val="238"/>
      </rPr>
      <t>(proszę wskazać także inne kategorie)</t>
    </r>
  </si>
  <si>
    <t>inne: materiały promocyjne/gadżety</t>
  </si>
  <si>
    <r>
      <t>W kategorii "inne" w 2015 roku uwzględniono:</t>
    </r>
    <r>
      <rPr>
        <sz val="10"/>
        <color indexed="8"/>
        <rFont val="Calibri"/>
        <family val="2"/>
        <charset val="238"/>
      </rPr>
      <t xml:space="preserve">                                                                                                                                                                                                                                    - Konferencję inaugurującą PROW 2014-2020 w województwie podlaskim                                                                                                                                                                                    - Udział stoiska informacyjno-promocyjnego podczas ważnych imprez plenerowych na terenie woj. podlaskiego podczas, którego świadczone było doradztwo w zakresie warunków i trybu przyznawania pomocy w ramach poddziałań wdrażanych przez  Samorząd Województwa (4 edycje).                                                                                                                                                                                                                                                                                                                                                              </t>
    </r>
    <r>
      <rPr>
        <b/>
        <sz val="10"/>
        <color indexed="8"/>
        <rFont val="Calibri"/>
        <family val="2"/>
        <charset val="238"/>
      </rPr>
      <t xml:space="preserve">W kategorii "inne" w 2016 roku uwzględniono:                                                                                                                                                                                                                                     - </t>
    </r>
    <r>
      <rPr>
        <sz val="10"/>
        <color indexed="8"/>
        <rFont val="Calibri"/>
        <family val="2"/>
        <charset val="238"/>
      </rPr>
      <t xml:space="preserve">Operacje zrealizowane z partnerem KSOW: Zespołem Szkół Centrum Kształcenia Roliczego w Rudce oraz Powiatem Monieckim realizujące jednocześnie 2 priorytety (P3 oraz P6)                                                                                                                                                                                                                                                                                                                   - Udział stoiska informacyjno-promocyjnego podczas ważnych imprez plenerowych na terenie woj. podlaskiego podczas, którego świadczone było doradztwo w zakresie warunków i trybu przyznawania pomocy w ramach poddziałań wdrażanych przez  Samorząd Województwa (4 edycje).                                                                                                                                                                                                                   - Spotkanie koordynacyjne zespołu ds. zadań informacyjno-promocyjnych PROW 2014-2020 z udziałem instytucji wdrażających oraz mediów regionalnych. </t>
    </r>
  </si>
  <si>
    <r>
      <rPr>
        <b/>
        <sz val="10"/>
        <color indexed="8"/>
        <rFont val="Calibri"/>
        <family val="2"/>
        <charset val="238"/>
      </rPr>
      <t xml:space="preserve">Organizowane przez JR KSOW wydarzenia o zasięgu krajowym (2015 r.):                                    </t>
    </r>
    <r>
      <rPr>
        <sz val="10"/>
        <color indexed="8"/>
        <rFont val="Calibri"/>
        <family val="2"/>
        <charset val="238"/>
      </rPr>
      <t xml:space="preserve">                                                                                                                                                       - Udział ze stoiskiem informacyjno-promocyjnym w Targach "Smaki Regionów" w Poznaniu (zgodnie z informacją na stronie organizatora tragi odwiedziło 60 000 osób);                                                                                                                                                                                                                                                                       - Udział ze stoiskiem informacyjno-promocyjnym w VIII Miedzynarodowych Targach Żywności Ekologicznej i Regionalnej "Natura Food" w Łodzi (zgodnie z informacją na stronie organizatora tragi odwiedziło 11 000 osób);                                                                                                                                                                                                                </t>
    </r>
    <r>
      <rPr>
        <b/>
        <sz val="10"/>
        <color indexed="8"/>
        <rFont val="Calibri"/>
        <family val="2"/>
        <charset val="238"/>
      </rPr>
      <t xml:space="preserve">Organizowane przez JR KSOW wydarzenia o zasięgu krajowym (2016 r.):   </t>
    </r>
    <r>
      <rPr>
        <sz val="10"/>
        <color indexed="8"/>
        <rFont val="Calibri"/>
        <family val="2"/>
        <charset val="238"/>
      </rPr>
      <t xml:space="preserve">                                                                                                                                                                                       - Udział ze stoiskiem informacyjno – promocyjnym w Targach „Smaki Regionów” w Poznaniu  (zgodnie z informacją na stronie organizatora tragi odwiedziło 35 000 osób); </t>
    </r>
  </si>
  <si>
    <t>Dane wskazane w niniejszej tabeli dotyczą statystyki strony KSOW województwa podlaskiego administrowanej przez Jednostkę Centralną KSOW oraz statystyki strony PROW 2014-2020. Dane statystyczne strony PROW 2014-2020 dotyczą okresu od 01.10.2016 do 31.12.2016 r. z uwagi na to, że do tego czasu strona była w budowie i nie było możliwości zebrania tych danych.</t>
  </si>
  <si>
    <t>b/d</t>
  </si>
  <si>
    <t xml:space="preserve"> #poznajprow (instagram i facebook)</t>
  </si>
  <si>
    <t>W kategorii "inne" w 2016 roku uwzględniono publikację "Stare w Nowym" dotyczącą rękodzieła ludowego (koronkarstwo).</t>
  </si>
  <si>
    <r>
      <rPr>
        <b/>
        <sz val="10"/>
        <color indexed="8"/>
        <rFont val="Calibri"/>
        <family val="2"/>
        <charset val="238"/>
      </rPr>
      <t xml:space="preserve">W kategorii "Liczba innych narzędzi komunikacyjnych" w 2015 roku uwzględniono:     </t>
    </r>
    <r>
      <rPr>
        <sz val="10"/>
        <color indexed="8"/>
        <rFont val="Calibri"/>
        <family val="2"/>
        <charset val="238"/>
      </rPr>
      <t xml:space="preserve">                                                                                                                                                                        - 10 artykułów w prasie oraz internecie                                                                                                                                                                                                                                                     - wyszukiwarkę działań PROW 2014-2020                                                                                                                                                                                                                                              - kampania informacyjna "Bezpieczna praca w gospodarstwie rolnym"                                                                                                                                                                                                                                                    - tablice informacyjne beneficjentom PROW 2014-2020 (komplet 1)                                                                                                                                                                                                                                           </t>
    </r>
    <r>
      <rPr>
        <b/>
        <sz val="10"/>
        <color indexed="8"/>
        <rFont val="Calibri"/>
        <family val="2"/>
        <charset val="238"/>
      </rPr>
      <t xml:space="preserve">W kategorii "Liczba innych narzędzi komunikacyjnych" w 2016 roku uwzględniono:   </t>
    </r>
    <r>
      <rPr>
        <sz val="10"/>
        <color indexed="8"/>
        <rFont val="Calibri"/>
        <family val="2"/>
        <charset val="238"/>
      </rPr>
      <t xml:space="preserve">                                                                                                                                                                  - 15 artykułów internetowych oraz 1 artykuł w prasie                                                                                                                                                                                                                            - tablice informacyjne (komplet 1)                                                                                                                                                                                                                                                                                                                                                                                                                                                                                          Do kategorii "Inne lub mieszane" zaliczają sie w szczególności informacje na temat działań i poddziałań PROW 2014-2020 wdrażanych przez poszczególne instytucje oraz kampania informacyjna bezpieczna praca w gospodarstwie rolnym.               </t>
    </r>
  </si>
  <si>
    <t>Nie dotyczy</t>
  </si>
  <si>
    <t>Spotkania wojewódzkiej grupy roboczej ds. KSOW (w tym również w trybie obiegowym).</t>
  </si>
  <si>
    <r>
      <rPr>
        <b/>
        <sz val="10"/>
        <color theme="1"/>
        <rFont val="Calibri"/>
        <family val="2"/>
        <charset val="238"/>
        <scheme val="minor"/>
      </rPr>
      <t xml:space="preserve">W kategorii "Inne tematy lub tematy mieszane" uwzgledniono: </t>
    </r>
    <r>
      <rPr>
        <sz val="10"/>
        <color theme="1"/>
        <rFont val="Calibri"/>
        <family val="2"/>
        <charset val="238"/>
        <scheme val="minor"/>
      </rPr>
      <t xml:space="preserve">                                                                                                                                                                                                       - szkolenia dla beneficjentów lub potencjalnych beneficjentów, pracowników PIFE oraz mediów regionalnych dot. działań i poddziałań wdrażanych przez SW,                                                                                                                                                                                                                                                                                 - szkolenie dotyczące nowelizacji PZP preznaczone dla beneficjenów PROW 2014-2020, </t>
    </r>
    <r>
      <rPr>
        <sz val="10"/>
        <color theme="1"/>
        <rFont val="Calibri"/>
        <family val="2"/>
        <scheme val="minor"/>
      </rPr>
      <t xml:space="preserve">                                                                                                                                                                                                                    </t>
    </r>
  </si>
  <si>
    <r>
      <t xml:space="preserve">W kategorii "Inne tematy lub tematy mieszane" uwzgledniono:  </t>
    </r>
    <r>
      <rPr>
        <sz val="10"/>
        <color indexed="8"/>
        <rFont val="Calibri"/>
        <family val="2"/>
        <charset val="238"/>
      </rPr>
      <t>przedstawicieli instyctuji wdrażającej, przedstwicieli mediów lokalnych, członków organizacji pozarządowych oraz osoby zamieszkujące obszary wiejskie.</t>
    </r>
  </si>
  <si>
    <t>Do kosztów funkcjonowania zaliczono: wydatki związane z wynagrodzeniami pracowników, koszty delegacji, koszty administracyjne, zakup artykułów biurowych niezbędnych do funkcjonowania SR, zakup materiałów promocyjnych, itp.</t>
  </si>
  <si>
    <t>SR KSOW Województwa Mazowieckiego</t>
  </si>
  <si>
    <t>SR KSOW Województwa Opolskiego</t>
  </si>
  <si>
    <t>SR KSOW Województwa Podkarpackiego</t>
  </si>
  <si>
    <t>SR KSOW Województwa Podlaskiego</t>
  </si>
  <si>
    <r>
      <rPr>
        <b/>
        <sz val="10"/>
        <color indexed="8"/>
        <rFont val="Calibri"/>
        <family val="2"/>
        <charset val="238"/>
      </rPr>
      <t>dot. poz</t>
    </r>
    <r>
      <rPr>
        <sz val="10"/>
        <color indexed="8"/>
        <rFont val="Calibri"/>
        <family val="2"/>
        <charset val="238"/>
      </rPr>
      <t xml:space="preserve">. </t>
    </r>
    <r>
      <rPr>
        <b/>
        <sz val="10"/>
        <color indexed="8"/>
        <rFont val="Calibri"/>
        <family val="2"/>
        <charset val="238"/>
      </rPr>
      <t>O16 z naciskiem na inne tematy, w tym;</t>
    </r>
  </si>
  <si>
    <t xml:space="preserve">1) promocję turystyki regionalnej </t>
  </si>
  <si>
    <t xml:space="preserve">2) promocję kultury polskiej wsi, zachowanie dziedzictwa kulturowego </t>
  </si>
  <si>
    <t>3) promocja Programu PROW 2014-2020</t>
  </si>
  <si>
    <t>dot. poz. F18-19:</t>
  </si>
  <si>
    <t>1) wydarzenie zwiazane z udziałem w targach Natura Food (wizyta studyjna, 2015), Agrotravel - stoisko promujace region Kaszub (2016) w ramacj realizacji operacji "Rekreacja i edukacja przyrodnicza na kaszubskiej wsi"</t>
  </si>
  <si>
    <t xml:space="preserve">dot. poz. D42 i E42 </t>
  </si>
  <si>
    <t xml:space="preserve">1) zostały wskazane wskaźniki strony internetowej DPROW UMWP (wskaźniki w nawiasach), </t>
  </si>
  <si>
    <t>2) wskazane dane z powodu problemów z synchronizacją identyfikatora śledzenia i URL są zaniżone w stosunku do rzeczywistego poziomu liczby odwiedzin strony. Od 2017 r. dane naliczane sa prawidłowo.</t>
  </si>
  <si>
    <t>dot.poz. E53:</t>
  </si>
  <si>
    <t>1) platforma elektroniczna powstała w ramach realizacji  projektu przez Partnera KSOW "Integracja działań na rzecz rozwoju obszarów wiejskich Pomorza"</t>
  </si>
  <si>
    <t>dot. poz. L64</t>
  </si>
  <si>
    <t>1) 3 publikacje promujące regiona pod względem turystycznym wydane w rmach operacji  "Rekreacja i edukacja przyrodnicza na kaszubskiej wsi"</t>
  </si>
  <si>
    <t>2) 1 publikacja dot. promocji kultury Kociewia wydana w ramach operacji "Kociewie na co dzień i od święta - rozwój aktywności społeczności lokalnej i organizacja lokalnej twórczości kulturalnej poprzez przeprowadzenie warsztatów regionalnych, organizację konkursu poezji i prozy kociewskiej dla dzieci i młodzieży oraz przegląd gadek i skeczy kociewskich pn. "Największa lipa w Lipiej Górze"</t>
  </si>
  <si>
    <t>3) 3 publikacja promujaca projekty realizowane w ramach PO 2016-2017 ("Integracja działań na rzecz rozwoju obszarów wiejskich Pomorza" x1; "Pomorska Wojewódzka Wystawa Zwierząt Hodowlanych - wystawa koni, owiec pokaz królików, gołębi, drobiu handlowego o ozdobnego" x2)</t>
  </si>
  <si>
    <r>
      <rPr>
        <b/>
        <sz val="10"/>
        <color indexed="8"/>
        <rFont val="Calibri"/>
        <family val="2"/>
        <charset val="238"/>
      </rPr>
      <t>dot. poz.</t>
    </r>
    <r>
      <rPr>
        <sz val="10"/>
        <color indexed="8"/>
        <rFont val="Calibri"/>
        <family val="2"/>
        <charset val="238"/>
      </rPr>
      <t xml:space="preserve"> </t>
    </r>
    <r>
      <rPr>
        <b/>
        <sz val="10"/>
        <color indexed="8"/>
        <rFont val="Calibri"/>
        <family val="2"/>
        <charset val="238"/>
      </rPr>
      <t xml:space="preserve">D74:                                                                                                                                                                                                                                                                                                                  </t>
    </r>
    <r>
      <rPr>
        <sz val="10"/>
        <color indexed="8"/>
        <rFont val="Calibri"/>
        <family val="2"/>
        <charset val="238"/>
      </rPr>
      <t>1) 624 spoty radiowe w 8 rozgłośniach regionalnych (8x78 spotów=624) w ramach wydarzenia - DOFE, 35 spotów w rozgłośni regionalnej w ramach projektu realizowanego przez Partnera KSOW pn. "Jarmark Rękodzieła Ziemi Człuchowskiej"</t>
    </r>
  </si>
  <si>
    <r>
      <rPr>
        <b/>
        <sz val="10"/>
        <color indexed="8"/>
        <rFont val="Calibri"/>
        <family val="2"/>
        <charset val="238"/>
      </rPr>
      <t>dot. poz. E74:</t>
    </r>
    <r>
      <rPr>
        <sz val="10"/>
        <color indexed="8"/>
        <rFont val="Calibri"/>
        <family val="2"/>
      </rPr>
      <t xml:space="preserve">                                                                                                                                                                                                                                                                                                                   1) 3 x konkurs kulinarny  (w tym 1 w ramach projektów własnyh PO 2016-2017, 2 realizowane przez Partnerów KSOW w ramach operacji: "I Festiwal Truskawek Kaszubskich", "Słupskie Pokopki"), 1 x konkurs agroturystyczny (w ramach operacji  "Konferencja agroturystyczna połączona z konkursem na najlepsze gospodarstwo agroturystyczne"), 2x konkursy zwiazane z kulturą Pomorza  (w ramach operacji "Kociewie na co dzień i od święta - rozwój aktywności społeczności lokalnej i organizacja lokalnej twórczości kulturalnej poprzez przeprowadzenie warsztatów regionalnych, organizację konkursu poezji i prozy kociewskiej dla dzieci i młodzieży oraz przegląd gadek i skeczy kociewskich pn. "Największa lipa w Lipiej Górze", "XIII Turniej Kół Gospodyń Wiejskich Województwa Pomorskiego"), 1x konkurs konkurs plastyczny dot. tematyki unijnej (projekt własny), 1 x konkurs zwiazany z promocja obszarów wiejskich "Piekna Wieś" (projekt własny)</t>
    </r>
  </si>
  <si>
    <r>
      <rPr>
        <b/>
        <sz val="10"/>
        <color indexed="8"/>
        <rFont val="Calibri"/>
        <family val="2"/>
        <charset val="238"/>
      </rPr>
      <t xml:space="preserve">dot. poz. F73: </t>
    </r>
    <r>
      <rPr>
        <sz val="10"/>
        <color indexed="8"/>
        <rFont val="Calibri"/>
        <family val="2"/>
      </rPr>
      <t xml:space="preserve">                                                                                                                                                                                                                                                                                                                       1) tablice reklamowe (118 szt. tablic informujacych o uzyskanym wsparciu finansowym ze srodków PROW 2007-2013)                                                                                                                                                                                                                                                            2)  prasa (ogłoszenie dot. naboru wniosków)</t>
    </r>
  </si>
  <si>
    <r>
      <rPr>
        <b/>
        <sz val="10"/>
        <color indexed="8"/>
        <rFont val="Calibri"/>
        <family val="2"/>
        <charset val="238"/>
      </rPr>
      <t xml:space="preserve">dot. poz. F74:   </t>
    </r>
    <r>
      <rPr>
        <sz val="10"/>
        <color indexed="8"/>
        <rFont val="Calibri"/>
        <family val="2"/>
      </rPr>
      <t xml:space="preserve">                                                                                                                                                                                                                                                                                                              1) kampania reklamowa w ramach wydarzenia - DOFE  w  prasie (kampania reklamowa  (emisja 2 artykułow) naklad łączy 737 000 egz.) w prasie regionalnej;  na Facebook (kampania reklamowa związna z emisją 26 postów                                                                                                                                                                                                                                 2) kampania reklamowa w ramach projektu relizowanego przez Partnera KSOW ( "Jarmark Rękodzieła Ziemi Człuchowskiej")  na portalu regionalnym (emisja ogłoszeń reklamowych na portalu regionalym weekendfm.pl 30 emisji), w telewizji regionalnej (emisja plansz reklamowych w telewizji kablowej-30emisji), w prasie (1 ogłoszenie, nakład gazety 2 900 egzempl.)                                                                                                                                                                                                                                                                3) zakup matrialów promocyjnych (300 szt.) w ramach PK 2016</t>
    </r>
  </si>
  <si>
    <t xml:space="preserve">4) emisja artykułu prasowego dot. produktów tradycyjnych województwa pomorskiego zrealizowana w ramach projektu włanego ("Organizacja przedsięwzięć promujacych fundusze unijne, agroturystykę, turystykę wiejską, produkt tradycyjny, loklany, żywność wysokiej jakści") zwiazanego z organizacja konkursu kulinarnego </t>
  </si>
  <si>
    <t>dot. poz. O74 z naciskiem na inne tematy, w tym:</t>
  </si>
  <si>
    <t xml:space="preserve">1) promocja Programu PROW  (DOFE)                                                                                                                                                                                                                                                                              2) promocja projektów relizowanych w ramach PO 2016-2017 ( "Jarmark Rękodzieła Ziemi Człuchowskiej") </t>
  </si>
  <si>
    <t>dot. poz. E99 i E100:</t>
  </si>
  <si>
    <t>1) spotkania Pomorskiej Grupy Roboczej ds. KSOW</t>
  </si>
  <si>
    <t>2) decyzje podejmowane  w obiegowym trybie (x1 w 2015, x6 w 2016)</t>
  </si>
  <si>
    <t xml:space="preserve">dot. poz. D99 </t>
  </si>
  <si>
    <t xml:space="preserve">1)  wojewódzka grupa robocza (Pomorska Grupa Robocza ds. KSOW) </t>
  </si>
  <si>
    <r>
      <t xml:space="preserve">dot. poz. M99 i  </t>
    </r>
    <r>
      <rPr>
        <b/>
        <sz val="10"/>
        <color theme="1"/>
        <rFont val="Calibri"/>
        <family val="2"/>
        <charset val="238"/>
        <scheme val="minor"/>
      </rPr>
      <t>M100</t>
    </r>
    <r>
      <rPr>
        <sz val="10"/>
        <color theme="1"/>
        <rFont val="Calibri"/>
        <family val="2"/>
        <charset val="238"/>
        <scheme val="minor"/>
      </rPr>
      <t xml:space="preserve"> z naciskiem na inne tematy, w tym:</t>
    </r>
  </si>
  <si>
    <t>1) dot. wdrażania  KSOW w ramach PROW 2014-2020</t>
  </si>
  <si>
    <t>dot. poz. D131 i D132  :</t>
  </si>
  <si>
    <t>1) ilość osób bioracych udział w spotkaniach PGR ds.KSOW lub wyrażajacych opinie w ramach przeprowadzonych trybach obiegowych</t>
  </si>
  <si>
    <t>dot. poz. O179:</t>
  </si>
  <si>
    <t xml:space="preserve">1) spotkania szkoleniowe dla beneficjentów PROW 2014-2020 </t>
  </si>
  <si>
    <r>
      <rPr>
        <b/>
        <sz val="10"/>
        <rFont val="Calibri"/>
        <family val="2"/>
        <charset val="238"/>
        <scheme val="minor"/>
      </rPr>
      <t>dot. poz. E180:</t>
    </r>
    <r>
      <rPr>
        <sz val="10"/>
        <rFont val="Calibri"/>
        <family val="2"/>
        <scheme val="minor"/>
      </rPr>
      <t xml:space="preserve">                                                                                                                                                                                                                                                                                                              1) wizyta studyjna do woj.kujawsko-pomorskiego w ramach operacji "Aktywne sołectwa na start"</t>
    </r>
  </si>
  <si>
    <r>
      <rPr>
        <b/>
        <sz val="10"/>
        <color theme="1"/>
        <rFont val="Calibri"/>
        <family val="2"/>
        <charset val="238"/>
        <scheme val="minor"/>
      </rPr>
      <t>dot. poz. F180:</t>
    </r>
    <r>
      <rPr>
        <sz val="10"/>
        <color theme="1"/>
        <rFont val="Calibri"/>
        <family val="2"/>
        <scheme val="minor"/>
      </rPr>
      <t xml:space="preserve">                                                                                                                                                                                                                                                                                                              1) wizyta studyjna do do województwa małopolskiego połaczona z warsztatami (opracja: "Wyjazd studyjno-szkoleniowy "Dobre praktyki współpracy na rzecz wiejskiego produktu turystycznego na przykładzie województwa małopolskiego")</t>
    </r>
  </si>
  <si>
    <t xml:space="preserve">dot. poz. O180: </t>
  </si>
  <si>
    <t>1) promocja kultury</t>
  </si>
  <si>
    <t>2)promocja Programu</t>
  </si>
  <si>
    <r>
      <rPr>
        <b/>
        <sz val="10"/>
        <rFont val="Calibri"/>
        <family val="2"/>
        <charset val="238"/>
        <scheme val="minor"/>
      </rPr>
      <t xml:space="preserve">dot. poz. H180:   </t>
    </r>
    <r>
      <rPr>
        <sz val="10"/>
        <rFont val="Calibri"/>
        <family val="2"/>
        <charset val="238"/>
        <scheme val="minor"/>
      </rPr>
      <t xml:space="preserve">                                                                                                                                                                                                                                                                                                              1) informujemy iż w przypadku 2 warsztatów wykazanych w poz. D180 nie było możliwości określenia "</t>
    </r>
    <r>
      <rPr>
        <i/>
        <sz val="10"/>
        <rFont val="Calibri"/>
        <family val="2"/>
        <charset val="238"/>
        <scheme val="minor"/>
      </rPr>
      <t>całkowitej liczby dni szkoleniowych"</t>
    </r>
    <r>
      <rPr>
        <sz val="10"/>
        <rFont val="Calibri"/>
        <family val="2"/>
        <charset val="238"/>
        <scheme val="minor"/>
      </rPr>
      <t xml:space="preserve"> - warsztaty obejmowyłay 20 spotkań około godzinnych w różnych cyklach organizacyjnych (np.. 1, 2, 3… spotkania dziennie), zatem liczbę spotkan potraktowano jako liczbe dni (kwestia ta dotyczyła operacji  "Kociewie na co dzień i od święta - rozwój aktywności społeczności lokalnej i organizacja lokalnej twórczości kulturalnej poprzez przeprowadzenie warsztatów regionalnych, organizację konkursu poezji i prozy kociewskiej dla dzieci i młodzieży oraz przegląd gadek i skeczy kociewskich pn. "Największa lipa w Lipiej Górze")</t>
    </r>
  </si>
  <si>
    <t>dot. poz. L191:</t>
  </si>
  <si>
    <t>1) beneficjenci i potencjalni beneficjenci PROW 2014-2020 (286)</t>
  </si>
  <si>
    <t>2) uczestnicy szkoleń/warsztatów /wyjazdów studyjnych realizowanych przez Partnerów KSOW  w ramach projektów PO 2016-2017 w tym m.in.. Rolnicy, przedisebiorcy z obszarów wiejskich, przedstwiciele podmiotów wspierajacych rozwój obszarów wiejskich, właściciele gospodarstw agroturystycnych, mieszkańcy obszarów wiejskich, soltysi i liderzy wiejscy, dzieci z obszarów wiejskich</t>
  </si>
  <si>
    <r>
      <rPr>
        <b/>
        <sz val="11"/>
        <color theme="1"/>
        <rFont val="Calibri"/>
        <family val="2"/>
        <charset val="238"/>
        <scheme val="minor"/>
      </rPr>
      <t>poz. D2013 i E2013:</t>
    </r>
    <r>
      <rPr>
        <sz val="11"/>
        <color theme="1"/>
        <rFont val="Calibri"/>
        <family val="2"/>
        <charset val="238"/>
        <scheme val="minor"/>
      </rPr>
      <t xml:space="preserve"> łączna suma wydatków poniesionych w ramach realizacji planów operacycjnych (w tym również planów komunikacycjnych) odpowiednio dla 2015 roku i 2016  roku</t>
    </r>
  </si>
  <si>
    <r>
      <rPr>
        <b/>
        <sz val="11"/>
        <color theme="1"/>
        <rFont val="Calibri"/>
        <family val="2"/>
        <charset val="238"/>
        <scheme val="minor"/>
      </rPr>
      <t>poz. D217 -</t>
    </r>
    <r>
      <rPr>
        <sz val="11"/>
        <color theme="1"/>
        <rFont val="Calibri"/>
        <family val="2"/>
        <charset val="238"/>
        <scheme val="minor"/>
      </rPr>
      <t xml:space="preserve"> wydatek nie dotyczy kosztów zwiazanych z realizacją Planu operacyjnego 2014-2015</t>
    </r>
  </si>
  <si>
    <t>wynagrodzenia pracowników JR KSOW</t>
  </si>
  <si>
    <t>wynajem pomieszczeń</t>
  </si>
  <si>
    <t>sprzęt informatyczny</t>
  </si>
  <si>
    <t>organizacja spotkań z partnerami KSOW</t>
  </si>
  <si>
    <t xml:space="preserve">podnoszenie kwalifikacji parcowników JR KSOW </t>
  </si>
  <si>
    <t xml:space="preserve">materiały promocyjne (m.in. roll-up, ścianki wystawiennicze zakupione w ramach PK) </t>
  </si>
  <si>
    <t>tonery</t>
  </si>
  <si>
    <t>delegacje</t>
  </si>
  <si>
    <r>
      <rPr>
        <b/>
        <u/>
        <sz val="12"/>
        <color rgb="FF000000"/>
        <rFont val="Calibri"/>
        <family val="2"/>
        <charset val="238"/>
      </rPr>
      <t xml:space="preserve">Cel i kontekst Wspólnej </t>
    </r>
    <r>
      <rPr>
        <b/>
        <u/>
        <sz val="12"/>
        <color rgb="FF000000"/>
        <rFont val="Calibri"/>
        <family val="2"/>
        <charset val="238"/>
      </rPr>
      <t>Statystyki Sieci</t>
    </r>
    <r>
      <rPr>
        <b/>
        <u/>
        <sz val="12"/>
        <color rgb="FF000000"/>
        <rFont val="Calibri"/>
        <family val="2"/>
        <charset val="238"/>
      </rPr>
      <t xml:space="preserve">
</t>
    </r>
    <r>
      <rPr>
        <sz val="12"/>
        <color rgb="FF000000"/>
        <rFont val="Calibri"/>
        <family val="2"/>
        <charset val="238"/>
      </rPr>
      <t xml:space="preserve">Wspólna Statystyka Sieci została opracowana przez Punkt Kontaktowy ENRD we współpracy z jednostkami wspierającymi sieci w Państwach Członkowskich UE w celu uzyskania całościowego obrazu dokonań KSOW. Informacja ta zostanie wykorzystana do podsumowania i oceny działań sieci, a także umożliwi porównywanie sieci w różnych krajach UE.
</t>
    </r>
    <r>
      <rPr>
        <b/>
        <u/>
        <sz val="12"/>
        <color rgb="FF000000"/>
        <rFont val="Calibri"/>
        <family val="2"/>
        <charset val="238"/>
      </rPr>
      <t xml:space="preserve">Powiązania między Wspólną </t>
    </r>
    <r>
      <rPr>
        <b/>
        <u/>
        <sz val="12"/>
        <color rgb="FF000000"/>
        <rFont val="Calibri"/>
        <family val="2"/>
        <charset val="238"/>
      </rPr>
      <t xml:space="preserve">Statystyką Sieci i </t>
    </r>
    <r>
      <rPr>
        <b/>
        <u/>
        <sz val="12"/>
        <color rgb="FF000000"/>
        <rFont val="Calibri"/>
        <family val="2"/>
        <charset val="238"/>
      </rPr>
      <t xml:space="preserve">obligatoryjnymi wskaźnikami </t>
    </r>
    <r>
      <rPr>
        <b/>
        <u/>
        <sz val="12"/>
        <color rgb="FF000000"/>
        <rFont val="Calibri"/>
        <family val="2"/>
        <charset val="238"/>
      </rPr>
      <t xml:space="preserve">monitorowania określonymi w </t>
    </r>
    <r>
      <rPr>
        <b/>
        <u/>
        <sz val="12"/>
        <color rgb="FF000000"/>
        <rFont val="Calibri"/>
        <family val="2"/>
        <charset val="238"/>
      </rPr>
      <t xml:space="preserve">rozporządzeniu wykonawczym </t>
    </r>
    <r>
      <rPr>
        <b/>
        <u/>
        <sz val="12"/>
        <color rgb="FF000000"/>
        <rFont val="Calibri"/>
        <family val="2"/>
        <charset val="238"/>
      </rPr>
      <t>KE (UE) nr 808/2014</t>
    </r>
    <r>
      <rPr>
        <b/>
        <u/>
        <sz val="12"/>
        <color rgb="FF000000"/>
        <rFont val="Calibri"/>
        <family val="2"/>
        <charset val="238"/>
      </rPr>
      <t xml:space="preserve">
</t>
    </r>
    <r>
      <rPr>
        <sz val="12"/>
        <color rgb="FF000000"/>
        <rFont val="Calibri"/>
        <family val="2"/>
        <charset val="238"/>
      </rPr>
      <t xml:space="preserve">Celem Wspólnej Statystyki Sieci jest ułatwienie zbierania danych do obligatoryjnych wskaźników. Wszystkie podmioty zaangażowane w realizację zadań sieci wypełniają tylko arkusz </t>
    </r>
    <r>
      <rPr>
        <i/>
        <sz val="12"/>
        <color rgb="FF000000"/>
        <rFont val="Calibri"/>
        <family val="2"/>
        <charset val="238"/>
      </rPr>
      <t>"Wspólna Statystyka Sieci".</t>
    </r>
    <r>
      <rPr>
        <i/>
        <sz val="12"/>
        <color rgb="FF000000"/>
        <rFont val="Calibri"/>
        <family val="2"/>
        <charset val="238"/>
      </rPr>
      <t xml:space="preserve">
</t>
    </r>
    <r>
      <rPr>
        <sz val="12"/>
        <color rgb="FF000000"/>
        <rFont val="Calibri"/>
        <family val="2"/>
        <charset val="238"/>
      </rPr>
      <t xml:space="preserve">
</t>
    </r>
    <r>
      <rPr>
        <b/>
        <u/>
        <sz val="12"/>
        <color rgb="FF000000"/>
        <rFont val="Calibri"/>
        <family val="2"/>
        <charset val="238"/>
      </rPr>
      <t xml:space="preserve">Definicje i wytyczne do </t>
    </r>
    <r>
      <rPr>
        <b/>
        <u/>
        <sz val="12"/>
        <color rgb="FF000000"/>
        <rFont val="Calibri"/>
        <family val="2"/>
        <charset val="238"/>
      </rPr>
      <t>poszczególnych wskaźników</t>
    </r>
    <r>
      <rPr>
        <b/>
        <u/>
        <sz val="12"/>
        <color rgb="FF000000"/>
        <rFont val="Calibri"/>
        <family val="2"/>
        <charset val="238"/>
      </rPr>
      <t xml:space="preserve">
</t>
    </r>
    <r>
      <rPr>
        <sz val="12"/>
        <color rgb="FF000000"/>
        <rFont val="Calibri"/>
        <family val="2"/>
        <charset val="238"/>
      </rPr>
      <t>W opisie poszczególnych wskaźników/mierników znajdują się wytyczne dla każdego wskaźnika. W sytuacji, kiedy wytyczne nie są jasne albo mierniki/wskaźniki nie są możliwe do uzupełnienia - prosimy wypełnić rubrykę "K</t>
    </r>
    <r>
      <rPr>
        <i/>
        <sz val="12"/>
        <color rgb="FF000000"/>
        <rFont val="Calibri"/>
        <family val="2"/>
        <charset val="238"/>
      </rPr>
      <t>omentarze"</t>
    </r>
    <r>
      <rPr>
        <sz val="12"/>
        <color rgb="FF000000"/>
        <rFont val="Calibri"/>
        <family val="2"/>
        <charset val="238"/>
      </rPr>
      <t xml:space="preserve">.
 Zakres tematyczny został powiązany z priorytetami PROW 2014-2020.
</t>
    </r>
    <r>
      <rPr>
        <b/>
        <u/>
        <sz val="12"/>
        <color rgb="FF000000"/>
        <rFont val="Calibri"/>
        <family val="2"/>
        <charset val="238"/>
      </rPr>
      <t>Udział w budżecie</t>
    </r>
    <r>
      <rPr>
        <b/>
        <u/>
        <sz val="12"/>
        <color rgb="FF000000"/>
        <rFont val="Calibri"/>
        <family val="2"/>
        <charset val="238"/>
      </rPr>
      <t xml:space="preserve">
</t>
    </r>
    <r>
      <rPr>
        <sz val="12"/>
        <color rgb="FF000000"/>
        <rFont val="Calibri"/>
        <family val="2"/>
        <charset val="238"/>
      </rPr>
      <t>Szacowany podział budżetu (Tabela 8) ma na celu dostarczenie informacji jak proporcjonalnie środki</t>
    </r>
    <r>
      <rPr>
        <b/>
        <sz val="12"/>
        <color rgb="FF000000"/>
        <rFont val="Calibri"/>
        <family val="2"/>
        <charset val="238"/>
      </rPr>
      <t xml:space="preserve"> </t>
    </r>
    <r>
      <rPr>
        <sz val="12"/>
        <color rgb="FF000000"/>
        <rFont val="Calibri"/>
        <family val="2"/>
        <charset val="238"/>
      </rPr>
      <t xml:space="preserve">rocznego budżetu sieci zostały przeznaczone na odpowiednie działania objęte wskaźnikami. Proszę podaj budzet dla poszczególnych kategorii i wskaż trudności w komentarzu.
</t>
    </r>
  </si>
  <si>
    <r>
      <t>Komentarze</t>
    </r>
    <r>
      <rPr>
        <sz val="10"/>
        <color rgb="FF000000"/>
        <rFont val="Calibri"/>
        <family val="2"/>
        <charset val="238"/>
      </rPr>
      <t xml:space="preserve">
(proszę wskazać co jest rozumiane </t>
    </r>
    <r>
      <rPr>
        <sz val="10"/>
        <color rgb="FF000000"/>
        <rFont val="Calibri"/>
        <family val="2"/>
        <charset val="238"/>
      </rPr>
      <t>przez kategorię "inne")</t>
    </r>
  </si>
  <si>
    <t>z naciskiem na LEADER/RLKS i LGD (włączając współpracę) (P6)</t>
  </si>
  <si>
    <r>
      <rPr>
        <u/>
        <sz val="10"/>
        <rFont val="Calibri"/>
        <family val="2"/>
        <charset val="238"/>
      </rPr>
      <t>1. ROK  2015:</t>
    </r>
    <r>
      <rPr>
        <sz val="10"/>
        <rFont val="Calibri"/>
        <family val="2"/>
        <charset val="238"/>
      </rPr>
      <t xml:space="preserve"> Wydarzenia wskazane w kolumnie Inne lub mieszane dotyczą: Priorytetów 6 oraz Priorytetu 1.                                                                                                                               </t>
    </r>
    <r>
      <rPr>
        <u/>
        <sz val="10"/>
        <rFont val="Calibri"/>
        <family val="2"/>
        <charset val="238"/>
      </rPr>
      <t>2. ROK 2016:</t>
    </r>
    <r>
      <rPr>
        <sz val="10"/>
        <rFont val="Calibri"/>
        <family val="2"/>
        <charset val="238"/>
      </rPr>
      <t xml:space="preserve"> W kolumnie Inne lub mieszane uwzględniono operacja kładące nacisk na szeroko rozumiane zachowanie i ochronę dziedzictwa kulturowego (P6) a także takie operacje  jak konkurs fotograficzny, konkurs "Zadbajmy o wodę na wsi", targi AGROTRAVEL, targi Atrakcje Regionów oraz Forum Sołtysów Województwa Śląskiego.                                                                                                                                                                                                                                                                                                                                      </t>
    </r>
    <r>
      <rPr>
        <u/>
        <sz val="10"/>
        <rFont val="Calibri"/>
        <family val="2"/>
        <charset val="238"/>
      </rPr>
      <t xml:space="preserve">Wydarzenia krajowe: </t>
    </r>
    <r>
      <rPr>
        <sz val="10"/>
        <rFont val="Calibri"/>
        <family val="2"/>
        <charset val="238"/>
      </rPr>
      <t xml:space="preserve">
- Udział w Targach Turystyki Weekendowej "Atrakcje Regionów" – 40 000 osób,
- Dożynki Jasnogórskie połączone z Jubileuszem 150-lecia Kół Gospodyń Wiejskich – 50 000 osób.
</t>
    </r>
    <r>
      <rPr>
        <u/>
        <sz val="10"/>
        <rFont val="Calibri"/>
        <family val="2"/>
        <charset val="238"/>
      </rPr>
      <t xml:space="preserve">Wydarzenia międzynarodowe: </t>
    </r>
    <r>
      <rPr>
        <sz val="10"/>
        <rFont val="Calibri"/>
        <family val="2"/>
        <charset val="238"/>
      </rPr>
      <t xml:space="preserve">
- Udział w VIII Międzynarodowych Targach Turystyki Wiejskiej  i Agroturystyki AGROTRAVEL 2016 – 20 000 osób; 
- Festiwal Kultury Polskiej i Żydowskiej „XIV Święto Ciulimu-Czulentu” Lelowskie Spotkanie Kultur – 10 000 osób;
</t>
    </r>
  </si>
  <si>
    <r>
      <rPr>
        <u/>
        <sz val="10"/>
        <color rgb="FF000000"/>
        <rFont val="Calibri"/>
        <family val="2"/>
        <charset val="238"/>
      </rPr>
      <t>1. ROK 2015</t>
    </r>
    <r>
      <rPr>
        <sz val="10"/>
        <color rgb="FF000000"/>
        <rFont val="Calibri"/>
        <family val="2"/>
        <charset val="238"/>
      </rPr>
      <t xml:space="preserve">:Liczbę uczestników określono na podstawie posiadanych list obecności (dot. spartakiady-210 osób, konferencji-274 osób) oraz na podstawie informacji uzyskanych od Partnerów KSOW organizujących dane wydarzenie (dot. m.in. imprez plenerowych-500 osób, które są imprezami o charakterze otwartym  a liczba odwiedzających jest szacunkowa).                                                                                                                                                                                                                                                                                                                                                                                                                    </t>
    </r>
    <r>
      <rPr>
        <u/>
        <sz val="10"/>
        <color rgb="FF000000"/>
        <rFont val="Calibri"/>
        <family val="2"/>
        <charset val="238"/>
      </rPr>
      <t xml:space="preserve">2. ROK 2016: </t>
    </r>
    <r>
      <rPr>
        <sz val="10"/>
        <color rgb="FF000000"/>
        <rFont val="Calibri"/>
        <family val="2"/>
        <charset val="238"/>
      </rPr>
      <t xml:space="preserve">Liczbę uczestników określono na podstawie posiadanych list obecności (dot. spotkania-60 osób, konferencji- 378 osób, spartakiady-200 osób) oraz na podstawie informacji uzyskanych od Partnerów KSOW organizujących dane wydarzenie (dot. m.in. imprez plenerowych-20 962 osób, przeglądów-450 osób, targów-60 000 osób, dożynek-50 000 osób, które są imprezami o charakterze otwartym  a liczba odwiedzających jest szacunkowa).                                                                                                                                                                                                                </t>
    </r>
    <r>
      <rPr>
        <u/>
        <sz val="10"/>
        <color rgb="FF000000"/>
        <rFont val="Calibri"/>
        <family val="2"/>
        <charset val="238"/>
      </rPr>
      <t xml:space="preserve">                                                                                                                                   Wydarzenia krajowe: </t>
    </r>
    <r>
      <rPr>
        <sz val="10"/>
        <color rgb="FF000000"/>
        <rFont val="Calibri"/>
        <family val="2"/>
        <charset val="238"/>
      </rPr>
      <t xml:space="preserve">
- Udział w Targach Turystyki Weekendowej "Atrakcje Regionów" – 40 000 osób,
- Dożynki Jasnogórskie połączone z Jubileuszem 150-lecia Kół Gospodyń Wiejskich – 50 000 osób.
</t>
    </r>
    <r>
      <rPr>
        <u/>
        <sz val="10"/>
        <color rgb="FF000000"/>
        <rFont val="Calibri"/>
        <family val="2"/>
        <charset val="238"/>
      </rPr>
      <t xml:space="preserve">Wydarzenia międzynarodowe: </t>
    </r>
    <r>
      <rPr>
        <sz val="10"/>
        <color rgb="FF000000"/>
        <rFont val="Calibri"/>
        <family val="2"/>
        <charset val="238"/>
      </rPr>
      <t xml:space="preserve">
- Udział w VIII Międzynarodowych Targach Turystyki Wiejskiej  i Agroturystyki AGROTRAVEL 2016 – 20 000 osób; 
- Festiwal Kultury Polskiej i Żydowskiej „XIV Święto Ciulimu-Czulentu” Lelowskie Spotkanie Kultur – 10 000 osób;
                              </t>
    </r>
  </si>
  <si>
    <r>
      <rPr>
        <u/>
        <sz val="10"/>
        <color rgb="FF000000"/>
        <rFont val="Calibri"/>
        <family val="2"/>
        <charset val="238"/>
      </rPr>
      <t xml:space="preserve">1. ROK 2015: </t>
    </r>
    <r>
      <rPr>
        <sz val="10"/>
        <color rgb="FF000000"/>
        <rFont val="Calibri"/>
        <family val="2"/>
        <charset val="238"/>
      </rPr>
      <t xml:space="preserve">Dane dotyczą strony internetowej KSOW.                                                                                                                                                                                                                                                                                                                                                                              </t>
    </r>
    <r>
      <rPr>
        <u/>
        <sz val="10"/>
        <color rgb="FF000000"/>
        <rFont val="Calibri"/>
        <family val="2"/>
        <charset val="238"/>
      </rPr>
      <t>2. ROK 2016:</t>
    </r>
    <r>
      <rPr>
        <sz val="10"/>
        <color rgb="FF000000"/>
        <rFont val="Calibri"/>
        <family val="2"/>
        <charset val="238"/>
      </rPr>
      <t xml:space="preserve"> Dane wskazane w niniejszej tabeli dotyczą statystyki strony KSOW województwa śląskiego administrowanej przez Jednostkę Centralną KSOW oraz statystyki strony PROW 2014-2020. Dane statystyczne strony PROW 2014-2020 dotyczą okresu 23.05 - 31.12.2016 r. z uwagi na to, że do tego czasu strona była w budowie i nie było możliwości zebrania tych danych.</t>
    </r>
  </si>
  <si>
    <r>
      <rPr>
        <u/>
        <sz val="10"/>
        <color rgb="FF000000"/>
        <rFont val="Calibri"/>
        <family val="2"/>
        <charset val="238"/>
      </rPr>
      <t xml:space="preserve">1. ROK 2015: </t>
    </r>
    <r>
      <rPr>
        <sz val="10"/>
        <color rgb="FF000000"/>
        <rFont val="Calibri"/>
        <family val="2"/>
        <charset val="238"/>
      </rPr>
      <t>Publikacje wykazane w kolumnie</t>
    </r>
    <r>
      <rPr>
        <i/>
        <sz val="10"/>
        <color rgb="FF000000"/>
        <rFont val="Calibri"/>
        <family val="2"/>
        <charset val="238"/>
      </rPr>
      <t xml:space="preserve"> Inne lub mieszane</t>
    </r>
    <r>
      <rPr>
        <sz val="10"/>
        <color rgb="FF000000"/>
        <rFont val="Calibri"/>
        <family val="2"/>
        <charset val="238"/>
      </rPr>
      <t xml:space="preserve">: 1. Książka kucharska z potrawami lokalnymi, 2.  Folder promujący lokalną przedsiębiorczość 3.  Folder promocyjny promujący konferencję pn. "Śląska wieś - rozwój przedsiębiorczości" oraz Gminy Strumień.                                                                                                                                                                                         </t>
    </r>
    <r>
      <rPr>
        <u/>
        <sz val="10"/>
        <color rgb="FF000000"/>
        <rFont val="Calibri"/>
        <family val="2"/>
        <charset val="238"/>
      </rPr>
      <t>2. ROK 2016:</t>
    </r>
    <r>
      <rPr>
        <sz val="10"/>
        <color rgb="FF000000"/>
        <rFont val="Calibri"/>
        <family val="2"/>
        <charset val="238"/>
      </rPr>
      <t xml:space="preserve"> W kolumnie</t>
    </r>
    <r>
      <rPr>
        <i/>
        <sz val="10"/>
        <color rgb="FF000000"/>
        <rFont val="Calibri"/>
        <family val="2"/>
        <charset val="238"/>
      </rPr>
      <t xml:space="preserve"> Inne lub mieszane</t>
    </r>
    <r>
      <rPr>
        <sz val="10"/>
        <color rgb="FF000000"/>
        <rFont val="Calibri"/>
        <family val="2"/>
        <charset val="238"/>
      </rPr>
      <t xml:space="preserve"> uwzględniono następujące publikacje: biuletyn "Wyniki 2015. Porejestrowe Doświadczalnictwo Odmianowe w Województwie Śląskim w roku 2015";  broszurę informacyjną "Lista Zalecanych Odmian do upraw w województwie śląskim na rok 2016"; publikację książkową pt. ”Gmina Gorzyce - MIEJSCA LUDZIE WYDARZENIA”, publikację poplenerową pt. "Gmina Świerklany w malarstwie" oraz publikację pt.  "Kulinarne tradycje w Gminie świerklany".</t>
    </r>
  </si>
  <si>
    <t>Liczba konkursów/ kategorii konkursowych</t>
  </si>
  <si>
    <r>
      <t>Liczba innych narzędzi komunikacyjnych - proszę określić jakich w "</t>
    </r>
    <r>
      <rPr>
        <i/>
        <sz val="10"/>
        <color rgb="FF000000"/>
        <rFont val="Calibri"/>
        <family val="2"/>
        <charset val="238"/>
      </rPr>
      <t>Komentarzu"</t>
    </r>
  </si>
  <si>
    <r>
      <rPr>
        <u/>
        <sz val="10"/>
        <color rgb="FF000000"/>
        <rFont val="Calibri"/>
        <family val="2"/>
        <charset val="238"/>
      </rPr>
      <t>1. ROK 2015</t>
    </r>
    <r>
      <rPr>
        <sz val="10"/>
        <color rgb="FF000000"/>
        <rFont val="Calibri"/>
        <family val="2"/>
        <charset val="238"/>
      </rPr>
      <t>: W</t>
    </r>
    <r>
      <rPr>
        <i/>
        <sz val="10"/>
        <color rgb="FF000000"/>
        <rFont val="Calibri"/>
        <family val="2"/>
        <charset val="238"/>
      </rPr>
      <t xml:space="preserve"> </t>
    </r>
    <r>
      <rPr>
        <sz val="10"/>
        <color rgb="FF000000"/>
        <rFont val="Calibri"/>
        <family val="2"/>
        <charset val="238"/>
      </rPr>
      <t>kolumnie</t>
    </r>
    <r>
      <rPr>
        <i/>
        <sz val="10"/>
        <color rgb="FF000000"/>
        <rFont val="Calibri"/>
        <family val="2"/>
        <charset val="238"/>
      </rPr>
      <t xml:space="preserve"> Liczba innych narzędzi komunikacyjnych</t>
    </r>
    <r>
      <rPr>
        <sz val="10"/>
        <color rgb="FF000000"/>
        <rFont val="Calibri"/>
        <family val="2"/>
        <charset val="238"/>
      </rPr>
      <t xml:space="preserve"> oraz w </t>
    </r>
    <r>
      <rPr>
        <i/>
        <sz val="10"/>
        <color rgb="FF000000"/>
        <rFont val="Calibri"/>
        <family val="2"/>
        <charset val="238"/>
      </rPr>
      <t>kolumnie Inne lub mieszane</t>
    </r>
    <r>
      <rPr>
        <sz val="10"/>
        <color rgb="FF000000"/>
        <rFont val="Calibri"/>
        <family val="2"/>
        <charset val="238"/>
      </rPr>
      <t xml:space="preserve"> wykazano informację radiową dotycząca operacji realizowanej w ramach Planu operacyjnego 2014-2015 KSOW pn. Mszańskie smaki jesieni oraz 8 ogłoszeń prasowych (3 ogłoszenia dotyczące realizacji operacji przez Gminę Strumień oraz 5 ogłoszeń dotyczących działań PROW 2014-2020.                                                                                                                                                                                                                                                                                                                                                                                                                                                                      </t>
    </r>
    <r>
      <rPr>
        <u/>
        <sz val="10"/>
        <color rgb="FF000000"/>
        <rFont val="Calibri"/>
        <family val="2"/>
        <charset val="238"/>
      </rPr>
      <t>2. ROK 2016:</t>
    </r>
    <r>
      <rPr>
        <sz val="10"/>
        <color rgb="FF000000"/>
        <rFont val="Calibri"/>
        <family val="2"/>
        <charset val="238"/>
      </rPr>
      <t xml:space="preserve"> W kolumnie</t>
    </r>
    <r>
      <rPr>
        <i/>
        <sz val="10"/>
        <color rgb="FF000000"/>
        <rFont val="Calibri"/>
        <family val="2"/>
        <charset val="238"/>
      </rPr>
      <t xml:space="preserve"> Liczba innych narzędzi komunikacyjnych</t>
    </r>
    <r>
      <rPr>
        <sz val="10"/>
        <color rgb="FF000000"/>
        <rFont val="Calibri"/>
        <family val="2"/>
        <charset val="238"/>
      </rPr>
      <t xml:space="preserve"> wykazano informację radiową dotycząca operacji realizowanej w ramach Planu operacyjnego 2016-2017 KSOW pn. Barwy kultury i mozaika tradycji - promocja zrwnoważonego rozowju w Gminie Świerklany.                                                                                                                                                                                                         W kolumnie </t>
    </r>
    <r>
      <rPr>
        <i/>
        <sz val="10"/>
        <color rgb="FF000000"/>
        <rFont val="Calibri"/>
        <family val="2"/>
        <charset val="238"/>
      </rPr>
      <t>Inne lub mieszane</t>
    </r>
    <r>
      <rPr>
        <sz val="10"/>
        <color rgb="FF000000"/>
        <rFont val="Calibri"/>
        <family val="2"/>
        <charset val="238"/>
      </rPr>
      <t xml:space="preserve"> wykazano informację radiową dotycząca operacji pn. Barwy kultury i mozaika tradycji - promocja zrwnoważonego rozowju w Gminie Świerklany oraz dwa konkursy zorganizowane/współorganizowane przez JR KSOW. Oba konkursy zakończyły się uroczystym podsumowaniem w postaci konferencji dlatego w tabeli 1. Wydarzenia wykazano 2 konferencje).</t>
    </r>
  </si>
  <si>
    <t>3.1 Liczba zebranych i upowszechnionych przykładów dobrej praktyki</t>
  </si>
  <si>
    <r>
      <t>Komentarze</t>
    </r>
    <r>
      <rPr>
        <b/>
        <sz val="10"/>
        <color rgb="FF000000"/>
        <rFont val="Calibri"/>
        <family val="2"/>
        <charset val="238"/>
      </rPr>
      <t xml:space="preserve">
</t>
    </r>
    <r>
      <rPr>
        <sz val="10"/>
        <color rgb="FF000000"/>
        <rFont val="Calibri"/>
        <family val="2"/>
        <charset val="238"/>
      </rPr>
      <t xml:space="preserve">(proszę wskazać co jest rozumiane </t>
    </r>
    <r>
      <rPr>
        <sz val="10"/>
        <color rgb="FF000000"/>
        <rFont val="Calibri"/>
        <family val="2"/>
        <charset val="238"/>
      </rPr>
      <t>przez kategorię "inne")</t>
    </r>
  </si>
  <si>
    <t>Liczba dobrych praktyk</t>
  </si>
  <si>
    <t>Z naciskiem na transfer wiedzy i innowacyjność (P1)</t>
  </si>
  <si>
    <r>
      <rPr>
        <u/>
        <sz val="10"/>
        <rFont val="Calibri"/>
        <family val="2"/>
        <charset val="238"/>
      </rPr>
      <t>1. ROK 2016:</t>
    </r>
    <r>
      <rPr>
        <sz val="10"/>
        <rFont val="Calibri"/>
        <family val="2"/>
        <charset val="238"/>
      </rPr>
      <t xml:space="preserve"> W kolumnie</t>
    </r>
    <r>
      <rPr>
        <i/>
        <sz val="10"/>
        <rFont val="Calibri"/>
        <family val="2"/>
        <charset val="238"/>
      </rPr>
      <t xml:space="preserve"> Inne tematy lub tematy mieszane uwzględniono następujące</t>
    </r>
    <r>
      <rPr>
        <sz val="10"/>
        <rFont val="Calibri"/>
        <family val="2"/>
        <charset val="238"/>
      </rPr>
      <t xml:space="preserve"> projekty: spotkania pt. "Fundusze unijne szansą rozwoju obszarów wiejskich", "Rolnictwo ekologiczne szansą dla młodych rolników" – organizacja seminarium i prezentacja przykładów dobrych praktyk w gospodarstwach oraz wyjazd studyjny do Szkocji.                                                                                                                                                                                                                                                                                                                                                                                                                               </t>
    </r>
    <r>
      <rPr>
        <u/>
        <sz val="10"/>
        <rFont val="Calibri"/>
        <family val="2"/>
        <charset val="238"/>
      </rPr>
      <t xml:space="preserve">W/w operacje zostały zgłoszone do </t>
    </r>
    <r>
      <rPr>
        <i/>
        <u/>
        <sz val="10"/>
        <rFont val="Calibri"/>
        <family val="2"/>
        <charset val="238"/>
      </rPr>
      <t>Bazy dobrych praktyk.</t>
    </r>
  </si>
  <si>
    <r>
      <t>Komentarze</t>
    </r>
    <r>
      <rPr>
        <sz val="12"/>
        <color rgb="FF000000"/>
        <rFont val="Calibri"/>
        <family val="2"/>
        <charset val="238"/>
      </rPr>
      <t xml:space="preserve">
(</t>
    </r>
    <r>
      <rPr>
        <sz val="10"/>
        <color rgb="FF000000"/>
        <rFont val="Calibri"/>
        <family val="2"/>
        <charset val="238"/>
      </rPr>
      <t xml:space="preserve">proszę wskazać co jest rozumiane </t>
    </r>
    <r>
      <rPr>
        <sz val="10"/>
        <color rgb="FF000000"/>
        <rFont val="Calibri"/>
        <family val="2"/>
        <charset val="238"/>
      </rPr>
      <t>przez kategorię "inne")</t>
    </r>
  </si>
  <si>
    <r>
      <rPr>
        <u/>
        <sz val="10"/>
        <rFont val="Calibri"/>
        <family val="2"/>
        <charset val="238"/>
      </rPr>
      <t>1. ROK 2015:</t>
    </r>
    <r>
      <rPr>
        <sz val="10"/>
        <rFont val="Calibri"/>
        <family val="2"/>
        <charset val="238"/>
      </rPr>
      <t xml:space="preserve"> W kolumnie </t>
    </r>
    <r>
      <rPr>
        <i/>
        <sz val="10"/>
        <rFont val="Calibri"/>
        <family val="2"/>
        <charset val="238"/>
      </rPr>
      <t>liczba grup tematycznych</t>
    </r>
    <r>
      <rPr>
        <sz val="10"/>
        <rFont val="Calibri"/>
        <family val="2"/>
        <charset val="238"/>
      </rPr>
      <t xml:space="preserve"> wskazano Wojewódzką Grupę Roboczą ds. KSOW. Natomiast w kolumnie </t>
    </r>
    <r>
      <rPr>
        <i/>
        <sz val="10"/>
        <rFont val="Calibri"/>
        <family val="2"/>
        <charset val="238"/>
      </rPr>
      <t>liczba spotkań grup tematycznych</t>
    </r>
    <r>
      <rPr>
        <sz val="10"/>
        <rFont val="Calibri"/>
        <family val="2"/>
        <charset val="238"/>
      </rPr>
      <t xml:space="preserve"> uwzględniono liczbę podjętych przez WGR uchwał z uwagi na to, że regulamin prac WGR ds. KSOW pozwala na podejmowanie uchwał  drogą mailową, a do dnia 31 grudnia 2015 r.  nie zaistniała konieczności zorganizowania spotkania „stacjonarnego”.                                                                   
</t>
    </r>
    <r>
      <rPr>
        <u/>
        <sz val="10"/>
        <rFont val="Calibri"/>
        <family val="2"/>
        <charset val="238"/>
      </rPr>
      <t>2. ROK 2016:</t>
    </r>
    <r>
      <rPr>
        <sz val="10"/>
        <rFont val="Calibri"/>
        <family val="2"/>
        <charset val="238"/>
      </rPr>
      <t xml:space="preserve"> W kolumnie </t>
    </r>
    <r>
      <rPr>
        <i/>
        <sz val="10"/>
        <rFont val="Calibri"/>
        <family val="2"/>
        <charset val="238"/>
      </rPr>
      <t>liczba grup tematycznych</t>
    </r>
    <r>
      <rPr>
        <sz val="10"/>
        <rFont val="Calibri"/>
        <family val="2"/>
        <charset val="238"/>
      </rPr>
      <t xml:space="preserve"> wskazano Wojewódzką Grupę Roboczą ds. KSOW. Natomiast w kolumnie </t>
    </r>
    <r>
      <rPr>
        <i/>
        <sz val="10"/>
        <rFont val="Calibri"/>
        <family val="2"/>
        <charset val="238"/>
      </rPr>
      <t>liczba spotkań grup tematycznych</t>
    </r>
    <r>
      <rPr>
        <sz val="10"/>
        <rFont val="Calibri"/>
        <family val="2"/>
        <charset val="238"/>
      </rPr>
      <t xml:space="preserve"> uwzględniono 1 spotkanie WGR oraz 9 uchwał podjętych przez WGR w 2016 r.  </t>
    </r>
    <r>
      <rPr>
        <u/>
        <sz val="10"/>
        <color rgb="FFFF0000"/>
        <rFont val="Calibri"/>
        <family val="2"/>
        <charset val="238"/>
      </rPr>
      <t xml:space="preserve">
</t>
    </r>
  </si>
  <si>
    <t>4.2 Liczba konsultacji tematycznych</t>
  </si>
  <si>
    <t>W kolumnie Liczba osób wedłóg typu inicjatyw wskazano liczbę osób, która brała czynny udział w spotkaniu i podejmowaniu uchwał.</t>
  </si>
  <si>
    <t>Liczba przekazanych przykładów dobrych praktyk/ case study</t>
  </si>
  <si>
    <r>
      <rPr>
        <b/>
        <sz val="12"/>
        <color rgb="FF000000"/>
        <rFont val="Calibri"/>
        <family val="2"/>
        <charset val="238"/>
      </rPr>
      <t>Komentarze</t>
    </r>
    <r>
      <rPr>
        <sz val="10"/>
        <color rgb="FF000000"/>
        <rFont val="Calibri"/>
        <family val="2"/>
        <charset val="238"/>
      </rPr>
      <t xml:space="preserve">
(proszę wskazać co jest rozumiane przez kategorię "inne")</t>
    </r>
  </si>
  <si>
    <r>
      <t xml:space="preserve">Komentarze
</t>
    </r>
    <r>
      <rPr>
        <sz val="10"/>
        <color rgb="FF000000"/>
        <rFont val="Calibri"/>
        <family val="2"/>
        <charset val="238"/>
      </rPr>
      <t xml:space="preserve">(proszę wskazać co jest rozumiane </t>
    </r>
    <r>
      <rPr>
        <sz val="10"/>
        <color rgb="FF000000"/>
        <rFont val="Calibri"/>
        <family val="2"/>
        <charset val="238"/>
      </rPr>
      <t>przez kategorię "inne")</t>
    </r>
  </si>
  <si>
    <r>
      <t xml:space="preserve">1. ROK 2015: </t>
    </r>
    <r>
      <rPr>
        <sz val="10"/>
        <color rgb="FF000000"/>
        <rFont val="Calibri"/>
        <family val="2"/>
        <charset val="238"/>
      </rPr>
      <t xml:space="preserve"> Zakres temetyczny wskazany w kolumnie Inne tematy lub tematy mieszane dotyczą wyjazdu studyjnego pn. Przykłady nowoczesnych działań krajów nadbałtyckich w zakresie przedsiębiorczości (...) oraz cyklu spotkań pt. Jak zostać przedsiębiorczym mieszkańcem wsi.                                                                                                                                                                                                                                                                                                                                                                                   </t>
    </r>
    <r>
      <rPr>
        <u/>
        <sz val="10"/>
        <color rgb="FF000000"/>
        <rFont val="Calibri"/>
        <family val="2"/>
        <charset val="238"/>
      </rPr>
      <t>2. ROK 2016:</t>
    </r>
    <r>
      <rPr>
        <sz val="10"/>
        <color rgb="FF000000"/>
        <rFont val="Calibri"/>
        <family val="2"/>
        <charset val="238"/>
      </rPr>
      <t xml:space="preserve"> W kolumnie Inne uwzględniono: 1 spotkanie nt. funduszy unijnych zorganizowane przez Gminę Pilica, 1 seminarium połączone z  prezentacją przykładów dobrych praktyk w gospodarstwach, 1 prelekcję nt. prowadzenia działalności gospodarczej na obszarach wiejskich oraz 5 spotkań dla beneficjentów i potencjalnych beneficjentów PROW 2014-2020 i 2 spotkania dla LGD).                                                                                                                                                                                                                                                                                                                  W kolumnie Inne tematy lub tematy mieszane uwzględniono następujący zakres tematyczny: fundusze unijne jako szansa rozwoju obszarów wiejskich, warunki i tryb przyznawania pomocy finansowej oraz rozliczania uzyskanej pomocy finansowej w ramach wybranych działań PROW 2014-2020, produkty regionalne i tradycyjne, rolnictwo ekologiczne, gospodarstwa edukacyjne, zachowanie i ochrona dziedzictwa kulturowego.</t>
    </r>
  </si>
  <si>
    <t>liczba przedstawicieli lokalnych partnerów i organizacji</t>
  </si>
  <si>
    <r>
      <rPr>
        <u/>
        <sz val="10"/>
        <color theme="1"/>
        <rFont val="Calibri"/>
        <family val="2"/>
        <charset val="238"/>
      </rPr>
      <t>1. ROK 2016:</t>
    </r>
    <r>
      <rPr>
        <sz val="10"/>
        <color theme="1"/>
        <rFont val="Calibri"/>
        <family val="2"/>
        <charset val="238"/>
      </rPr>
      <t xml:space="preserve"> W kolumnie </t>
    </r>
    <r>
      <rPr>
        <i/>
        <sz val="10"/>
        <color theme="1"/>
        <rFont val="Calibri"/>
        <family val="2"/>
        <charset val="238"/>
      </rPr>
      <t xml:space="preserve">liczba uczestników szkolenia/warsztatów </t>
    </r>
    <r>
      <rPr>
        <sz val="10"/>
        <color theme="1"/>
        <rFont val="Calibri"/>
        <family val="2"/>
        <charset val="238"/>
      </rPr>
      <t xml:space="preserve">wskazano maksymalną liczbę uczestników warsztatów w całym cyklu szkoleniowym (na podstawie list obecności)                                                                                                                                                                                                                                                                                                                                                                            W kolumnie </t>
    </r>
    <r>
      <rPr>
        <i/>
        <sz val="10"/>
        <color theme="1"/>
        <rFont val="Calibri"/>
        <family val="2"/>
        <charset val="238"/>
      </rPr>
      <t xml:space="preserve">liczba uczestników innych lub mieszanych działań szkoleniowych </t>
    </r>
    <r>
      <rPr>
        <sz val="10"/>
        <color theme="1"/>
        <rFont val="Calibri"/>
        <family val="2"/>
        <charset val="238"/>
      </rPr>
      <t>uwzględniono uczestników: 1 spotkania nt. funduszy unijnych zorganizowane, 1 seminarium połączonego z  prezentacją przykładów dobrych praktyk w gospodarstwach, 1 prelekcji nt. prowadzenia działalności gospodarczej na obszarach wiejskich oraz 5 spotkań dla beneficjentów i potencjalnych beneficjentów PROW 2014-2020 i 2 spotkania dla LGD.           
W kolumnie</t>
    </r>
    <r>
      <rPr>
        <i/>
        <sz val="10"/>
        <color theme="1"/>
        <rFont val="Calibri"/>
        <family val="2"/>
        <charset val="238"/>
      </rPr>
      <t xml:space="preserve"> liczba przedstawicieli innych grup interesariuszy</t>
    </r>
    <r>
      <rPr>
        <sz val="10"/>
        <color theme="1"/>
        <rFont val="Calibri"/>
        <family val="2"/>
        <charset val="238"/>
      </rPr>
      <t xml:space="preserve"> uwzględniono m.in. przedstawicieli: gmin i powiatu zawierciańskiego, Kół Gospodyń Wiejskich, stowarzyszeń działających na obszarach wiejskich, mieszkańcy Gminy Pilica - rolnicy, przedstawiciele stowarzyszeń i organizacji pozarządowych działających na terenie Gminy Pilica, beneficjentów potencjalnych beneficjenci PROW 2014-2020, przedstawicieli UMWŚ, przedstawicieli LGD, młodych rolników z województwa śląskiego etc. W kolumnie liczba przedstawicieli innych grup interesariuszy uwzględniono w/w przedstawicieli z wyjątkiem przedstawicieli LGD.                                                                                                                                                                                                                                                                                                   </t>
    </r>
  </si>
  <si>
    <t>7.1 Liczba inicjatyw współpracy, ofert poszukiwania partnerów do współpracy, badań/analiz, wizyt studyjnych i innych działań na rzecz współpracy</t>
  </si>
  <si>
    <t>8. Budżet sieci w EUR - Proszę nie licz podwójnie</t>
  </si>
  <si>
    <r>
      <rPr>
        <b/>
        <sz val="12"/>
        <color rgb="FF000000"/>
        <rFont val="Calibri"/>
        <family val="2"/>
        <charset val="238"/>
      </rPr>
      <t xml:space="preserve">Komentarze </t>
    </r>
    <r>
      <rPr>
        <sz val="10"/>
        <color rgb="FF000000"/>
        <rFont val="Calibri"/>
        <family val="2"/>
        <charset val="238"/>
      </rPr>
      <t xml:space="preserve">(proszę wskazać także </t>
    </r>
    <r>
      <rPr>
        <sz val="10"/>
        <color rgb="FF000000"/>
        <rFont val="Calibri"/>
        <family val="2"/>
        <charset val="238"/>
      </rPr>
      <t>inne kategorie)</t>
    </r>
  </si>
  <si>
    <t>SR KSOW Województwa Pomorskiego</t>
  </si>
  <si>
    <t>SR KSOW Województwa Śląskiego</t>
  </si>
  <si>
    <t>SR KSOW Województwa Świętokrzyskiego</t>
  </si>
  <si>
    <t>Rok 2015 - Udział w 3 imprezach targowych (dwie krajowe -   Udział w Międzynarodowych Targach Łódzkich Natura Food oraz Udział w Targach Sadowniczo-Warzywniczych Hort-Technika ; jedna zagraniczna - Udział w Międzynarodowych Targach INDAGRA 2015 w Bukareszcie ); organizacja 2 spotkań bezkosztowych (jako jedna operacja) nt. zasad wyboru Lokalnych Strategii Rozwoju w ramach PROW na lata 2014-2020  - priorytet 1 i priorytet 6 (włączenie społeczne); organizacja konferencji w ramach Planu komunikacyjnego - priorytet 1 i priorytet 2 i 3                                                                                                                                                                                             Rok 2016 - 2i3; 4i5; 6 - operacja dotyczy wsparcia organizacji cyklicznych Spotkań Sadowniczych w Sandomierzu w roku 2016, działania o charakterze targowo-wystawienniczo-konferencyjnym, realizującego kilka priorytetów.                                                                                                                                                              W jednym wydarzeniu o zasięgu krajowym pn. LGD Świętokrzyskie ponad wszystkie! - AGROTRAVEL - wynajem powierzchni targowej, zabudowa, wyposażenie - poza SR KSOW wo. świętokrzyskiego uczestniczyło  siedem  jednostek sieci KSOW.                                                                                                     Nazwy wszystkich działań, zrealizowanych w 2015 i 2016 roku, zostały opisane w komentarzu do tabeli 1.2</t>
  </si>
  <si>
    <r>
      <rPr>
        <b/>
        <sz val="10"/>
        <color indexed="8"/>
        <rFont val="Calibri"/>
        <family val="2"/>
        <charset val="238"/>
      </rPr>
      <t xml:space="preserve">Rok 2015 - </t>
    </r>
    <r>
      <rPr>
        <sz val="10"/>
        <color indexed="8"/>
        <rFont val="Calibri"/>
        <family val="2"/>
        <charset val="238"/>
      </rPr>
      <t xml:space="preserve">Liczba uczestników w wydarzeniach o zasięgu lokalnym i krajowym jest podana w przybliżeniu, ze względu na charakter niektórych działań (np. festyny, dożynki). </t>
    </r>
    <r>
      <rPr>
        <b/>
        <sz val="10"/>
        <color indexed="8"/>
        <rFont val="Calibri"/>
        <family val="2"/>
        <charset val="238"/>
      </rPr>
      <t xml:space="preserve">Wydarzenia lokalne: </t>
    </r>
    <r>
      <rPr>
        <sz val="10"/>
        <color indexed="8"/>
        <rFont val="Calibri"/>
        <family val="2"/>
        <charset val="238"/>
      </rPr>
      <t>Promowanie wydarzenia pn. "XV Świętokrzyskie Dożynki Wojewódzkie" -  emisja w telewizji regionalnej (szczegóły w tabeli 2.4); Współorganizacja konkursu na tradycyjny wieniec dożynkowy podczas Dożynek Wojewódzkich w 2015 r.(252</t>
    </r>
    <r>
      <rPr>
        <b/>
        <sz val="10"/>
        <color indexed="8"/>
        <rFont val="Calibri"/>
        <family val="2"/>
        <charset val="238"/>
      </rPr>
      <t xml:space="preserve"> </t>
    </r>
    <r>
      <rPr>
        <sz val="10"/>
        <color indexed="8"/>
        <rFont val="Calibri"/>
        <family val="2"/>
        <charset val="238"/>
      </rPr>
      <t xml:space="preserve">osoby); Organizacja plenerowego wydarzenia promocyjno-edukacyjnego pn. "Dary Świętokrzyskich Lasów" (3000 osób);  Organizacja imprezy pn. "Ogólnopolski Hubertus Świętokrzyski" (5000 osób); W ramach Planu komunikacyjnego: 2 spotkanie bezkosztowe (jako jedna operacja) nt. zasad wyboru Lokalnych Strategii Rozwoju w ramach PROW na lata 2014-2020, (37 i 35 osób); Konferencja dotycząca działań infrastrukturalnych PROW 2014-2020 (221osób). </t>
    </r>
    <r>
      <rPr>
        <b/>
        <sz val="10"/>
        <color indexed="8"/>
        <rFont val="Calibri"/>
        <family val="2"/>
        <charset val="238"/>
      </rPr>
      <t xml:space="preserve">Wydarzenia krajowe: </t>
    </r>
    <r>
      <rPr>
        <sz val="10"/>
        <color indexed="8"/>
        <rFont val="Calibri"/>
        <family val="2"/>
        <charset val="238"/>
      </rPr>
      <t xml:space="preserve">Organizacja stoiska promującego wartości kulturowe obszarów wiejskich Województwa Świętokrzyskiego podczas Dożynek Prezydenckich w Spale w 2015 r. (3000 osób); Udział w Międzynarodowych Targach Łódzkich Natura Food - (22 uczestników); Udział w Targach Sadowniczo-Warzywniczych Hort-Technika (300 uczestników); </t>
    </r>
    <r>
      <rPr>
        <b/>
        <sz val="10"/>
        <color indexed="8"/>
        <rFont val="Calibri"/>
        <family val="2"/>
        <charset val="238"/>
      </rPr>
      <t xml:space="preserve">Wydarzenia międzynarodowe: </t>
    </r>
    <r>
      <rPr>
        <sz val="10"/>
        <color indexed="8"/>
        <rFont val="Calibri"/>
        <family val="2"/>
        <charset val="238"/>
      </rPr>
      <t>Udział w Międzynarodowych Targach INDAGRA 2015 w Bukareszcie (19 uczestników).</t>
    </r>
    <r>
      <rPr>
        <b/>
        <sz val="10"/>
        <color indexed="8"/>
        <rFont val="Calibri"/>
        <family val="2"/>
        <charset val="238"/>
      </rPr>
      <t xml:space="preserve">                                                                                                                                                         Rok 2016</t>
    </r>
    <r>
      <rPr>
        <sz val="10"/>
        <color indexed="8"/>
        <rFont val="Calibri"/>
        <family val="2"/>
        <charset val="238"/>
      </rPr>
      <t xml:space="preserve"> - Liczba uczestników w przypadku wydarzeń, podczas których nie była sporządzona lista obecności lub  formularze zgłoszeniowe podana została na podstawie sprawozdania złożonego przez wykonawcę, liczby zaproszeń, liczby mieszkańców gminy (imprezy plenerowe). W przypadku targów jest to liczba ustalona na podstawie liczby osób wystawców, odwiedzjących stoisko w ciagu każdego dnia targowego oraz liczba sprzedanych biletów.    </t>
    </r>
    <r>
      <rPr>
        <b/>
        <sz val="10"/>
        <color indexed="8"/>
        <rFont val="Calibri"/>
        <family val="2"/>
        <charset val="238"/>
      </rPr>
      <t xml:space="preserve">Wydarzenia lokalne: </t>
    </r>
    <r>
      <rPr>
        <sz val="10"/>
        <color indexed="8"/>
        <rFont val="Calibri"/>
        <family val="2"/>
        <charset val="238"/>
      </rPr>
      <t xml:space="preserve">Szkolenie lokalnych grup działania województwa świętokrzyskiego (40 osób); II Forum Aktywnych Kobiet Ziemi Koneckiej - Produkt Tradycyjny i lokalny czynnikiem rozwoju obszarów wiejskich (104 osoby);  Organizacja konferencji podczas imprezy pn.: „Wojewódzkie Święto Kwitnącej Wiśni – Nowe 2016” ( 360 osób); </t>
    </r>
    <r>
      <rPr>
        <b/>
        <sz val="10"/>
        <color indexed="8"/>
        <rFont val="Calibri"/>
        <family val="2"/>
        <charset val="238"/>
      </rPr>
      <t xml:space="preserve"> </t>
    </r>
    <r>
      <rPr>
        <sz val="10"/>
        <color indexed="8"/>
        <rFont val="Calibri"/>
        <family val="2"/>
        <charset val="238"/>
      </rPr>
      <t>Organizacja X Festiwalu Ludowego im. Stefana Ostrowskiego i Jana Jawora (2 tys. osób); Upowszechnianie dobrych praktyk w zakresie rozwoju obszarów wiejskich poprzez organizację XIX Dnia Świetokrzyskiej Truskawki (2 tys. osób);Prezentacja produktu regionalnego podczas wydarzenia pn.„Świętokrzyska Victoria” ( 400 osób);  Organizacja Finału Regionalnego Konkursu „Nasze Kulinarne Dziedzictwo – Smaki Regionów” ( tysiąc osób)</t>
    </r>
    <r>
      <rPr>
        <b/>
        <sz val="10"/>
        <color indexed="8"/>
        <rFont val="Calibri"/>
        <family val="2"/>
        <charset val="238"/>
      </rPr>
      <t xml:space="preserve">; </t>
    </r>
    <r>
      <rPr>
        <sz val="10"/>
        <color indexed="8"/>
        <rFont val="Calibri"/>
        <family val="2"/>
        <charset val="238"/>
      </rPr>
      <t>Promowanie wartości kulturowych obszarów wiejskich poprzez organizację XVI Świętokrzyskich Dożynek Wojewódzkich (1500 osó);</t>
    </r>
    <r>
      <rPr>
        <b/>
        <sz val="10"/>
        <color indexed="8"/>
        <rFont val="Calibri"/>
        <family val="2"/>
        <charset val="238"/>
      </rPr>
      <t xml:space="preserve"> </t>
    </r>
    <r>
      <rPr>
        <sz val="10"/>
        <color indexed="8"/>
        <rFont val="Calibri"/>
        <family val="2"/>
        <charset val="238"/>
      </rPr>
      <t xml:space="preserve"> Organizacja konkursu "Na najpiękniejszy wieniec dożynkowy"podczas XVI Świętokrzyskich Dożynek Wojewódzkich (520 osób); Promocja produktów lokalnych poprzez organizację konkursu kulinarnego "Przez Żołądek do Serca" (180 osób); Organizacja plenerowego wydarzenia promocyjno-edukacyjnego pn. "Dary Świętokrzyskich Lasów" (3000 osób);  organizacja wyjazdu studyjnego na XVIII Międzynarodową wystawę Rolniczą AGRO SHOW w Bednarach w celu gromadzenia i upowszechnienia dobrych praktyk mających wpływ na obszary wiejskie (35 osób); Organizacja szkoleniapn. "Innowacyjne metody chowu małych przeżuwaczy" (61 osób); Organizacjad  szkolenia na temat wymiany doświadczeń w zakresie rozwoju obszarów wiejskich poprzez działalność lokalnych stowarzyszeń, na przykładzie działań Świętokrzyskiej Izby Rolniczej i Świętokrzyskiej Federacji Agroturystyki i Turystki Wiejskiej „Ziemia Świętokrzyska" (156 osób); Organizacja szkolenia pn. „Podniesienie konkurencyjności gospodarstw rolnych poprzez zrzeszanie się rolników ze szczególnym uwzględnieniem formy spółdzielczej” (199 osób); W ramach Planu komunikacyjnego spotkania informacyjno – szkoleniowe przed naborami na Gospodarkę wodno-ściekową i Odnowę wsi (179 osób). (</t>
    </r>
    <r>
      <rPr>
        <b/>
        <sz val="10"/>
        <color indexed="8"/>
        <rFont val="Calibri"/>
        <family val="2"/>
        <charset val="238"/>
      </rPr>
      <t xml:space="preserve">Wydarzenia krajowe: </t>
    </r>
    <r>
      <rPr>
        <sz val="10"/>
        <color indexed="8"/>
        <rFont val="Calibri"/>
        <family val="2"/>
        <charset val="238"/>
      </rPr>
      <t xml:space="preserve"> Udział w Targach Ekologia dla Rodziny ECOFAMILY 2016  w Kielcach (3 tys. osób w tym 10 wystawców z woj. św.) ; Organizacja działania propagującego produkt regionalny województwa świętokrzyskiego podczas Spotkania Noworocznego Członków Warszawskiego Klubu Przyjaciół Ziemi Kieleckiej (450 osób); Prezentacja produktu regionalnego podczas Mistrzostw Polski Urzędów Marszałkowskich w Piłce Nożnej Halowej „Świętokrzyskie 2016” (300 osób); Wsparcie organizacji cyklicznych "XXV Spotkań Sadowniczych SANDOMIERZ 2016" o charakterze targowo - wystawienniczo konferencyjnym w celu ułatwienia transferu wiedzy i innowacji w rolnictwie oraz zwiekszenia rentowności i konkurencyjności gospodarstw sadowniczych (300 osób); Olimpiada Młodych Producentów Rolnych Finał Krajowy ( 90 osób); Organizacja i Przeprowadzenie Ogólnopolskiego Festiwalu Artystycznego Wsi Polskiej 2016 (400 osób); Udział w Targach Technologii Sadowniczych i Warzywniczych HORTI-TECH (200 osób); Promocja wartości kulturowych obszarów wiejskich woj. świętokrzyskiego podczas Dożynek Prezydenckich w Spale (3000 osób); </t>
    </r>
    <r>
      <rPr>
        <b/>
        <sz val="10"/>
        <color indexed="8"/>
        <rFont val="Calibri"/>
        <family val="2"/>
        <charset val="238"/>
      </rPr>
      <t xml:space="preserve">Wydarzenia międzynarodowe: </t>
    </r>
    <r>
      <rPr>
        <sz val="10"/>
        <color indexed="8"/>
        <rFont val="Calibri"/>
        <family val="2"/>
        <charset val="238"/>
      </rPr>
      <t xml:space="preserve">LGD Świętokrzyskie ponad wszystkie! - AGROTRAVEL - wynajem powierzchni targowej, zabudowa, wyposażenie (20 tys.osób w tym 16 wystawców LGD-ów) . </t>
    </r>
  </si>
  <si>
    <r>
      <t xml:space="preserve">swietokrzyskie.ksow.pl; </t>
    </r>
    <r>
      <rPr>
        <sz val="10"/>
        <color rgb="FF00B050"/>
        <rFont val="Calibri"/>
        <family val="2"/>
        <charset val="238"/>
      </rPr>
      <t xml:space="preserve">prow2014-2020.sbrr.pl </t>
    </r>
  </si>
  <si>
    <t xml:space="preserve">Liczba emisji każdej informacji - 80; oglądalność: codziennie: 19,7% - 64 419 widzów; kilka razy w tygodniu: 36,7% - 120 009 widzów </t>
  </si>
  <si>
    <r>
      <rPr>
        <b/>
        <sz val="10"/>
        <color theme="1"/>
        <rFont val="Calibri"/>
        <family val="2"/>
        <charset val="238"/>
        <scheme val="minor"/>
      </rPr>
      <t>Rok 201</t>
    </r>
    <r>
      <rPr>
        <sz val="10"/>
        <color theme="1"/>
        <rFont val="Calibri"/>
        <family val="2"/>
        <charset val="238"/>
        <scheme val="minor"/>
      </rPr>
      <t xml:space="preserve">5 - 2 posiedzenia Wojewódzkiej Grupy Roboczej ds. KSOW: Pierwsze: w sprawie przyjęcia Regulaminu Pracy Grupy Roboczej do spraw Krajowej Sieci Obszarów Wiejskich Województwa Świętokrzyskiego, zaopiniowania Planu operacyjnego na lata 2014-2015 Planu Działania Krajowej Sieci Obszarów Wiejskich na lata 2014-2020 dla województwa świętokrzyskiego oraz w sprawie zaopiniowania Projektu Planu Działania Krajowej Sieci Obszarów Wiejskich  na lata 2014 – 2020. Drugie: w sprawie zaopiniowania Projektu Listy rankingowej Planu operacyjnego na lata 2016 – 2017 na 2016 rok Planu Działania  Krajowej Sieci Obszarów Wiejskich  na lata 2014- 2020 dla województwa świętokrzyskiego oraz zaopiniowania Planu operacyjnego na lata 2016 - 2017  na  2016 rok Planu Działania Krajowej Sieci Obszarów Wiejskich na lata 2014-2020 dla województwa świętokrzyskiego.  
</t>
    </r>
    <r>
      <rPr>
        <b/>
        <sz val="10"/>
        <color theme="1"/>
        <rFont val="Calibri"/>
        <family val="2"/>
        <charset val="238"/>
        <scheme val="minor"/>
      </rPr>
      <t>Rok 2016</t>
    </r>
    <r>
      <rPr>
        <sz val="10"/>
        <color theme="1"/>
        <rFont val="Calibri"/>
        <family val="2"/>
        <charset val="238"/>
        <scheme val="minor"/>
      </rPr>
      <t xml:space="preserve"> - 6 posiedzeń Wojewódzkiej Grupy Roboczej ds. KSOW w sprawie: zaopiniowanie informacji z realizacji Planu Działania 2014-2015 w ramach PROW 2007-2013; zaopiniowanie informacji półrocznej z realizacji Planu Operacyjnego na lata 2014-2015 w ramach PROW 2014-2020 oraz sprawozdania dwuletniego z realizacji Planu Operacyjnego na lata 2014-2015 w ramach PROW 2014-2020; zaopiniowanie sprawozdania rocznego z realizacji Planu działania Krajowej Sieci Obszarów Wiejskich na lata 2014-2020 za rok 2015; zaopiniowania propozycji zmiany nazwy działania w Planie operacyjnym Krajowej Sieci Obszarów Wiejskichna lata 2016-2017 w ramach Programu Rozwoju Obszarów Wiejskich na lata 2014-2020; zaopiniowania I Informacji półrocznej z realizacji Planu operacyjnego KSOW na lata 2016-2017 w ramach PROW na lata 2014-2020; zaopiniowania II Informacji półrocznej z realizacji Planu operacyjnego KSOW na lata 2016-2017 w ramach PROW na lata 2014-2020.
</t>
    </r>
  </si>
  <si>
    <t>II Forum Aktywnych Kobiet Ziemi Koneckiej - Produkt Tradycyjny i lokalny czynnikiem rozwoju obszarów wiejskich - osoby działające w organizacjach pozarządowych tj. stowarzyszeniach, grupach kobiecych formalnych i nieformalnych, kobiety pracujące dla dobra społeczności; szkolenie lokalnych grup działania województwa świętokrzyskiego - pracownicy lokalnych grup działania województwa świętokrzyskiego.  szkolenie SIR - liderzy wiejskich organizacji i grup nieformalnych, predstawiciele Świętokrzyskiej Izby Rolniczej oraz Świętokrzyskiej Federacji Agroturystyki i Turystyki Wiejskiej "Ziemia Świętokrzyska"; wyjazd studyjny - rolnicy, producenci, doradcy, przedstwiciele administracji rządowej i samorządowej; szkolenie małe przezuwacze - rolnicy, Świętokrzyski Związek Hodowców Owiec i Kóz firmy ubojowe, przetwórcze i handlowe;  szkolenie ŚODR - rolnicy prowadzący działalnosc rolniczą</t>
  </si>
  <si>
    <t xml:space="preserve">Zebranie od LGD-ów informacji dotyczących realizacji projektów w zakresie współpracy międzynarodowej oraz poszukiwania partnerów zagranicznych. </t>
  </si>
  <si>
    <t>Koszty funkcjonowania - koszty administracyjne</t>
  </si>
  <si>
    <t>SR KSOW Województwa Warmińsko-Mazurskiego</t>
  </si>
  <si>
    <r>
      <rPr>
        <b/>
        <sz val="10"/>
        <color indexed="8"/>
        <rFont val="Calibri"/>
        <family val="2"/>
        <charset val="238"/>
      </rPr>
      <t>2015</t>
    </r>
    <r>
      <rPr>
        <sz val="10"/>
        <color indexed="8"/>
        <rFont val="Calibri"/>
        <family val="2"/>
        <charset val="238"/>
      </rPr>
      <t xml:space="preserve">                                                                                                                                                                                                                                                                                                          wydarzenia międzynarodowe:                                                                                                                                                                                                                                                                       1. Wizyta studyjna w województwie warmińsko-mazurskim przedstawicieli z Departamentu Cotes d`Armor z Francji.                                          wydarzenia krajowe:                                                                                                                                                                                                                                                                                            1. Dożynki Prezydenckie w Spale.                                                                                                                                                                                                                                                            </t>
    </r>
    <r>
      <rPr>
        <b/>
        <sz val="10"/>
        <color indexed="8"/>
        <rFont val="Calibri"/>
        <family val="2"/>
        <charset val="238"/>
      </rPr>
      <t xml:space="preserve">2016                                                                                                                                                                                                                                                                                                                </t>
    </r>
    <r>
      <rPr>
        <sz val="10"/>
        <color indexed="8"/>
        <rFont val="Calibri"/>
        <family val="2"/>
        <charset val="238"/>
      </rPr>
      <t xml:space="preserve">wydarzenia krajowe:                                                                                                                                                                                                                                                                                            1. Wystawa zwierząt.                                                                                                                                                                                                                                                                                           2. XX Ogólnopolskie Pokazy Konne XV Ogólnopolski Czempionat Koni Zimnokrwistych III Specjalistyczna Wystawa Koni Ardeńskich.                                  3. Udział wiosek tematycznych w AGROTRAVEL.                                                                                                                                                                                                                                4. Targi "Smaki Regionów" w Poznaniu. </t>
    </r>
  </si>
  <si>
    <r>
      <rPr>
        <b/>
        <sz val="10"/>
        <color indexed="8"/>
        <rFont val="Calibri"/>
        <family val="2"/>
        <charset val="238"/>
      </rPr>
      <t>2015</t>
    </r>
    <r>
      <rPr>
        <sz val="10"/>
        <color indexed="8"/>
        <rFont val="Calibri"/>
        <family val="2"/>
        <charset val="238"/>
      </rPr>
      <t xml:space="preserve">                                                                                                                                                                                                                                                                                                                     wydarzenia międzynarodowe:                                                                                                                                                                                                                                                                       1. Wizyta studyjna w województwie warmińsko-mazurskim przedstawicieli z Departamentu Cotes d`Armor z Francji: 25 osób.                                                            wydarzenia krajowe:                                                                                                                                                                                                                                                                                             2. Dożynki Prezydenckie w Spale: 49 osób.                                                                                                                                                                                                                                     </t>
    </r>
    <r>
      <rPr>
        <b/>
        <sz val="10"/>
        <color indexed="8"/>
        <rFont val="Calibri"/>
        <family val="2"/>
        <charset val="238"/>
      </rPr>
      <t>2016</t>
    </r>
    <r>
      <rPr>
        <sz val="10"/>
        <color indexed="8"/>
        <rFont val="Calibri"/>
        <family val="2"/>
        <charset val="238"/>
      </rPr>
      <t xml:space="preserve">                                                                                                                                                                                                                                                                                                          wydarzenia krajowe:                                                                                                                                                                                                                                                                                           1. 1. Wystawa zwierząt:  25 040 (w tym wystawcy i osoby zwiedzające)                                                                                                                                                                                                                                                                             2. XX Ogólnopolskie Pokazy Konne XV Ogólnopolski Czempionat Koni Zimnokrwistych III Specjalistyczna Wystawa Koni Ardeńskich: 4040 (w tym wystawcy i osoby uczestniczące w wydarzeniu)                                                                                                                                                                                                                                                                                                                 3. Udział wiosek tematycznych w AGROTRAVEL: 16 wystawców, liczba zwiedzających - 20 tys.                                                                                                                            4. Targi "Smaki Regionów" w Poznaniu 4 przedstawicieli Urzędu Marszałkowskiego Województwa Warmińsko-Mazurskiego.                                    </t>
    </r>
  </si>
  <si>
    <r>
      <rPr>
        <b/>
        <sz val="10"/>
        <color theme="1"/>
        <rFont val="Calibri"/>
        <family val="2"/>
        <charset val="238"/>
        <scheme val="minor"/>
      </rPr>
      <t xml:space="preserve">2015 </t>
    </r>
    <r>
      <rPr>
        <sz val="10"/>
        <color theme="1"/>
        <rFont val="Calibri"/>
        <family val="2"/>
        <charset val="238"/>
        <scheme val="minor"/>
      </rPr>
      <t xml:space="preserve">                                                                                                                                                                                                                                                                                                                                       2 publikacje w gazecie branżowej na temat działań wdrażanych w ramach PROW 2014-2020 przez Samorząd Województwa                                                 </t>
    </r>
    <r>
      <rPr>
        <b/>
        <sz val="10"/>
        <color theme="1"/>
        <rFont val="Calibri"/>
        <family val="2"/>
        <charset val="238"/>
        <scheme val="minor"/>
      </rPr>
      <t>2016</t>
    </r>
    <r>
      <rPr>
        <sz val="10"/>
        <color theme="1"/>
        <rFont val="Calibri"/>
        <family val="2"/>
        <charset val="238"/>
        <scheme val="minor"/>
      </rPr>
      <t xml:space="preserve">                                                                                                                                                                                                                                                                                                                                   2 publikacje w gazecie branżowej na temat działań wdrażanych w ramach PROW 2014-2020 przez Samorząd Województwa                                                   1 publikacja na temat jagnięciny i koźlęciny                                                                                                                                                                                                                                          1 publikacja na temat aktywizacji starszych osób                            </t>
    </r>
  </si>
  <si>
    <r>
      <rPr>
        <b/>
        <sz val="10"/>
        <color indexed="8"/>
        <rFont val="Calibri"/>
        <family val="2"/>
        <charset val="238"/>
      </rPr>
      <t>2015</t>
    </r>
    <r>
      <rPr>
        <sz val="10"/>
        <color indexed="8"/>
        <rFont val="Calibri"/>
        <family val="2"/>
        <charset val="238"/>
      </rPr>
      <t xml:space="preserve">                                                                                                                                                                                                                                                                                                                    tablice informacyjne dla beneficjentów PROW 2007-2013 - 79 sztuk                                                                                                                                                                               </t>
    </r>
    <r>
      <rPr>
        <b/>
        <sz val="10"/>
        <color indexed="8"/>
        <rFont val="Calibri"/>
        <family val="2"/>
        <charset val="238"/>
      </rPr>
      <t>2016</t>
    </r>
    <r>
      <rPr>
        <sz val="10"/>
        <color indexed="8"/>
        <rFont val="Calibri"/>
        <family val="2"/>
        <charset val="238"/>
      </rPr>
      <t xml:space="preserve">                                                                                                                                                                                                                                                                                                                 Konkursy związane z promocją i rozwojem obszarów wiejskich - 2, roll-upy i standy wykorzystywane do promocji - 8 sztuk, tabliczki informacyjne-4 sztuki, </t>
    </r>
  </si>
  <si>
    <t>Spotkanie wojewódzkiej grupy roboczej ds. KSOW</t>
  </si>
  <si>
    <t>Liczba osób biorących udział w spotkaniach wojewódzkiej grupy roboczej ds. KSOW w 2015 r.-12 osób                                                                                              Liczba osób biorących udział w spotkaniach wojewódzkiej grupy roboczej ds. KSOW w 2016 r., w szczegółowości: 1 spotkanie w trybie zwyczajnym - 9 osób, 5 akceptacji w trybie obiegowym - łącznie 43 osoby (te same osoby liczone przy każdej akceptacji w trybie obiegowym).</t>
  </si>
  <si>
    <r>
      <rPr>
        <b/>
        <sz val="10"/>
        <color theme="1"/>
        <rFont val="Calibri"/>
        <family val="2"/>
        <charset val="238"/>
        <scheme val="minor"/>
      </rPr>
      <t>2015</t>
    </r>
    <r>
      <rPr>
        <sz val="10"/>
        <color theme="1"/>
        <rFont val="Calibri"/>
        <family val="2"/>
        <scheme val="minor"/>
      </rPr>
      <t xml:space="preserve">                                                                                                                                                                                                                                                                                                                                  Szkolenie dla LGD.                                                                                                                                                                                                                                                                                                 Szkolenie dla beneficjentów działania "Budowa lub modernizacja dróg lokalnych w ramach PRWO 2014-2020".                                                                          </t>
    </r>
    <r>
      <rPr>
        <b/>
        <sz val="10"/>
        <color theme="1"/>
        <rFont val="Calibri"/>
        <family val="2"/>
        <charset val="238"/>
        <scheme val="minor"/>
      </rPr>
      <t>2016</t>
    </r>
    <r>
      <rPr>
        <sz val="10"/>
        <color theme="1"/>
        <rFont val="Calibri"/>
        <family val="2"/>
        <scheme val="minor"/>
      </rPr>
      <t xml:space="preserve">                                                                                                                                                                                                                                                                                                                                                                                                                        3 Szkolenia/spotkania z beneficjentami PROW 2014-2020 w ramach Planu komunikacyjnego.                                                                                                                      6 szkoleń związanych z promocją i rozwojem obszarów wiejskich.                                                                                                                                                                                            1 szkolenie dla LGD.                                                                                                                                                                                                                                                                                               3 cykle szkoleniowe w ramach trzech operacji realizowanych przez Partnera w ramach Planu operacyjnego na lata 2016-2017.                                         1 seminarium zrealizowane przez Partnera w ramach Planu operacyjnego na lata 2016-2017.                                                                                                                         1 wizyta studyjna do Białowieży</t>
    </r>
  </si>
  <si>
    <r>
      <t xml:space="preserve">2015                                                                                                                                                                                                                                                                                                                                </t>
    </r>
    <r>
      <rPr>
        <sz val="10"/>
        <color indexed="8"/>
        <rFont val="Calibri"/>
        <family val="2"/>
        <charset val="238"/>
      </rPr>
      <t xml:space="preserve"> Szkolenie z zakresu działania  "Budowa lub modernizacja dróg lokalnych w ramach PRWO 2014-2020"-155 osób                                                                               Szkolenie dla LGD - 63 osoby                                                                                                                                                                                                                           </t>
    </r>
    <r>
      <rPr>
        <b/>
        <sz val="10"/>
        <color indexed="8"/>
        <rFont val="Calibri"/>
        <family val="2"/>
      </rPr>
      <t xml:space="preserve">                                            2016                                                                                                                                                                                                                                                                                                                               </t>
    </r>
    <r>
      <rPr>
        <sz val="10"/>
        <color indexed="8"/>
        <rFont val="Calibri"/>
        <family val="2"/>
        <charset val="238"/>
      </rPr>
      <t xml:space="preserve">Pracownicy Urzędu Marszałkowskiego, którzy brali udział w szkoleniach/spotkania z beneficjentami PROW 2014-2020-51 osób                                      Rolnicy, którzy barali udział w warsztatach serowarskich -32 osoby                                                                                                                                                                     Przedstawiciele LGD (udział w 3 spotkaniach/szkoleniach) - 117 osób                                                                                                                                                                                   Beneficjenci działań w ramach PROW 2014-2020 uczestniczący w 2 spotkaniach informacyjnych - 327 osób                                                                                    Mieszkańcy województwa warmińsko-mazurskiego/grupy docelowe biorące udział w 6 przedsiewzięciach przeprowadzonych przez partnerów KSOW  oraz  w 1 przedsięwzięciu własnym - 466 osób                                                                                          </t>
    </r>
  </si>
  <si>
    <t>wynagrodzenie, koszty: materiałów eksploatacyjnych i biurowych, paliwa, delegacji, usług telekomunikacyjnych, udział pracowników w szkoleniach</t>
  </si>
  <si>
    <r>
      <rPr>
        <b/>
        <sz val="10"/>
        <color indexed="8"/>
        <rFont val="Calibri"/>
        <family val="2"/>
        <charset val="238"/>
      </rPr>
      <t>2015</t>
    </r>
    <r>
      <rPr>
        <sz val="10"/>
        <color indexed="8"/>
        <rFont val="Calibri"/>
        <family val="2"/>
        <charset val="238"/>
      </rPr>
      <t xml:space="preserve"> r. Ujęto tu - Konferencje: Wieś Polska - Wieś Innowacyjna, Wieczerza Wigilijna - kultywowanie tradycji bożonarodzeniowych; Targi: XIV Ogólnopolski Festiwal Szarych Ciągników i Maszyn Rolniczych, III Światowy Festiwal  Wikliny i Plecionkarstwa Nowy Tomyśl, Wielkopolskie Święto Mleka w Powiecie Kolskim, Smaki Regionów; Dożynki Prezydenckie w Spale.  Inne - wspieranie organizacji łańcucha żywnościowego.       </t>
    </r>
    <r>
      <rPr>
        <b/>
        <sz val="10"/>
        <color indexed="8"/>
        <rFont val="Calibri"/>
        <family val="2"/>
        <charset val="238"/>
      </rPr>
      <t>2016r.</t>
    </r>
    <r>
      <rPr>
        <sz val="10"/>
        <color indexed="8"/>
        <rFont val="Calibri"/>
        <family val="2"/>
        <charset val="238"/>
      </rPr>
      <t xml:space="preserve"> Zasięg krajowy to: Tour Salon, Dożynki Prezydenckie w Spale, Agrotravel oraz Targi Smaki Regionów. Zasięg międzynarodowy: Grune Woche, Dzień Św. Marcina w Brukseli oraz dwa inne wyjazdy zagraniczne - Korea i Hesja. Zasięg lokalny/regionalny to  Dożynki w Liskowie oraz 49 wydarzeń w ramach wszystkich wniosków partnerów. 5 projektów partnerów KSOW realizowanych było w ramach kilku priorytetów.</t>
    </r>
  </si>
  <si>
    <r>
      <rPr>
        <b/>
        <sz val="10"/>
        <color indexed="8"/>
        <rFont val="Calibri"/>
        <family val="2"/>
        <charset val="238"/>
      </rPr>
      <t xml:space="preserve">2015r. - </t>
    </r>
    <r>
      <rPr>
        <sz val="10"/>
        <color indexed="8"/>
        <rFont val="Calibri"/>
        <family val="2"/>
        <charset val="238"/>
      </rPr>
      <t xml:space="preserve">Zasięg krajowy to - Wieś Polska - Wieś Innowacyjna, XIV Ogólnopolski Festiwal Szarych Ciągników i Maszyn Rolniczych, III Światowy Festiwal  Wikliny i Plecionkarstwa Nowy Tomyśl, Smaki Regionów (łącznie 384 uczestników) , Dożynki Prezydenckie w Spale (ok. 10 000 zwiedzających) ; Zasięg lokalny/regionalny to Wieczerza Wigilijna - kultywowanie tradycji bożonarodzeniowych, Wielkopolskie Święto Mleka w Powiecie Kolskim (łącznie 524 uczestników). </t>
    </r>
    <r>
      <rPr>
        <b/>
        <sz val="10"/>
        <color indexed="8"/>
        <rFont val="Calibri"/>
        <family val="2"/>
        <charset val="238"/>
      </rPr>
      <t xml:space="preserve">    2016r</t>
    </r>
    <r>
      <rPr>
        <sz val="10"/>
        <color indexed="8"/>
        <rFont val="Calibri"/>
        <family val="2"/>
        <charset val="238"/>
      </rPr>
      <t xml:space="preserve">. Zasięg krajowy to: Tour Salon - około 35 000 odwiedzających, Dożynki Prezydenckie w Spale - około 8 000 uczestników oraz Agrotravel - ok 20 000 uczestników, Targi Smaki Regionów to ok. 40 000 osób. Zasięg międzynarodowy: Grune Woche - około 411731 odwiedzających, Dzień Św. Marcina w Brukseli to ok. 400 osób, dwa pozostałe wyjazdy zagraniczne - do Hesji 11 osób do Korei 6 osób. Zasięg lokalny/regionalny to Dożynki w Liskowie ok. 500 osób oraz ok. 40 063 uczestników wydarzeń, organizowanych przez Partnerów KSOW.           </t>
    </r>
  </si>
  <si>
    <r>
      <rPr>
        <b/>
        <sz val="10"/>
        <color theme="1"/>
        <rFont val="Calibri"/>
        <family val="2"/>
        <charset val="238"/>
        <scheme val="minor"/>
      </rPr>
      <t>2015r</t>
    </r>
    <r>
      <rPr>
        <sz val="10"/>
        <color theme="1"/>
        <rFont val="Calibri"/>
        <family val="2"/>
        <charset val="238"/>
        <scheme val="minor"/>
      </rPr>
      <t xml:space="preserve">. - Inne: Publikacja "Wzorowa PROWincja" -  Dobre praktyki wykorzystania PROW 2007-2013 w województwie wielkopolskim.  </t>
    </r>
    <r>
      <rPr>
        <b/>
        <sz val="10"/>
        <color theme="1"/>
        <rFont val="Calibri"/>
        <family val="2"/>
        <charset val="238"/>
        <scheme val="minor"/>
      </rPr>
      <t>2016r.</t>
    </r>
    <r>
      <rPr>
        <sz val="10"/>
        <color theme="1"/>
        <rFont val="Calibri"/>
        <family val="2"/>
        <charset val="238"/>
        <scheme val="minor"/>
      </rPr>
      <t xml:space="preserve"> - publikacje w prasie - Monitor Wielkopolski, Nasza EuroProwincja, 16 publikacji w ramach PK, 1 projekt Partnera pn. "Wielkopolska wieś w zgodzie z zasadami gospodarki niskoemisyjnej - praktyczny Poradnik z nową perspektywą finansową".</t>
    </r>
  </si>
  <si>
    <r>
      <rPr>
        <b/>
        <sz val="10"/>
        <color indexed="8"/>
        <rFont val="Calibri"/>
        <family val="2"/>
        <charset val="238"/>
      </rPr>
      <t>2015r</t>
    </r>
    <r>
      <rPr>
        <sz val="10"/>
        <color indexed="8"/>
        <rFont val="Calibri"/>
        <family val="2"/>
        <charset val="238"/>
      </rPr>
      <t xml:space="preserve">. - Konkursy: Plebiscyt "Super Rolnik Wielkopolski" oraz Plebiscyt dla Kół Gospodyń Wiejskich .     </t>
    </r>
    <r>
      <rPr>
        <b/>
        <sz val="10"/>
        <color indexed="8"/>
        <rFont val="Calibri"/>
        <family val="2"/>
        <charset val="238"/>
      </rPr>
      <t>2016r.</t>
    </r>
    <r>
      <rPr>
        <sz val="10"/>
        <color indexed="8"/>
        <rFont val="Calibri"/>
        <family val="2"/>
        <charset val="238"/>
      </rPr>
      <t xml:space="preserve"> -  5 spotów reklamowych w radio - Radio Centrum, Radio Merkury, Radio Sud Kępno, Radio Elka, Radio RMF MAXX Piła ;         Konkursy:  Wielkopolski Rolnik Roku; 3 projekty Partnerów pn. "IV edycja konkursu "Fundusz sołecki - najlepsza  inicjatywa" skierowanego do sołectw z terenu województwa wielkopolskiego"  oraz Konkursy: Plebiscyt "Super Rolnik Wielkopolski 2016" oraz Plebiscyt Koła Gospodyń Wiejskich.</t>
    </r>
  </si>
  <si>
    <r>
      <rPr>
        <b/>
        <sz val="10"/>
        <color theme="1"/>
        <rFont val="Calibri"/>
        <family val="2"/>
        <charset val="238"/>
      </rPr>
      <t>2015r.</t>
    </r>
    <r>
      <rPr>
        <sz val="10"/>
        <color theme="1"/>
        <rFont val="Calibri"/>
        <family val="2"/>
        <charset val="238"/>
      </rPr>
      <t xml:space="preserve"> - Dobre praktyki wykorzystania PROW 2007-2013 w województwie wielkopolskim. </t>
    </r>
  </si>
  <si>
    <r>
      <t xml:space="preserve">Grupa Robocza ds. KSOW - </t>
    </r>
    <r>
      <rPr>
        <b/>
        <sz val="10"/>
        <color theme="1"/>
        <rFont val="Calibri"/>
        <family val="2"/>
        <charset val="238"/>
        <scheme val="minor"/>
      </rPr>
      <t>2015r.</t>
    </r>
    <r>
      <rPr>
        <sz val="10"/>
        <color theme="1"/>
        <rFont val="Calibri"/>
        <family val="2"/>
        <charset val="238"/>
        <scheme val="minor"/>
      </rPr>
      <t xml:space="preserve"> 2 spotkania związane z PO.    </t>
    </r>
    <r>
      <rPr>
        <b/>
        <sz val="10"/>
        <color theme="1"/>
        <rFont val="Calibri"/>
        <family val="2"/>
        <charset val="238"/>
        <scheme val="minor"/>
      </rPr>
      <t xml:space="preserve"> 2016r</t>
    </r>
    <r>
      <rPr>
        <sz val="10"/>
        <color theme="1"/>
        <rFont val="Calibri"/>
        <family val="2"/>
        <charset val="238"/>
        <scheme val="minor"/>
      </rPr>
      <t>. 6 obiegowych spotkań  - 5 - związane z monitorowaniem i sprawozdawczością, 1 -  akceptacja zmian PO 2016-2017 w 2016r.</t>
    </r>
  </si>
  <si>
    <r>
      <rPr>
        <b/>
        <sz val="10"/>
        <color theme="1"/>
        <rFont val="Calibri"/>
        <family val="2"/>
        <charset val="238"/>
        <scheme val="minor"/>
      </rPr>
      <t xml:space="preserve">2015r. </t>
    </r>
    <r>
      <rPr>
        <sz val="10"/>
        <color theme="1"/>
        <rFont val="Calibri"/>
        <family val="2"/>
        <scheme val="minor"/>
      </rPr>
      <t xml:space="preserve">- Cykl 6 szkoleń w subregionach Województwa Wielkopolskiego dla potencjalnych beneficjentów PROW 2014-2020 oraz 3 spotkania szkoleniowe dla LGD (w ramach Planu Komunikacyjnego).  </t>
    </r>
    <r>
      <rPr>
        <b/>
        <sz val="10"/>
        <color theme="1"/>
        <rFont val="Calibri"/>
        <family val="2"/>
        <charset val="238"/>
        <scheme val="minor"/>
      </rPr>
      <t>2016r</t>
    </r>
    <r>
      <rPr>
        <sz val="10"/>
        <color theme="1"/>
        <rFont val="Calibri"/>
        <family val="2"/>
        <scheme val="minor"/>
      </rPr>
      <t>. - 10 szkoleń w ramach PK i PO - operacje własne, 42 szkolenia w ramach wniosków Partnerów, 2 wyjazdy studyjne w ramach PO.</t>
    </r>
  </si>
  <si>
    <r>
      <rPr>
        <b/>
        <sz val="10"/>
        <color indexed="8"/>
        <rFont val="Calibri"/>
        <family val="2"/>
        <charset val="238"/>
      </rPr>
      <t>2015 r</t>
    </r>
    <r>
      <rPr>
        <sz val="10"/>
        <color indexed="8"/>
        <rFont val="Calibri"/>
        <family val="2"/>
        <charset val="238"/>
      </rPr>
      <t xml:space="preserve">. -Przedstawiciele UMWW, Gmin , Sołectw.   </t>
    </r>
    <r>
      <rPr>
        <b/>
        <sz val="10"/>
        <color indexed="8"/>
        <rFont val="Calibri"/>
        <family val="2"/>
        <charset val="238"/>
      </rPr>
      <t>2016 r</t>
    </r>
    <r>
      <rPr>
        <sz val="10"/>
        <color indexed="8"/>
        <rFont val="Calibri"/>
        <family val="2"/>
        <charset val="238"/>
      </rPr>
      <t>. - liczba uczestników szkoleń, organizowanych w ramach Planu Komunikacyjnego oraz operacji własnych to 756 osób, natomiast liczba uczestników szkoleń, organizowanych w ramach projektów Partnerów KSOW to około 4543 osoby, liczba uczestników wizyt studyjnych to 56 osób.</t>
    </r>
  </si>
  <si>
    <t>Koszty funkcjonowania to: wynagrodzenia pracownicze, delegacje.</t>
  </si>
  <si>
    <t xml:space="preserve">W przypadku imprez masowych, otwartych: Piknik nad Odrą, Jarmark Jakubowy, Święto Mleka i Zwierząt Hodowlanych organizowane przez Gminę Stare Czarnowo oraz Konkurs "Smaki Ryb Odrzańskich" w ramach Żabnickiego Lata z Rybką dane dot. liczby osób odwiedzających uzyskano do organizatorów. Liczby te to odpowiednio: 50000, 50000, 5000 i 1500 osób. </t>
  </si>
  <si>
    <t>"Inne". Rok 2015 - ulotki informacyjne dotyczące działań wdrażanych w ramach PROW 2014-2020 w województwie zachodniopomorskim, listowniki oraz publikacja artykułu w czasopiśmie branżowym. Rok 2016: publikacja artykułu poświęconego działaniom PROW 2014-2020, druk ulotek poświęconych PROW 2014-2020 oraz listowników</t>
  </si>
  <si>
    <t>Wojewódzka Grupa Robocza ds. KSOW zajmuje się opiniowaniem projektów uchwał dotyczących całego zakresu działań KSOW.</t>
  </si>
  <si>
    <t>Koszty funkcjonowania w roku 2015: 157 339,37 zł. Koszty funkcjonowania w roku 2016: 209 766,89 zł</t>
  </si>
  <si>
    <t>SR KSOW Województwa Wielkopolskiego</t>
  </si>
  <si>
    <t>SR KSOW Województwa Zachodniopomorskiego</t>
  </si>
  <si>
    <t>Agencja Restrukturyzacji i Modernizacji Rolnictwa</t>
  </si>
  <si>
    <r>
      <rPr>
        <b/>
        <u/>
        <sz val="12"/>
        <color indexed="8"/>
        <rFont val="Calibri"/>
        <family val="2"/>
        <charset val="238"/>
      </rPr>
      <t>Cel i kontekst Wspólnej Statystyki Sieci</t>
    </r>
    <r>
      <rPr>
        <sz val="12"/>
        <color indexed="8"/>
        <rFont val="Calibri"/>
        <family val="2"/>
      </rPr>
      <t xml:space="preserve">
Wspólna Statystyka Sieci została opracowana przez Punkt Kontaktowy ENRD we współpracy z jednostkami wspierającymi sieci w Państwach Członkowskich UE w celu uzyskania całościowego obrazu dokonań KSOW. Informacja ta zostanie wykorzystana do podsumowania i oceny działań sieci, a także umożliwi porównywanie sieci w różnych krajach UE.
</t>
    </r>
    <r>
      <rPr>
        <b/>
        <u/>
        <sz val="12"/>
        <color indexed="8"/>
        <rFont val="Calibri"/>
        <family val="2"/>
        <charset val="238"/>
      </rPr>
      <t>Powiązania między Wspólną Statystyką Sieci i obligatoryjnymi wskaźnikami monitorowania określonymi w rozporządzeniu wykonawczym KE (UE) nr 808/2014</t>
    </r>
    <r>
      <rPr>
        <sz val="12"/>
        <color indexed="8"/>
        <rFont val="Calibri"/>
        <family val="2"/>
      </rPr>
      <t xml:space="preserve">
Celem Wspólnej Statystyki Sieci jest ułatwienie zbierania danych do obligatoryjnych wskaźników. Wszystkie podmioty zaangażowane w realizację zadań sieci wypełniają tylko arkusz </t>
    </r>
    <r>
      <rPr>
        <i/>
        <sz val="12"/>
        <color indexed="8"/>
        <rFont val="Calibri"/>
        <family val="2"/>
        <charset val="238"/>
      </rPr>
      <t xml:space="preserve">"Wspólna Statystyka Sieci". </t>
    </r>
    <r>
      <rPr>
        <sz val="12"/>
        <color indexed="8"/>
        <rFont val="Calibri"/>
        <family val="2"/>
      </rPr>
      <t xml:space="preserve">
</t>
    </r>
    <r>
      <rPr>
        <b/>
        <u/>
        <sz val="12"/>
        <color indexed="8"/>
        <rFont val="Calibri"/>
        <family val="2"/>
        <charset val="238"/>
      </rPr>
      <t>Definicje i wytyczne do poszczególnych wskaźników</t>
    </r>
    <r>
      <rPr>
        <sz val="12"/>
        <color indexed="8"/>
        <rFont val="Calibri"/>
        <family val="2"/>
      </rPr>
      <t xml:space="preserve">
W opisie poszczególnych wskaźników/mierników znajdują się wytyczne dla każdego wskaźnika. W sytuacji, kiedy wytyczne nie są jasne albo mierniki/wskaźniki nie są możliwe do uzupełnienia - prosimy wypełnić rubrykę "K</t>
    </r>
    <r>
      <rPr>
        <i/>
        <sz val="12"/>
        <color indexed="8"/>
        <rFont val="Calibri"/>
        <family val="2"/>
        <charset val="238"/>
      </rPr>
      <t>omentarze"</t>
    </r>
    <r>
      <rPr>
        <sz val="12"/>
        <color indexed="8"/>
        <rFont val="Calibri"/>
        <family val="2"/>
      </rPr>
      <t xml:space="preserve">. 
 Zakres tematyczny został powiązany z priorytetami PROW 2014-2020.
</t>
    </r>
    <r>
      <rPr>
        <b/>
        <u/>
        <sz val="12"/>
        <color indexed="8"/>
        <rFont val="Calibri"/>
        <family val="2"/>
        <charset val="238"/>
      </rPr>
      <t>Udział w budżecie</t>
    </r>
    <r>
      <rPr>
        <b/>
        <sz val="12"/>
        <color indexed="8"/>
        <rFont val="Calibri"/>
        <family val="2"/>
      </rPr>
      <t xml:space="preserve">
</t>
    </r>
    <r>
      <rPr>
        <sz val="12"/>
        <color indexed="8"/>
        <rFont val="Calibri"/>
        <family val="2"/>
        <charset val="238"/>
      </rPr>
      <t>Szacowany podział budżetu (Tabela 8) ma na celu dostarczenie informacji jak proporcjonalnie środki</t>
    </r>
    <r>
      <rPr>
        <b/>
        <sz val="12"/>
        <color indexed="8"/>
        <rFont val="Calibri"/>
        <family val="2"/>
      </rPr>
      <t xml:space="preserve"> </t>
    </r>
    <r>
      <rPr>
        <sz val="12"/>
        <color indexed="8"/>
        <rFont val="Calibri"/>
        <family val="2"/>
        <charset val="238"/>
      </rPr>
      <t>rocznego budżetu sieci zostały przeznaczone na odpowiednie działania objęte wskaźnikami. Proszę podaj budzet dla poszczególnych kategorii i wskaż trudności w komentarzu.</t>
    </r>
    <r>
      <rPr>
        <sz val="12"/>
        <color indexed="8"/>
        <rFont val="Calibri"/>
        <family val="2"/>
      </rPr>
      <t xml:space="preserve">
</t>
    </r>
    <r>
      <rPr>
        <b/>
        <u/>
        <sz val="12"/>
        <color indexed="8"/>
        <rFont val="Calibri"/>
        <family val="2"/>
        <charset val="238"/>
      </rPr>
      <t>Dostępność danych</t>
    </r>
    <r>
      <rPr>
        <b/>
        <sz val="12"/>
        <color indexed="8"/>
        <rFont val="Calibri"/>
        <family val="2"/>
      </rPr>
      <t xml:space="preserve">
</t>
    </r>
    <r>
      <rPr>
        <sz val="12"/>
        <color indexed="8"/>
        <rFont val="Calibri"/>
        <family val="2"/>
        <charset val="238"/>
      </rPr>
      <t>Nie wszystkie wskaźniki odnoszą się do wszystkich podmiotów i w wielu przypadkach dane mogą być niedostępne np. niezbierane w poprzednich latach.</t>
    </r>
    <r>
      <rPr>
        <b/>
        <sz val="12"/>
        <color indexed="8"/>
        <rFont val="Calibri"/>
        <family val="2"/>
      </rPr>
      <t xml:space="preserve"> </t>
    </r>
    <r>
      <rPr>
        <sz val="12"/>
        <color indexed="8"/>
        <rFont val="Calibri"/>
        <family val="2"/>
      </rPr>
      <t xml:space="preserve"> W przypadku, kiedy nie jest możliwe podanie wartości wybranych mierników/wskaźników (brak danych) lub sieć nie prowadzi określonych działań, prosimy o posługiwanie się następującymi skrótami:
BD = brak danych; sieć prowadzi takie działania ale konkretne dane nie zostały zebrane w l. 2014 -2015 r.  
ND = nie dotyczy; ten typ działań nie jest planowany przez podmiot
0 = sieć planuje określone działania, ale w danym roku nie miały one miejsca                                                                                                                                   </t>
    </r>
  </si>
  <si>
    <r>
      <t>Komentarze</t>
    </r>
    <r>
      <rPr>
        <sz val="10"/>
        <color indexed="8"/>
        <rFont val="Calibri"/>
        <family val="2"/>
      </rPr>
      <t xml:space="preserve"> (proszę wskazać ewentualne trudności związane z interpretacją definicji/wskaźników; proszę wskazać co jest rozumiane przez kategorię "inne")</t>
    </r>
  </si>
  <si>
    <r>
      <rPr>
        <b/>
        <sz val="10"/>
        <color indexed="18"/>
        <rFont val="Calibri"/>
        <family val="2"/>
        <charset val="238"/>
      </rPr>
      <t>Wytyczne:</t>
    </r>
    <r>
      <rPr>
        <sz val="10"/>
        <color indexed="8"/>
        <rFont val="Calibri"/>
        <family val="2"/>
      </rPr>
      <t xml:space="preserve">
</t>
    </r>
    <r>
      <rPr>
        <u/>
        <sz val="10"/>
        <color indexed="8"/>
        <rFont val="Calibri"/>
        <family val="2"/>
        <charset val="238"/>
      </rPr>
      <t>Ogólne:</t>
    </r>
    <r>
      <rPr>
        <sz val="10"/>
        <color indexed="8"/>
        <rFont val="Calibri"/>
        <family val="2"/>
      </rPr>
      <t xml:space="preserve"> Kategoria powinna zawierać liczbę wy</t>
    </r>
    <r>
      <rPr>
        <sz val="10"/>
        <rFont val="Calibri"/>
        <family val="2"/>
        <charset val="238"/>
      </rPr>
      <t xml:space="preserve">darzeń, w tym konferencje, seminaria, wydarzenia grup tematycznych, wydarzenia szkoleniowe </t>
    </r>
    <r>
      <rPr>
        <sz val="10"/>
        <color indexed="8"/>
        <rFont val="Calibri"/>
        <family val="2"/>
      </rPr>
      <t>itp. a także wydarzenia o charakterze promocyjnym takie jak targi, wystawy, które orga</t>
    </r>
    <r>
      <rPr>
        <sz val="10"/>
        <rFont val="Calibri"/>
        <family val="2"/>
        <charset val="238"/>
      </rPr>
      <t xml:space="preserve">nizuje sieć lub w przypadku których sieć jest jednym z głównych organizatorów. 
</t>
    </r>
    <r>
      <rPr>
        <u/>
        <sz val="10"/>
        <rFont val="Calibri"/>
        <family val="2"/>
        <charset val="238"/>
      </rPr>
      <t>Zasięg geograficzny:</t>
    </r>
    <r>
      <rPr>
        <sz val="10"/>
        <rFont val="Calibri"/>
        <family val="2"/>
        <charset val="238"/>
      </rPr>
      <t xml:space="preserve"> liczba </t>
    </r>
    <r>
      <rPr>
        <b/>
        <sz val="10"/>
        <rFont val="Calibri"/>
        <family val="2"/>
        <charset val="238"/>
      </rPr>
      <t xml:space="preserve">wydarzeń lokalnych/regionalnych  </t>
    </r>
    <r>
      <rPr>
        <sz val="10"/>
        <rFont val="Calibri"/>
        <family val="2"/>
        <charset val="238"/>
      </rPr>
      <t>to te, których uczestnicy zapraszani są głównie z określonego regionu</t>
    </r>
    <r>
      <rPr>
        <b/>
        <sz val="10"/>
        <rFont val="Calibri"/>
        <family val="2"/>
        <charset val="238"/>
      </rPr>
      <t xml:space="preserve">; wydarzenia krajowe - </t>
    </r>
    <r>
      <rPr>
        <sz val="10"/>
        <rFont val="Calibri"/>
        <family val="2"/>
        <charset val="238"/>
      </rPr>
      <t xml:space="preserve">uczestnicy z różnych regionów kraju; </t>
    </r>
    <r>
      <rPr>
        <b/>
        <sz val="10"/>
        <rFont val="Calibri"/>
        <family val="2"/>
        <charset val="238"/>
      </rPr>
      <t xml:space="preserve">wydarzenia międzynarodowe, </t>
    </r>
    <r>
      <rPr>
        <sz val="10"/>
        <rFont val="Calibri"/>
        <family val="2"/>
        <charset val="238"/>
      </rPr>
      <t>gdy dużą liczbę</t>
    </r>
    <r>
      <rPr>
        <b/>
        <sz val="10"/>
        <rFont val="Calibri"/>
        <family val="2"/>
        <charset val="238"/>
      </rPr>
      <t xml:space="preserve"> </t>
    </r>
    <r>
      <rPr>
        <sz val="10"/>
        <rFont val="Calibri"/>
        <family val="2"/>
        <charset val="238"/>
      </rPr>
      <t xml:space="preserve"> uczestników stanowią goście z zagranicy.
</t>
    </r>
    <r>
      <rPr>
        <u/>
        <sz val="10"/>
        <rFont val="Calibri"/>
        <family val="2"/>
        <charset val="238"/>
      </rPr>
      <t>Zakres tematyczny:</t>
    </r>
    <r>
      <rPr>
        <sz val="10"/>
        <rFont val="Calibri"/>
        <family val="2"/>
        <charset val="238"/>
      </rPr>
      <t xml:space="preserve"> wydarzenia powinny być zakwalifikowane do poszczególnych kategorii tematycznych w przypadku kiedy: - rzeczywiście istniał ścisły związek danego spotkania z określonym tematem (np. cała sesja na dany temat a nie tylko jedna prezentacja). - była nakierowana na konkretną grupę  (tj. doradcy i/lub usługi wspierające innowacje lub LGD), tzn. większość uczestników reprezentuje te grupy. Jedno wydarzenie może dotyczyć więcej niż jednego tematu tzn., że ilość wszystkich wydarzeń nie musi być sumą wydarzeń w poszczególnych tematach. </t>
    </r>
  </si>
  <si>
    <r>
      <rPr>
        <b/>
        <sz val="10"/>
        <color indexed="18"/>
        <rFont val="Calibri"/>
        <family val="2"/>
        <charset val="238"/>
      </rPr>
      <t>Wytyczne:</t>
    </r>
    <r>
      <rPr>
        <sz val="10"/>
        <color indexed="8"/>
        <rFont val="Calibri"/>
        <family val="2"/>
      </rPr>
      <t xml:space="preserve">
Dotyczy liczby uczestników wydarzeń ze wskaźnika 1.1. Jeśli to możliwe proszę podać liczbę uczestników obecnych podczas spotkania na podstawie podpisanych list obecności . Jeśli to nie jest możliwe proszę użyć danych z formularzy rejestracyjnych  (liczbę zgłoszonych uczestników).                                                                                                                  </t>
    </r>
    <r>
      <rPr>
        <u/>
        <sz val="10"/>
        <color indexed="8"/>
        <rFont val="Calibri"/>
        <family val="2"/>
        <charset val="238"/>
      </rPr>
      <t>Definicja zasiegu geograficznego</t>
    </r>
    <r>
      <rPr>
        <sz val="10"/>
        <color indexed="8"/>
        <rFont val="Calibri"/>
        <family val="2"/>
      </rPr>
      <t xml:space="preserve"> - patrz wskaźnik 1.1 . </t>
    </r>
  </si>
  <si>
    <r>
      <rPr>
        <b/>
        <sz val="14"/>
        <color indexed="8"/>
        <rFont val="Calibri"/>
        <family val="2"/>
        <charset val="238"/>
      </rPr>
      <t>Komentarze</t>
    </r>
    <r>
      <rPr>
        <sz val="10"/>
        <color indexed="8"/>
        <rFont val="Calibri"/>
        <family val="2"/>
      </rPr>
      <t xml:space="preserve"> (proszę wskazać ewentualne trudności związane z interpretacją definicji/wskaźników; proszę wskazać co jest rozumiane przez kategorię "inne")</t>
    </r>
  </si>
  <si>
    <r>
      <rPr>
        <b/>
        <sz val="10"/>
        <color indexed="60"/>
        <rFont val="Calibri"/>
        <family val="2"/>
        <charset val="238"/>
      </rPr>
      <t>Wytyczne:</t>
    </r>
    <r>
      <rPr>
        <sz val="10"/>
        <color indexed="8"/>
        <rFont val="Calibri"/>
        <family val="2"/>
      </rPr>
      <t xml:space="preserve">
Statystyki odwiedzin strony internetowej za dany okres. Proszę wskazać w komentarzu jak liczone są wskażniki  (np. jeśli używane są statystyki google lub inne narzędzia danych statystycznych)</t>
    </r>
  </si>
  <si>
    <t>Dane z Google Analytics</t>
  </si>
  <si>
    <r>
      <t xml:space="preserve">Komentarze </t>
    </r>
    <r>
      <rPr>
        <sz val="10"/>
        <color indexed="8"/>
        <rFont val="Calibri"/>
        <family val="2"/>
      </rPr>
      <t>(proszę wskazać ewentualne trudności związane z interpretacją definicji/wskaźników; proszę wskazać co jest rozumiane przez kategorię "inne")</t>
    </r>
  </si>
  <si>
    <r>
      <rPr>
        <b/>
        <sz val="10"/>
        <color indexed="60"/>
        <rFont val="Calibri"/>
        <family val="2"/>
        <charset val="238"/>
      </rPr>
      <t xml:space="preserve">WYTYCZNE:
</t>
    </r>
    <r>
      <rPr>
        <b/>
        <sz val="10"/>
        <color indexed="8"/>
        <rFont val="Calibri"/>
        <family val="2"/>
      </rPr>
      <t xml:space="preserve">
Media społecznościowe </t>
    </r>
    <r>
      <rPr>
        <sz val="10"/>
        <color indexed="8"/>
        <rFont val="Calibri"/>
        <family val="2"/>
        <charset val="238"/>
      </rPr>
      <t>należy rozumieć jako:</t>
    </r>
    <r>
      <rPr>
        <sz val="10"/>
        <color indexed="8"/>
        <rFont val="Calibri"/>
        <family val="2"/>
      </rPr>
      <t xml:space="preserve"> facebook, twitter, linkedin, instagram, youtube itp. proszę wymienić w "K</t>
    </r>
    <r>
      <rPr>
        <i/>
        <sz val="10"/>
        <color indexed="8"/>
        <rFont val="Calibri"/>
        <family val="2"/>
        <charset val="238"/>
      </rPr>
      <t xml:space="preserve">omentarzu", </t>
    </r>
    <r>
      <rPr>
        <sz val="10"/>
        <color indexed="8"/>
        <rFont val="Calibri"/>
        <family val="2"/>
        <charset val="238"/>
      </rPr>
      <t>które z ww. mediów są używane lub nazwy innych wykorzystywanych kanałów społecznościowych</t>
    </r>
    <r>
      <rPr>
        <sz val="10"/>
        <color indexed="8"/>
        <rFont val="Calibri"/>
        <family val="2"/>
      </rPr>
      <t xml:space="preserve">.  Proszę wykazać jedynie profile/strony/konta jednostki wspierającej sieci, a nie konta osobste pracowników. Proszę tu nie wliczać grup na facebooku oraz grup dyskusyjnych na linkedin (one będą poniżej w e-forum).
</t>
    </r>
    <r>
      <rPr>
        <u/>
        <sz val="10"/>
        <color indexed="8"/>
        <rFont val="Calibri"/>
        <family val="2"/>
        <charset val="238"/>
      </rPr>
      <t>E-forums</t>
    </r>
    <r>
      <rPr>
        <sz val="10"/>
        <color indexed="8"/>
        <rFont val="Calibri"/>
        <family val="2"/>
        <charset val="238"/>
      </rPr>
      <t xml:space="preserve"> - specyficzne platformy umożliwiajace wymianę on-line pomiędzy partnerami sieci utworzone przez jednostkę wsparcia sieci (w tym grupy na facebooku i grupy dyskusyjne linkedin). P</t>
    </r>
    <r>
      <rPr>
        <sz val="10"/>
        <color indexed="8"/>
        <rFont val="Calibri"/>
        <family val="2"/>
      </rPr>
      <t xml:space="preserve">roszę wskazać liczbę forów dyskusyjnych założonych przez jednostkę wsparcia sieci na platformach.
</t>
    </r>
    <r>
      <rPr>
        <u/>
        <sz val="10"/>
        <color indexed="8"/>
        <rFont val="Calibri"/>
        <family val="2"/>
        <charset val="238"/>
      </rPr>
      <t xml:space="preserve">
Liczba fanów na Facebooku oraz liczba obserwujących Twitter</t>
    </r>
    <r>
      <rPr>
        <sz val="10"/>
        <color indexed="8"/>
        <rFont val="Calibri"/>
        <family val="2"/>
        <charset val="238"/>
      </rPr>
      <t xml:space="preserve">. Proszę przyjąć liczbę bazową na 1.01.2014 r. </t>
    </r>
    <r>
      <rPr>
        <sz val="10"/>
        <color indexed="8"/>
        <rFont val="Calibri"/>
        <family val="2"/>
      </rPr>
      <t xml:space="preserve">
</t>
    </r>
    <r>
      <rPr>
        <u/>
        <sz val="10"/>
        <color indexed="8"/>
        <rFont val="Calibri"/>
        <family val="2"/>
        <charset val="238"/>
      </rPr>
      <t>Liczba wizyt na stronie przekierowanych z mediów społecznościowych</t>
    </r>
    <r>
      <rPr>
        <sz val="10"/>
        <color indexed="8"/>
        <rFont val="Calibri"/>
        <family val="2"/>
      </rPr>
      <t xml:space="preserve"> powinna pochodzić z webanalitics.</t>
    </r>
  </si>
  <si>
    <r>
      <rPr>
        <b/>
        <sz val="10"/>
        <color indexed="60"/>
        <rFont val="Calibri"/>
        <family val="2"/>
        <charset val="238"/>
      </rPr>
      <t>WYTYCZNE:</t>
    </r>
    <r>
      <rPr>
        <sz val="10"/>
        <color indexed="8"/>
        <rFont val="Calibri"/>
        <family val="2"/>
      </rPr>
      <t xml:space="preserve">
</t>
    </r>
    <r>
      <rPr>
        <u/>
        <sz val="10"/>
        <color indexed="8"/>
        <rFont val="Calibri"/>
        <family val="2"/>
        <charset val="238"/>
      </rPr>
      <t>Liczba publikacji wytworzonych przez jednostkę wsparcia sieci:</t>
    </r>
    <r>
      <rPr>
        <sz val="10"/>
        <color indexed="8"/>
        <rFont val="Calibri"/>
        <family val="2"/>
        <charset val="238"/>
      </rPr>
      <t xml:space="preserve"> dotyczy czasopism, przeglądów, newsletterów, ulotek, broszur, publikacji elektronicznych (proszę nie wliczać studium przypadku lub fiszek informacyjnych np. przykładów dobrych praktyk, będących cząścią innego opracowania); publikacja nie może być liczona dwukrotnie w przypadku, gdy powstała w dwóch wersjach: papierowej i elektronicznej.
</t>
    </r>
    <r>
      <rPr>
        <sz val="10"/>
        <color indexed="8"/>
        <rFont val="Calibri"/>
        <family val="2"/>
      </rPr>
      <t xml:space="preserve">
</t>
    </r>
    <r>
      <rPr>
        <u/>
        <sz val="10"/>
        <color indexed="8"/>
        <rFont val="Calibri"/>
        <family val="2"/>
      </rPr>
      <t xml:space="preserve">Zakres tematyczny: </t>
    </r>
    <r>
      <rPr>
        <sz val="10"/>
        <color indexed="8"/>
        <rFont val="Calibri"/>
        <family val="2"/>
        <charset val="238"/>
      </rPr>
      <t xml:space="preserve">Publikacje powinny być zawarte w poszczególnych kategoriach tematycznych jeżeli istnieje ścisły związek publikacji z określonym tematem (np. cała sekcja/rozdział poświęcony danemu tematowi a nie tylko jeden artykuł). Jedna publikacja może dotyczyć więcej niż jednego tematu tzn., że liczba wszystkich publikacji nie musi być sumą publikacji w poszczególnych tematach.                                                                                                                                                                                
</t>
    </r>
  </si>
  <si>
    <r>
      <t xml:space="preserve">Komentarze </t>
    </r>
    <r>
      <rPr>
        <sz val="10"/>
        <color indexed="8"/>
        <rFont val="Calibri"/>
        <family val="2"/>
        <charset val="238"/>
      </rPr>
      <t>(proszę wskazać ewentualne trudności związane z interpretacją definicji/wskaźników; proszę wskazać co jest rozumiane przez kategorię "inne")</t>
    </r>
  </si>
  <si>
    <r>
      <rPr>
        <b/>
        <sz val="10"/>
        <color indexed="60"/>
        <rFont val="Calibri"/>
        <family val="2"/>
        <charset val="238"/>
      </rPr>
      <t>WYTYCZNE:</t>
    </r>
    <r>
      <rPr>
        <sz val="10"/>
        <color indexed="8"/>
        <rFont val="Calibri"/>
        <family val="2"/>
      </rPr>
      <t xml:space="preserve">
</t>
    </r>
    <r>
      <rPr>
        <u/>
        <sz val="10"/>
        <color indexed="8"/>
        <rFont val="Calibri"/>
        <family val="2"/>
        <charset val="238"/>
      </rPr>
      <t>M</t>
    </r>
    <r>
      <rPr>
        <u/>
        <sz val="10"/>
        <color indexed="8"/>
        <rFont val="Calibri"/>
        <family val="2"/>
      </rPr>
      <t>ultimedia i inne narzędzia</t>
    </r>
    <r>
      <rPr>
        <sz val="10"/>
        <color indexed="8"/>
        <rFont val="Calibri"/>
        <family val="2"/>
      </rPr>
      <t xml:space="preserve">: można tu wpisać filmy, programy TV, audycje radiowe lub liczbę organizowanych przez jednostkę wsparcia sieci konkursów np. konkurs fotograficzny, konkurs na najlepszy projekt Leader; jeśli są organizowane specjalne wydarzenia związane z konkursami np. finały konkursów można wpisać je również w kategorii 1. </t>
    </r>
    <r>
      <rPr>
        <i/>
        <sz val="10"/>
        <color indexed="8"/>
        <rFont val="Calibri"/>
        <family val="2"/>
        <charset val="238"/>
      </rPr>
      <t xml:space="preserve">"Wydarzenia". </t>
    </r>
    <r>
      <rPr>
        <sz val="10"/>
        <color indexed="8"/>
        <rFont val="Calibri"/>
        <family val="2"/>
        <charset val="238"/>
      </rPr>
      <t xml:space="preserve">Jesli wykorzystywane są inne narzędzia komunikacyjne proszę podać je w kolumnie </t>
    </r>
    <r>
      <rPr>
        <i/>
        <sz val="10"/>
        <color indexed="8"/>
        <rFont val="Calibri"/>
        <family val="2"/>
        <charset val="238"/>
      </rPr>
      <t xml:space="preserve">"Inne" </t>
    </r>
    <r>
      <rPr>
        <sz val="10"/>
        <color indexed="8"/>
        <rFont val="Calibri"/>
        <family val="2"/>
        <charset val="238"/>
      </rPr>
      <t xml:space="preserve">i wskazać jakie to są narzędzia w </t>
    </r>
    <r>
      <rPr>
        <i/>
        <sz val="10"/>
        <color indexed="8"/>
        <rFont val="Calibri"/>
        <family val="2"/>
        <charset val="238"/>
      </rPr>
      <t>"Komentarzu".</t>
    </r>
    <r>
      <rPr>
        <sz val="10"/>
        <color indexed="8"/>
        <rFont val="Calibri"/>
        <family val="2"/>
      </rPr>
      <t xml:space="preserve">
</t>
    </r>
    <r>
      <rPr>
        <u/>
        <sz val="10"/>
        <color indexed="8"/>
        <rFont val="Calibri"/>
        <family val="2"/>
        <charset val="238"/>
      </rPr>
      <t>Zakres tematyczny:</t>
    </r>
    <r>
      <rPr>
        <sz val="10"/>
        <color indexed="8"/>
        <rFont val="Calibri"/>
        <family val="2"/>
      </rPr>
      <t xml:space="preserve"> patrz w pkt. 2.3                                                                                                                                                                                
</t>
    </r>
  </si>
  <si>
    <t>Ułatwienie transferu wiedzy i innowacji w rolnictwie i leśnictwie oraz na obszarach wiejskich. Informowanie społeczeństwa i potencjalnych beneficjentów o polityce rozwoju obszarów wiejskich i o możliwościach finansowania. www.arimr.gov.pl</t>
  </si>
  <si>
    <r>
      <t>Komentarze</t>
    </r>
    <r>
      <rPr>
        <b/>
        <sz val="10"/>
        <color indexed="8"/>
        <rFont val="Calibri"/>
        <family val="2"/>
        <charset val="238"/>
      </rPr>
      <t xml:space="preserve"> </t>
    </r>
    <r>
      <rPr>
        <sz val="10"/>
        <color indexed="8"/>
        <rFont val="Calibri"/>
        <family val="2"/>
        <charset val="238"/>
      </rPr>
      <t>(proszę wskazać ewentualne trudności związane z interpretacją definicji/wskaźników; proszę wskazać co jest rozumiane przez kategorię "inne")</t>
    </r>
  </si>
  <si>
    <r>
      <t>WYTYCZNE:</t>
    </r>
    <r>
      <rPr>
        <sz val="10"/>
        <rFont val="Calibri"/>
        <family val="2"/>
        <charset val="238"/>
      </rPr>
      <t xml:space="preserve">
Liczba przykładów dobrej praktyki / studium przypadku zidentyfikowanych i upowszechnionych (co najmniej na stronie internetowej KSOW). Proszę unikać podwójnego liczenia, np. jeśli określony przykład pojawił się na stronie internetowej i w broszurze, policz go raz. Tylko przykłady opracowane jako case study i opublikowane na stronie internetowej KSOW mogą być brane pod uwagę. Proszę nie liczyć przykładów wymienionych w prezentacjach lub wspomnianych podczas wydarzeń. Oferty współpracy np. poszukiwania partnerów opisujemy w kategorii "Wsparcie dla współpracy"</t>
    </r>
  </si>
  <si>
    <r>
      <t>Komentarze</t>
    </r>
    <r>
      <rPr>
        <sz val="12"/>
        <color indexed="8"/>
        <rFont val="Calibri"/>
        <family val="2"/>
        <charset val="238"/>
      </rPr>
      <t xml:space="preserve"> (</t>
    </r>
    <r>
      <rPr>
        <sz val="10"/>
        <color indexed="8"/>
        <rFont val="Calibri"/>
        <family val="2"/>
        <charset val="238"/>
      </rPr>
      <t>proszę wskazać ewentualne trudności związane z interpretacją definicji/wskaźników; proszę wskazać co jest rozumiane przez kategorię "inne")</t>
    </r>
  </si>
  <si>
    <r>
      <rPr>
        <b/>
        <sz val="10"/>
        <color indexed="28"/>
        <rFont val="Calibri"/>
        <family val="2"/>
        <charset val="238"/>
      </rPr>
      <t>WYTYCZNE:</t>
    </r>
    <r>
      <rPr>
        <sz val="10"/>
        <color indexed="8"/>
        <rFont val="Calibri"/>
        <family val="2"/>
      </rPr>
      <t xml:space="preserve">
</t>
    </r>
    <r>
      <rPr>
        <u/>
        <sz val="10"/>
        <color indexed="8"/>
        <rFont val="Calibri"/>
        <family val="2"/>
        <charset val="238"/>
      </rPr>
      <t>Rodzaj aktywności:</t>
    </r>
    <r>
      <rPr>
        <sz val="10"/>
        <color indexed="8"/>
        <rFont val="Calibri"/>
        <family val="2"/>
        <charset val="238"/>
      </rPr>
      <t xml:space="preserve"> Proszę policzyć ilość grup tematycznych i spotkań organizowanych w ramach tych grup.
</t>
    </r>
    <r>
      <rPr>
        <u/>
        <sz val="10"/>
        <color indexed="8"/>
        <rFont val="Calibri"/>
        <family val="2"/>
        <charset val="238"/>
      </rPr>
      <t>Zakres tematyczny:</t>
    </r>
    <r>
      <rPr>
        <sz val="10"/>
        <color indexed="8"/>
        <rFont val="Calibri"/>
        <family val="2"/>
        <charset val="238"/>
      </rPr>
      <t xml:space="preserve"> proszę patrz wyżej, te same definicje mają zastosowanie. Należy wskazać główny obszar tematyczny, w jakim została grupa powołana. Proszę nie liczyć tematyki pojedynczych spotkań grupy jako odrębnej inicjatywy tematycznej.                                                                                                                                                                                                                      </t>
    </r>
    <r>
      <rPr>
        <sz val="10"/>
        <rFont val="Calibri"/>
        <family val="2"/>
        <charset val="238"/>
      </rPr>
      <t xml:space="preserve">W przypadku spotkań grup roboczych należy liczyć wyłącznie spotkania grupy.  Decyzje podjęte przez grupę roboczą w trybie obiegowym nie są traktowane jak spotkanie i nie moga być jako takie liczone. </t>
    </r>
  </si>
  <si>
    <r>
      <rPr>
        <b/>
        <sz val="10"/>
        <color indexed="28"/>
        <rFont val="Calibri"/>
        <family val="2"/>
        <charset val="238"/>
      </rPr>
      <t>WYTYCZNE:</t>
    </r>
    <r>
      <rPr>
        <sz val="10"/>
        <color indexed="8"/>
        <rFont val="Calibri"/>
        <family val="2"/>
      </rPr>
      <t xml:space="preserve">
</t>
    </r>
    <r>
      <rPr>
        <u/>
        <sz val="10"/>
        <color indexed="8"/>
        <rFont val="Calibri"/>
        <family val="2"/>
        <charset val="238"/>
      </rPr>
      <t>Ogólnie:</t>
    </r>
    <r>
      <rPr>
        <sz val="10"/>
        <color indexed="8"/>
        <rFont val="Calibri"/>
        <family val="2"/>
      </rPr>
      <t xml:space="preserve"> Konsultacje tematyczne organizowane są pomiędzy różnymi organizacjami partnerów / ich przedstawicielami w celu ułatwiania wymiany poglądów, pomysłów i doświadczeń na konkretne tematy (np. grupa koodynacyjna LEADER), często w celu poprawy wdrażania PROW. Proszę policzyć konsultacje tematyczne zorganizowane / wspierane przez sieć  (lub gdzie sieć odgrywa główna rolę w zarządzaniu konsultacjami).
                                                                                                                                                                                                                                                                           </t>
    </r>
    <r>
      <rPr>
        <u/>
        <sz val="10"/>
        <color indexed="8"/>
        <rFont val="Calibri"/>
        <family val="2"/>
        <charset val="238"/>
      </rPr>
      <t>Zakres tematyczny:</t>
    </r>
    <r>
      <rPr>
        <sz val="10"/>
        <color indexed="8"/>
        <rFont val="Calibri"/>
        <family val="2"/>
      </rPr>
      <t xml:space="preserve"> proszę patrz wyżej, te same definicje mają zastosowanie. </t>
    </r>
    <r>
      <rPr>
        <u/>
        <sz val="10"/>
        <color indexed="8"/>
        <rFont val="Calibri"/>
        <family val="2"/>
      </rPr>
      <t xml:space="preserve">
</t>
    </r>
  </si>
  <si>
    <r>
      <rPr>
        <b/>
        <sz val="10"/>
        <color indexed="28"/>
        <rFont val="Calibri"/>
        <family val="2"/>
        <charset val="238"/>
      </rPr>
      <t>WYTYCZNE:</t>
    </r>
    <r>
      <rPr>
        <sz val="10"/>
        <color indexed="8"/>
        <rFont val="Calibri"/>
        <family val="2"/>
      </rPr>
      <t xml:space="preserve">
Proszę policz inne rodzaje inicjatyw tematycznych. Fora internetowe i szkolenia mogą być policzone podwójnie, tzn.  mogą być podane tutaj oraz we wskażniku 2.1 (media społecznosciowe) oraz we wskażniku 6.1 (szkolenia). Proszę podaj w komentarzach jakie inne inicjatywy tematyczne są brane pod uwagę.
Zakres tematyczny: patrz wskaźnik 1.1 .</t>
    </r>
    <r>
      <rPr>
        <u/>
        <sz val="10"/>
        <color indexed="8"/>
        <rFont val="Calibri"/>
        <family val="2"/>
      </rPr>
      <t/>
    </r>
  </si>
  <si>
    <r>
      <rPr>
        <b/>
        <sz val="10"/>
        <color indexed="54"/>
        <rFont val="Calibri"/>
        <family val="2"/>
        <charset val="238"/>
      </rPr>
      <t>WYTYCZNE:</t>
    </r>
    <r>
      <rPr>
        <sz val="10"/>
        <color indexed="8"/>
        <rFont val="Calibri"/>
        <family val="2"/>
      </rPr>
      <t xml:space="preserve">
</t>
    </r>
    <r>
      <rPr>
        <u/>
        <sz val="10"/>
        <rFont val="Calibri"/>
        <family val="2"/>
        <charset val="238"/>
      </rPr>
      <t xml:space="preserve">Uczestnicy według typu inicjatywy: </t>
    </r>
    <r>
      <rPr>
        <sz val="10"/>
        <rFont val="Calibri"/>
        <family val="2"/>
        <charset val="238"/>
      </rPr>
      <t xml:space="preserve">Proszę policzyć członków inicjatyw tematycznych (wymienionych w tabeli wyżej w punkcie 4.1.) Członkiem incjatywy jest każdy kto conajmniej raz wziął udział w aktywności inicjatywy tematycznej (np. uczestniczył w spotkaniu grupy tematycznej, miał wkład w przygotowanie raportu z prac grupy tematycznej). Jeżeli osoba uczestniczyła w więcej niż jednej aktywności tej samej inicjatywy tematycznej należy ją liczyć tylko raz. Jeżeli ta sama osoba brała udział w dwóch róznych inicjatywach tematycznych proszę liczyć podwójnie (jak dwie osoby).  Proszę oddzielnie policzyć liczbę osób uczestniczących w spotkaniach grup tematycznych. Jeżeli ten sam członek inicjatywy tematycznej brał udział w dwóch spotkaniach powinien być liczony podwójnie (osobno dla każdego spotkania). 
</t>
    </r>
  </si>
  <si>
    <r>
      <rPr>
        <b/>
        <sz val="10"/>
        <color indexed="17"/>
        <rFont val="Calibri"/>
        <family val="2"/>
        <charset val="238"/>
      </rPr>
      <t>WYTYCZNE:</t>
    </r>
    <r>
      <rPr>
        <sz val="10"/>
        <color indexed="28"/>
        <rFont val="Calibri"/>
        <family val="2"/>
        <charset val="238"/>
      </rPr>
      <t xml:space="preserve">
Ten wskaźnik dotyczy wsparcia działań trzech jednostek organizacyjnych europejskiej sieci, tj. Punktu Kontaktowego ENRD (ENRD CP), Helpdesk ds. Ewaluacji (Evaluation HD) oraz EIP AGRI Service Point (EIP-SP) przez sieci Państw Członkowskich UE. Należy brać pod uwagę udział przedstawicieli podmiotów zaangażowanych  w realizację zadań KSOW i innych reprezentantów sieci (w tym partnerów) podczas różnych wydarzeń. Jeśli przedstawiciel sieci uczestniczy we wspólnym wydarzeniu zorganizowanym przez więcej niż jedną jednostkę , to można policzyć to dla obu jednostek  tzn., całkowita liczba inicjatyw jednostek europejskiej sieci nie dodaje sie to całkowitej liczby inicjatyw w których sieci uczestniczyły.
</t>
    </r>
    <r>
      <rPr>
        <u/>
        <sz val="10"/>
        <color indexed="28"/>
        <rFont val="Calibri"/>
        <family val="2"/>
        <charset val="238"/>
      </rPr>
      <t>Liczba inicjatyw:</t>
    </r>
    <r>
      <rPr>
        <sz val="10"/>
        <color indexed="28"/>
        <rFont val="Calibri"/>
        <family val="2"/>
        <charset val="238"/>
      </rPr>
      <t xml:space="preserve">  Policz liczbę inicjatyw, w których uczestniczyli przedstawiciele sieci, a nie liczbę osób biorących udział w danej inicjatywie. Jeżeli jeden uczestnik brał udział w dwóch spotkaniach tej samej grupy tematycznej to powinien być liczony pojedynczo w kolumnie "Liczba inicjatyw tematycznych" i podwójnie w kolumnie "Liczba spotkań w ramach inicjatywy tematycznej".                                                                                                                                                                     
</t>
    </r>
    <r>
      <rPr>
        <u/>
        <sz val="10"/>
        <color indexed="28"/>
        <rFont val="Calibri"/>
        <family val="2"/>
        <charset val="238"/>
      </rPr>
      <t>Liczba spotkań:</t>
    </r>
    <r>
      <rPr>
        <sz val="10"/>
        <color indexed="28"/>
        <rFont val="Calibri"/>
        <family val="2"/>
        <charset val="238"/>
      </rPr>
      <t xml:space="preserve"> Policz liczbę spotkań, w której brał udział przedstawiciel sieci np. jeżeli 3 uczestników brało udzial w 2 spotkaniach w kolumnie "Liczba spotkań w ramach inicjatywy tematycznej" należy wpisać 2. Proszę nie liczyć pojedynczych spotkań grupy tematycznej jako odrębnej inicjatywy tematycznej.
</t>
    </r>
    <r>
      <rPr>
        <u/>
        <sz val="10"/>
        <color indexed="28"/>
        <rFont val="Calibri"/>
        <family val="2"/>
        <charset val="238"/>
      </rPr>
      <t>Aktywny wkład:</t>
    </r>
    <r>
      <rPr>
        <sz val="10"/>
        <color indexed="28"/>
        <rFont val="Calibri"/>
        <family val="2"/>
        <charset val="238"/>
      </rPr>
      <t xml:space="preserve"> Policz inicjatywy/wydarzenia, w których przedstawiciel sieci miał aktywny wkład , włączając: prezentacje, moderowanie sesji, udział w dyskusji panelowej lub inne. Nie licz podwójnie np. jesli przedstawiciel sieci miał 2 prezentacje w ramach tej samej inicjatywy policz tylko jeden raz.</t>
    </r>
  </si>
  <si>
    <r>
      <rPr>
        <b/>
        <sz val="10"/>
        <color indexed="17"/>
        <rFont val="Calibri"/>
        <family val="2"/>
        <charset val="238"/>
      </rPr>
      <t>WYTYCZNE:</t>
    </r>
    <r>
      <rPr>
        <sz val="10"/>
        <color indexed="8"/>
        <rFont val="Calibri"/>
        <family val="2"/>
      </rPr>
      <t xml:space="preserve">
</t>
    </r>
    <r>
      <rPr>
        <u/>
        <sz val="10"/>
        <color indexed="8"/>
        <rFont val="Calibri"/>
        <family val="2"/>
        <charset val="238"/>
      </rPr>
      <t>Poszczególne informacje:</t>
    </r>
    <r>
      <rPr>
        <sz val="10"/>
        <color indexed="8"/>
        <rFont val="Calibri"/>
        <family val="2"/>
      </rPr>
      <t xml:space="preserve"> Liczba artykułów, studium przypadku oraz innych materiałów informacyjnych może być liczona wielokrotnie w szczególnych przypadkach: np. jeśli podmiot dostarczył przykład dobrej praktyki, a następnie wykorzystał ten sam przykład w publikacji lub przygotował prezentację dotyczącą tej samej dobrej praktyki - można w takim przypadku zaliczyć wykonaną pracę zarówno jako przykład dobrej praktyki/case study jak i jako artykuł lub prezentację.</t>
    </r>
  </si>
  <si>
    <r>
      <rPr>
        <b/>
        <sz val="12"/>
        <color indexed="8"/>
        <rFont val="Calibri"/>
        <family val="2"/>
        <charset val="238"/>
      </rPr>
      <t>Komentarze</t>
    </r>
    <r>
      <rPr>
        <sz val="10"/>
        <color indexed="8"/>
        <rFont val="Calibri"/>
        <family val="2"/>
      </rPr>
      <t xml:space="preserve"> </t>
    </r>
    <r>
      <rPr>
        <sz val="10"/>
        <color indexed="8"/>
        <rFont val="Calibri"/>
        <family val="2"/>
        <charset val="238"/>
      </rPr>
      <t>(proszę wskazać ewentualne trudności związane z interpretacją definicji/wskaźników; proszę wskazać co jest rozumiane przez kategorię "inne")</t>
    </r>
  </si>
  <si>
    <t>WYTYCZNE:
Jeśli to możliwe, proszę wskazać w rubryce "Komentarze" które materiały zostały przetłumaczone lub upowszechnione.
Liczba przetłumaczonych materiałów: Liczba przetłumaczonych  na język polski informacji (włączając publikacje, raporty, analizy, studium przypadku, itp.) 
Liczba rozpowszechnionych materiałów:  Liczba informacji (publikacje, raporty, analizy, case study) rozpowszechnionych wśród szerszego grona odbiorców w ramach sieci, np. poprzez stronę internetową, newsletter, emailing, itp. Można tu zaliczyć odwołania do strony ENRD zamieszczone na stronie krajowej sieci.</t>
  </si>
  <si>
    <r>
      <rPr>
        <b/>
        <sz val="10"/>
        <color indexed="49"/>
        <rFont val="Calibri"/>
        <family val="2"/>
      </rPr>
      <t>WYTYCZNE:</t>
    </r>
    <r>
      <rPr>
        <sz val="10"/>
        <color indexed="49"/>
        <rFont val="Calibri"/>
        <family val="2"/>
      </rPr>
      <t xml:space="preserve">
</t>
    </r>
    <r>
      <rPr>
        <u/>
        <sz val="10"/>
        <rFont val="Calibri"/>
        <family val="2"/>
        <charset val="238"/>
      </rPr>
      <t>Typ działania szkoleniowego:</t>
    </r>
    <r>
      <rPr>
        <sz val="10"/>
        <rFont val="Calibri"/>
        <family val="2"/>
        <charset val="238"/>
      </rPr>
      <t xml:space="preserve">  Proszę uwzględnić wszystkie działania szkoleniowe zorganizowane przez podmiot lub partnerów sieci (włączając wizyty/wyjazdy studyjne). Proszę podać osobno liczbę działań szkoleniowych oraz odpowiednio liczbę dni. Działanie szkoleniowe to takie które mają aspekt budowy umiejętności (rozwijania zdolności) na konkretny temat.
</t>
    </r>
    <r>
      <rPr>
        <u/>
        <sz val="10"/>
        <rFont val="Calibri"/>
        <family val="2"/>
        <charset val="238"/>
      </rPr>
      <t>Zakres tematyczny:</t>
    </r>
    <r>
      <rPr>
        <sz val="10"/>
        <rFont val="Calibri"/>
        <family val="2"/>
        <charset val="238"/>
      </rPr>
      <t xml:space="preserve"> Działanie szkoleniowe może być zakwalifikowane do konkretnego tematu jedynie w przypadku gdy bezpośrednio dotyczyło danych zagadnień  (np. cały warsztat na dany temat a nie tylko jeden wykład). Jedno działanie szkoleniowe może dotyczyć więcej niż jednego tematu tzn., że ilość wszystkich działań nie musi być sumą działań w poszczególnych tematach.</t>
    </r>
  </si>
  <si>
    <r>
      <t xml:space="preserve">WYTYCZNE:
</t>
    </r>
    <r>
      <rPr>
        <sz val="10"/>
        <color indexed="8"/>
        <rFont val="Calibri"/>
        <family val="2"/>
        <charset val="238"/>
      </rPr>
      <t xml:space="preserve">
Proszę uwzględnić liczbę osób, które brały udział w działaniach szkoleniowych wymienionych w pkt. 6.1. Jeśli to możliwe, proszę wskazać liczbę uczestników w podziale na główne grupy interesariuszy.</t>
    </r>
  </si>
  <si>
    <r>
      <rPr>
        <b/>
        <sz val="10"/>
        <color indexed="53"/>
        <rFont val="Calibri"/>
        <family val="2"/>
      </rPr>
      <t>WYTYCZNE:</t>
    </r>
    <r>
      <rPr>
        <sz val="10"/>
        <color indexed="53"/>
        <rFont val="Calibri"/>
        <family val="2"/>
      </rPr>
      <t xml:space="preserve"> </t>
    </r>
    <r>
      <rPr>
        <sz val="10"/>
        <color indexed="8"/>
        <rFont val="Calibri"/>
        <family val="2"/>
      </rPr>
      <t xml:space="preserve">
</t>
    </r>
    <r>
      <rPr>
        <u/>
        <sz val="10"/>
        <color indexed="8"/>
        <rFont val="Calibri"/>
        <family val="2"/>
        <charset val="238"/>
      </rPr>
      <t>Ogólne</t>
    </r>
    <r>
      <rPr>
        <sz val="10"/>
        <color indexed="8"/>
        <rFont val="Calibri"/>
        <family val="2"/>
      </rPr>
      <t xml:space="preserve">: Podwójne uwzględnianie z innymi wskaźnikami jest możliwe np. jeżeli w wydarzeniu dotyczącym LEADER/RLKS pokazanym we wskaźniku 1.1. znaczny nacisk położono na współpracę. 
</t>
    </r>
    <r>
      <rPr>
        <u/>
        <sz val="10"/>
        <color indexed="8"/>
        <rFont val="Calibri"/>
        <family val="2"/>
        <charset val="238"/>
      </rPr>
      <t>Wydarzenia poświęcone współpracy:</t>
    </r>
    <r>
      <rPr>
        <sz val="10"/>
        <color indexed="8"/>
        <rFont val="Calibri"/>
        <family val="2"/>
      </rPr>
      <t xml:space="preserve"> Proszę uwzględnić wydarzenia, w ramach których znaczny nacisk został położony na współpracę np. zorganizowano specjalne sesje lub wydarzenia towarzyszące poświęcone współpracy lub wspierające wspólpracę różnych interesariuszy (szczegónie LGD) w celu przygotowania i realizacji projektów współpracy. Proszę nie uwzględniać tu wizyt studyjnych, które należy wpisać  w kolumnie "</t>
    </r>
    <r>
      <rPr>
        <i/>
        <sz val="10"/>
        <color indexed="8"/>
        <rFont val="Calibri"/>
        <family val="2"/>
        <charset val="238"/>
      </rPr>
      <t>liczba wizyt studyjnych</t>
    </r>
    <r>
      <rPr>
        <sz val="10"/>
        <color indexed="8"/>
        <rFont val="Calibri"/>
        <family val="2"/>
      </rPr>
      <t xml:space="preserve">".
</t>
    </r>
    <r>
      <rPr>
        <u/>
        <sz val="10"/>
        <color indexed="8"/>
        <rFont val="Calibri"/>
        <family val="2"/>
      </rPr>
      <t>Oferty współpracy/ poszukiwania partnerów:</t>
    </r>
    <r>
      <rPr>
        <sz val="10"/>
        <color indexed="8"/>
        <rFont val="Calibri"/>
        <family val="2"/>
      </rPr>
      <t xml:space="preserve"> Proszę uwzględnić liczbę ofert współpracy zebranych i rozpowszechnionych z wykorzystaniem określonych narzędzi (np. baza danych partnerów do współpracy, emailing do LGD). Proszę nie uwzględniać zapytań, które były rozpowszechniane z pominięciem sieci poprzez inne kanały. Proszę unikać podwójnego liczenia - jeśli oferta była udostępniona w bazie danych i przez e-mailing, policz ją jeden raz.
</t>
    </r>
    <r>
      <rPr>
        <u/>
        <sz val="10"/>
        <color indexed="8"/>
        <rFont val="Calibri"/>
        <family val="2"/>
      </rPr>
      <t>Wizyty studyjne:</t>
    </r>
    <r>
      <rPr>
        <sz val="10"/>
        <color indexed="8"/>
        <rFont val="Calibri"/>
        <family val="2"/>
      </rPr>
      <t xml:space="preserve"> Proszę uwzględnić liczbę wizyt studyjnych, których jednym z głównych celów było wsparcie współpracy pomiędzy LGD (włączając także wizyty studyjne zorganizowane w Polsce dla LGD z innych Państw Członkowskich UE. 
</t>
    </r>
    <r>
      <rPr>
        <u/>
        <sz val="10"/>
        <color indexed="8"/>
        <rFont val="Calibri"/>
        <family val="2"/>
      </rPr>
      <t>Inne inicjatywy współpracy podejmowane przez NSU</t>
    </r>
    <r>
      <rPr>
        <sz val="10"/>
        <color indexed="8"/>
        <rFont val="Calibri"/>
        <family val="2"/>
      </rPr>
      <t>: Jeżeli podejmowane są inne rodzaje inicjatyw, które nie zostały uwzględnione w tym zestawieniu, prosimy o podanie informacji na ich temat w rubryce "</t>
    </r>
    <r>
      <rPr>
        <i/>
        <sz val="10"/>
        <color indexed="8"/>
        <rFont val="Calibri"/>
        <family val="2"/>
        <charset val="238"/>
      </rPr>
      <t>Komentarze</t>
    </r>
    <r>
      <rPr>
        <sz val="10"/>
        <color indexed="8"/>
        <rFont val="Calibri"/>
        <family val="2"/>
      </rPr>
      <t>".</t>
    </r>
  </si>
  <si>
    <t>to jest kwota w zł.</t>
  </si>
  <si>
    <t xml:space="preserve">to jest kwota w zł. </t>
  </si>
  <si>
    <t>Agencja Rynku Rolnego</t>
  </si>
  <si>
    <t>imprezy lokalne upowszechnianie informacji o działaniach, którymi administruje ARR w ramach PROW 2014-2020, zakres tematyczny mieszany P2 i P3, ponadto udzielane były informacje na temat działania "Współpraca"</t>
  </si>
  <si>
    <t>upowszechnianie informacji o działaniach, którymi administruje ARR w ramach PROW 2014-2020, zakres tematyczny mieszany P2 i P3, ponadto udzielane były informacje na temat działania "Współpraca", informacje o terminach składania wniosków</t>
  </si>
  <si>
    <t>pendrivy z prezentacją</t>
  </si>
  <si>
    <t xml:space="preserve">Szkolenia z zakresu działań, którymi administruje ARR w ramach PROW 2014-2020 tj. "Wsparcie działań informacyjnych i promocyjnych realizowanych przez grupy producentów na rynku wewnętrznym", "Wsparcie na przystępowanie do systemów jakości", działanie "Współpraca". </t>
  </si>
  <si>
    <t>Centrum Doradztwa Rolniczego</t>
  </si>
  <si>
    <t xml:space="preserve">Międzynarodowy zasięg:                                                                                                                                                                                                                                                                                        1. XII Międzynarodowe Targi Techniki Rolniczej AGROTECH w Kielcach - 2016                                                                                                                                                                                           2. Centralna Wystawa Rolnicza w Monachium (Niemcy) - 2016                                                                                                                                                                                                                           3. Wyspa innowacji podczas Międzynarodowych targów rolniczych w Nadarzyńskim Ptaku - 2016                                                                                                         Krajowy zasięg 2015:                                                                                                                                                                                                                                                                                                                       1. Sieć na rzecz innowacji w rolnictwie i na obszarach wiejskich sposoben na zapewnienie zrównoważonego i inteligentnego rozwoju polskiej wsi                                                                                                                                                                                                                                                                                            Krajowy zasięg 2016:                                                                                                                                                                                                                                                                                                                   1. Wdrażanie innowacyjnych działań rolniczych przez członków Ogólnopolskiej Sieci Zagród Edukacyjnych.                                                                                                               2. Wyniki badań naukowych umożliwiajacych wprowadzenie nowoczesnych rozwiazań w gospodarstwie ekologicznym.                                                                      3. Praktyczne wykorzystanie badań naukowych we wdrożeniu innowacji w produkcji ogrodniczej.                                                                                                                  4. Nauka dla praktyki - innowacyjne rozwiazania dla ekologicznej produkcji rolnej.                                                                                                                                                          5. Innowacyjny rozwój energetyki prosumenckiej na obszarach wiejskich.                                                                                                                                                                       6. Innowacje w rolnictwie - kluczowe dla wsparcia inwestycji i konkurencyjności.                                                                                                                                                            7. Innowacyjne gospodarowanie zasobami wody w rolnictwie.                                                                                                                                                                                                               8. Forum wiedzy i innowacji. </t>
  </si>
  <si>
    <t xml:space="preserve">Międzynarodowy zasięg:                                                                                                                                                                                                                                                                                                     1. 64330 to liczba odwiedzających XII Międzynarodowe Targi Techniki Rolniczej AGROTECH w Kielcach (źródło: http://www.targikielce.pl/pl/agrotech.htm) - dotyczy stoiska Wiedza i innowacje  - 2016 (krajowy)                                                                                                                                                                        2. 7000 sztuk ulotek opisujących SIR rozdanych podczas Centralnej Wystawy Rolniczej w Monachium  - 2016     (międzynarodowy)                                                                                                                            3. Wyspa innowacji podczas Międzynarodowych targów rolniczych w Nadarzyńskim Ptaku - brak danych dotyczących liczby odwiedzających - nawiązano kontakty z 20 wystawcami (cel: zachęcenie do rejestracji w bazie Partnerów SIR, przedstawienie możliwości realizacji oporacji w ramach PO - Działanie 5, zachęcenie do przystąpienia do Działania "Współpraca") - 2016 (krajowy)                                                                                                                     Krajowy zasięg 2015:                                                                                                                                                                                                                                                                                                                       1. Sieć na rzecz innowacji w rolnictwie i na obszarach wiejskich sposoben na zapewnienie zrównoważonego i inteligentnego rozwoju polskiej wsi 79 osób.                                                                                                                                                                                                                                                                                                                                                    Krajowy zasięg 2016:                                                                                                                                                                                                                                                                                                                   1. Wdrażanie innowacyjnych działań rolniczych przez członków Ogólnopolskiej Sieci Zagród Edukacyjnych - 270 uczestników                                                                                                            2. Wyniki badań naukowych umożliwiajacych wprowadzenie nowoczesnych rozwiazań w gospodarstwie ekologicznym - 55 uczestników                                                                      3. Praktyczne wykorzystanie badań naukowych we wdrożeniu innowacji w produkcji ogrodniczej - 55 uczestników                                                                                                                  4. Nauka dla praktyki - innowacyjne rozwiazania dla ekologicznej produkcji rolnej - 94 uczestników                                                                                                                                                         5. Innowacyjny rozwój energetyki prosumenckiej na obszarach wiejskich - 70 uczestników                                                                                                                                                                       6. Innowacje w rolnictwie - kluczowe dla wsparcia inwestycji i konkurencyjności - 235 uczestników                                                                                                                                                            7. Innowacyjne gospodarowanie zasobami wody w rolnictwie - 220 uczestników                                                                                                                                                                                                              8. Forum wiedzy i innowacji - 220 uczestników                     </t>
  </si>
  <si>
    <t>Strona internetowa CDR nie daje możliwości sprawdzenia liczby unikalnych użytkowników strony</t>
  </si>
  <si>
    <t>Strona WWW nie daje możliwości sprawdzenia liczby  odwiedzin na stronie przekierowanych łącznie ze wszystkich mediów społecznościowych</t>
  </si>
  <si>
    <t>148 artykułów - przetłumaczonych broszur EIP-AGRI - opublikowanych na Facebook (planowane wydanie broszury naich podstawie),  , ulotka 35000 szt. - dystrybuowana na terenie całego kraju podczas operacji realizowanych przez CDR i WODR oraz druk 7000 szt. tych samych ulotek w języku niemieckim (cel: dystrybucja podczas targów w Monachium) , 2 artykuły opublikowane e-biuletynie CDR</t>
  </si>
  <si>
    <t>1. Badania sondażowe w ramach operacji "Kreowanie partnerstwa w ramach KSOW dla działania Współpraca PROW 2014-2020".                                       2. Operacja pn "Nowe problemy identyfikowane przez rolników w rolnictwie i na obszarach wiejskicjh - diagnoza obszarów problemowych oraz możliwości podejmowania wspólnych działań na rzecz tworzenia innowacyjnych rozwiazań w ramach działania Współpraca"</t>
  </si>
  <si>
    <t>2016 - PRZETŁUMACZONO 148 ARTYKUŁÓW  (200 STRON)  ŚCIĄGNIĘTYCH ZE STRONY INTERNETOWEJ EIP AGRI I ROZPOWSZECHNIONO ……</t>
  </si>
  <si>
    <t xml:space="preserve"> AD. F181: "Wykorzystanie innowacji w gospodarstwie rolnym w zakresie ochrony środowiska" składała się z 2-ch wydarzeń, z której każda składała się ze szkolenia i wyjazdu studyjnego; "Od zaradności do przedsiębiorczości" składała się ze szkolenia 1-dniowego i 2-dniowego wyjazdu studyjnego, "Innowacje w rolnictwie - upowszechnienie badań naukowych i przykłady wdrożeń" dwa szkolenia z wyjazdami studyjnymi. AD G181: LICZBA DNI SZKOLENIOWYCH 17, LICZBA DNI OBEJMUJĄCYCH WYJAZDY STUDYJNE 26 DNI</t>
  </si>
  <si>
    <t>Uczestnikami operacji były osoby z całej Polski, nie można ich zakwalifikować jako lokalni Partnerzy, można wśród nich wymienić rolników, przedsiębiorców, nauczycieli szkół rolniczych, przedstawicieli uczelni i instytutów naukowych jak również osoby fizyczne zamierzające zainwestować w gospodarstwo rolne.</t>
  </si>
  <si>
    <t>Wynagrodzenia pracownikiów wraz z kosztami pracodawcy; Materiały, energia, remont, usł. kateringowa, wynajem mikrofonu bezprzewod., sprzątanie pomieszczeń, usł. telekomunikacyjne, podróże służbowe, organizacja spotkań szkoleniowo-informacyjnych dla koordynatorów pracowników WODR wykonujących działania na rzecz SIR, ochrona, ZFŚS</t>
  </si>
  <si>
    <r>
      <rPr>
        <b/>
        <sz val="11"/>
        <color theme="1"/>
        <rFont val="Calibri"/>
        <family val="2"/>
        <charset val="238"/>
        <scheme val="minor"/>
      </rPr>
      <t xml:space="preserve">informacja dodatkowa w/s różnicy w budżecie między zał. 1 a zał. 2 do sprawozdania: </t>
    </r>
    <r>
      <rPr>
        <sz val="11"/>
        <color theme="1"/>
        <rFont val="Calibri"/>
        <family val="2"/>
        <charset val="238"/>
        <scheme val="minor"/>
      </rPr>
      <t>w Planie Operacyjnym na lata 2016-2017 ujęte są operacje obejmujace swoim zasięgiem 2 lata, są to operacje etapowe, składające się z kilku szkoleń, kilku wyjazdów studyjnych bądź konferencji i publikacji pokonferencyjnej. W załączniku nr 1 funkcjonują jako operacje częsciowo rozliczone, ale ponieważ są pewne ich etapy są całkowicie rozliczone, zostały one umieszczone w załączniku nr 2 w tab. 8. W związku dwuletnimi operacjami nie istnieje możliwość pokrycia się wydatków z załącznika nr 1 z załącznikiem nr 2</t>
    </r>
  </si>
  <si>
    <t>Dolnośląski Ośrodek Doradztwa Rolniczego</t>
  </si>
  <si>
    <t>2015 - Organizacja 2 spotkań informacyjno-aktywizujących na terenie województwa dolnosląskiego (teren powiatu kłodzkiego i jeleniogórskiego).
2016 - Punkty informacyjne SIR podczas imprez organizowanych przez DODR.</t>
  </si>
  <si>
    <t>2016 - Szacowana liczba osób odwiedzająca imprezy organizowane przez DODR, na których zorganizowano punkty informacyjne SIR.</t>
  </si>
  <si>
    <t>2016 - Zamieszczono 26 informacji na temat  wydarzeń i spotkań dotyczących SIR.
*Liczba użytkowników strony.</t>
  </si>
  <si>
    <t>*</t>
  </si>
  <si>
    <t>2015 - Zamieszczono bezplatną informację nt. SIR w czasopiśmie Twój Doradca Rolniczy Rynek w miesiącu listopad i grudzień 2015 r. (nakład 3 400 egz.)
2016 - 8 artykułów i 11 informacji - zaproszeń do współpracy nt. SIR zamieszczonych w miesięczniku DODR Twój Doradca Rolniczy Rynek (nakład 3 300 egz.).</t>
  </si>
  <si>
    <t>2015 - Organizacja 2 spotkań informacyjno-aktywizujących na terenie województwa dolnośląskiego (teren powiatu kłodzkiego i jeleniogórskiego).
2016 - Organizacja 3 wyjazdów studyjnych i szkolenia połączonego z warsztatami.
*inne - spotkania informacyjno-promocyjne SIR oraz przeprowadzone wykłady nt. SIR.</t>
  </si>
  <si>
    <t>2015 - Organizacja 2 spotkań informacyjno-aktywizujących na terenie województwa dolnośląskiego (teren powiatu kłodzkiego i jeleniogórskiego).
2016 - Organizacja 3 wyjazdów studyjnych i szkolenia połączonego z warsztatami.
*liczba uczestników innych działań - odbiorcy spotkań informacyjno-promocyjnych SIR oraz przeprowadzonych wykładów nt. SIR.
*inne grupy - przedstawiciele jednostek samorządowych[51], PIORIN[1], DIR [1].</t>
  </si>
  <si>
    <t xml:space="preserve">                                                                                                                                                                                                                                                                                                                                                                                                                                                                                                                                                                                                                                                                                                                                                                                                                                                                                                                                                                                                                                                                                                                                                                                                                                                                                                                                      </t>
  </si>
  <si>
    <t>Środki na funkcjonowanie.
W ramach funkcjonowania pracownicy SIR: aktualizują zakładkę SIR na stronie www.dodr.pl, przygotowują informacje do gazety TDRR, organizują spotkania grupowe i indywidualne w ramach tworzenia sieci kontaktów, pozyskują nowych partnerów do Bazy Partnerów SIR, monitorują działania związane z SIR na Dolnym Śląsku, udzielają zainteresowanym informacje na temat istoty SIR, koordynują prawidłowe realizowanie PO 2016-2017 oraz inne zadania wg bieżących potrzeb. W skład kosztów na funkcjonowanie wchodzą także koszty delegacji pracowników ds. SIR na szkolenia i spotkania związane z pozyskiwaniem wiedzy dot. Sieci oraz w celu tworzenia sieci kontaktów.
W 2015 r. dodatkowo oprócz kosztów funkcjonowania zakup (wyposażenie) stanowiska pracy oraz zakup 2 laptopów na potrzeby pracowników oddelegowanych do zadań SIR.</t>
  </si>
  <si>
    <r>
      <rPr>
        <b/>
        <sz val="10"/>
        <color indexed="8"/>
        <rFont val="Calibri"/>
        <family val="2"/>
        <charset val="238"/>
      </rPr>
      <t>Wydarzenia w 2015 r. mające zasięg regionalny/lokalny to</t>
    </r>
    <r>
      <rPr>
        <sz val="10"/>
        <color indexed="8"/>
        <rFont val="Calibri"/>
        <family val="2"/>
        <charset val="238"/>
      </rPr>
      <t xml:space="preserve">: 2 konferencje, 2  seminaria, 2 szkolenia. Były to : 1. Innowacyjne rozwiązania stosowne w wozach paszowych i ich wpływ na efektywność produkcji mleka, 2. Seminarium – Innowacyjne technologie w uprawie i ochronie rzepaku ozimego, 3. Innowacje szansą wzrostu konkurencyjności rolnictwa w województwie kujawsko-pomorskim, 4. I Forum Hodowców i Producentów Trzody Chlewnej Kujaw i Pomorza, 5. Seminarium – Polowa pojemność wodna gleb i integrowana ochrona to główne problemy wzrostu plonowania zbóż – podejmij  innowacyjne działania, 6. Innowacje w tuczu trzody chlewnej z wykorzystaniem krajowych źródeł białka roślinnego. </t>
    </r>
    <r>
      <rPr>
        <b/>
        <sz val="10"/>
        <color indexed="8"/>
        <rFont val="Calibri"/>
        <family val="2"/>
        <charset val="238"/>
      </rPr>
      <t>Wydarzenia w 2016 r. o zasięgu krajowym to</t>
    </r>
    <r>
      <rPr>
        <sz val="10"/>
        <color indexed="8"/>
        <rFont val="Calibri"/>
        <family val="2"/>
        <charset val="238"/>
      </rPr>
      <t xml:space="preserve">: Innowacyjne rozwiązania w zarządzaniu stadem bydła mlecznego w zautomatyzowanej oborze (konferencja 23.03.2016 r.), 2 stoiska informacyjne dotyczące SIR na imprezach targowych: Dni Otwartych Drzwi w Zarzeczewie i Dni Pola w Grubnie oraz impreza promocyjno-targowa Święto Gęsi na Krajnie 11.11.2016 r. </t>
    </r>
    <r>
      <rPr>
        <b/>
        <sz val="10"/>
        <color indexed="8"/>
        <rFont val="Calibri"/>
        <family val="2"/>
        <charset val="238"/>
      </rPr>
      <t>Wydarzenia o zasięgu międzynarodowym w 2016 r. to</t>
    </r>
    <r>
      <rPr>
        <sz val="10"/>
        <color indexed="8"/>
        <rFont val="Calibri"/>
        <family val="2"/>
        <charset val="238"/>
      </rPr>
      <t xml:space="preserve">:  stoisko informacyjne dotyczące SIR oraz warsztaty/pokaz 2-3.07.2016 r. w trakcie Międzynarodowych Targów AGRO-TECH Minikowo 2-3.07.2016 r., wyjazd studyjny 02-08.10.2016 r. pn. Innowacyjne praktyki hodowlane prezentowane podczas Europejskich Targów Hodowlanych w Clermont-Ferrand. </t>
    </r>
    <r>
      <rPr>
        <b/>
        <sz val="10"/>
        <color indexed="8"/>
        <rFont val="Calibri"/>
        <family val="2"/>
        <charset val="238"/>
      </rPr>
      <t>Wydarzenia o zasięgu regionalnym/lokalnym w 2016 r. to:</t>
    </r>
    <r>
      <rPr>
        <sz val="10"/>
        <color indexed="8"/>
        <rFont val="Calibri"/>
        <family val="2"/>
        <charset val="238"/>
      </rPr>
      <t xml:space="preserve"> II Forum Hodowców i Producentów Trzody Chlewnej Kujaw i Pomorza - konferencja 04.11.2016 r w Przysieku, Skracanie łańcucha żywnościowego w ramach proekologicznej hodowli gęsi - 20 i 25.10.2016 r.szkolenie, warsztaty, spotkanie hodowców, Zrównoważone użytkowanie zasobów wodnych i glebowych w okresach posusznych – innowacyjne rozwiązania (konferencja 18.11.2016 r., 4 warsztaty), Kujawsko-Pomorska Wieprzowina produkowana z wykorzystaniem polskiego białka pochodzenia roślinnego (14.10.2016 r. spotkanie inauguracyjne, w okresie od 20.10.-21.11.2016 r. cykl 5 warsztatów, 25.11.2016 r. konferencja podsumowująca), Innowacyjne systemy uprawy roślin polowych przy użyciu agregatów nowej generacji (07.09.2016 r. warsztaty/pokaz), Upowszechnianie wiedzy na temat legalnej sprzedaży produktów lokalnych i tradycyjnych z branży rolno-spożywczej oraz tworzenie kanałów sprzedaży (szkolenie), Droga rozwoju dla innowacyjnych rolników i przedsiębiorców. Warsztaty informacyjno-motywacyjne (04-05.07. i 06-07.07.2016 r.warsztaty) oraz stoisko informacyjne dotyczące SIR podczas Dożynek Wojewódzkich w Piotrkowie Kuj. w dn. 28.08.2016 r.</t>
    </r>
  </si>
  <si>
    <r>
      <rPr>
        <b/>
        <sz val="10"/>
        <color indexed="8"/>
        <rFont val="Calibri"/>
        <family val="2"/>
        <charset val="238"/>
      </rPr>
      <t>W 2015 r. zasięg lokalny/regionalny</t>
    </r>
    <r>
      <rPr>
        <sz val="10"/>
        <color indexed="8"/>
        <rFont val="Calibri"/>
        <family val="2"/>
        <charset val="238"/>
      </rPr>
      <t xml:space="preserve"> - 2 seminaria, 2 szkolenia, 2 konferencje -łacznie 636 osób. </t>
    </r>
    <r>
      <rPr>
        <b/>
        <sz val="10"/>
        <color indexed="8"/>
        <rFont val="Calibri"/>
        <family val="2"/>
        <charset val="238"/>
      </rPr>
      <t>Zasięg lokalny/regionalny 2016 r.</t>
    </r>
    <r>
      <rPr>
        <sz val="10"/>
        <color indexed="8"/>
        <rFont val="Calibri"/>
        <family val="2"/>
        <charset val="238"/>
      </rPr>
      <t xml:space="preserve"> - 3000 odwiedzających i 40 wystawców uczestniczących w Dożynkach Wojewódzkich w Piotrkowie Kuj. 28.08.2016 r. (według wskazań organizatora) oraz 50 osób (na podstawie list obecności) uczestniczących w warsztatach motywacyjno-informacyjnych pt. "Droga rozwoju dla innowacyjnych rolników i przedsiębiorców" 4-5.07. oraz 6-7.07.2016 r. w Przysieku. II Forum Hodowców i Producentów Trzody Chlewnej Kujaw i Pomorza 04.11.2016 r. w Przysieku (konferencja – 131 osób), Skracanie łańcucha żywnościowego w ramach proekologicznej hodowli gęsi (szkolenie – 16 osób, warsztaty – 17 osób, spotkanie hodowców 26 osób), Zrównoważone użytkowanie zasobów wodnych i glebowych w okresach posusznych – innowacyjne rozwiązania (konferencja 125 osób, 4 warsztaty – łącznie 128 uczestników), Kujawsko-Pomorska Wieprzowina produkowana z wykorzystaniem polskiego białka pochodzenia roślinnego (spotkanie inauguracyjne – 22 osoby, 5 warsztatów – łącznie 110 osób, konferencja podsumowująca – 70 uczestników), Innowacyjne systemy uprawy roślin polowych przy użyciu agregatów nowej generacji - (warsztaty/pokaz – 140 uczestników), Upowszechnianie wiedzy na temat legalnej sprzedaży produktów lokalnych i tradycyjnych z branży rolno-spożywczej oraz tworzenie kanałów sprzedaży (szkolenie 2-dniowe – 20 osób). </t>
    </r>
    <r>
      <rPr>
        <b/>
        <sz val="10"/>
        <color indexed="8"/>
        <rFont val="Calibri"/>
        <family val="2"/>
        <charset val="238"/>
      </rPr>
      <t>Zasięg krajowy 2016 r.</t>
    </r>
    <r>
      <rPr>
        <sz val="10"/>
        <color indexed="8"/>
        <rFont val="Calibri"/>
        <family val="2"/>
        <charset val="238"/>
      </rPr>
      <t xml:space="preserve"> - stoisko informacyjne SIR podczas targów Dni Otwartych Drzwi w Zarzeczewie 4-5.06.2016 r.  (15 000 odwiedzających i 206 wystawców na podstawie wskazań organizatora), stoisko informacyjne SIR podczas DNI POLA w Grubnie 18-19.06.2016 r. (25000 odwiedzających i 221 wystawców na podstawie wskazań organizatora) oraz 106 osób (na podstawi listy obecności) uczestników konferencji pt. "Innowacyjne rozwiązania w zarządzaniu stadem bydła mlecznego w zautomatyzowanej oborze" w siedzibie KPODR Minikowie oraz impreza promocyjno-targowa Święto Gęsi na Krajnie - (1000 odwiedzających i 80 wystawców na podstawie wskazań organizatora). </t>
    </r>
    <r>
      <rPr>
        <b/>
        <sz val="10"/>
        <color indexed="8"/>
        <rFont val="Calibri"/>
        <family val="2"/>
        <charset val="238"/>
      </rPr>
      <t>Zasięg międzynarodowy 2016 r.</t>
    </r>
    <r>
      <rPr>
        <sz val="10"/>
        <color indexed="8"/>
        <rFont val="Calibri"/>
        <family val="2"/>
        <charset val="238"/>
      </rPr>
      <t xml:space="preserve"> - stoisko SIR na Międzynarodowych Targach Rolno-Przemysłowych AGRO-TECH 2-3.07.2016 r. (35000 odwiedzających według wskazań organizatora) oraz 500 osób (na podstawie listy obecności) uczestniczących w praktycznym pokazie - zautomatyzowana obora podczas Targów AGRO-TECH w Minikowie, a także Wyjazd studyjny do Francji - w dn. 2-8.10.2016 r. na Europejskie Targi Hodowlane w Clemont-Ferrand - 26 uczestników.</t>
    </r>
  </si>
  <si>
    <t>W 2015 r. Ośreodek nie prowadził zakładki o SIR na stronie internetowej. W 2016 r. została utworzona zakładka o Sieci na rzecz innowacji w rolnictwie i na obszarach wiejskich na stronie www.kpodr.pl, na której zamieszczono informacje i artykuły - łącznie 34.</t>
  </si>
  <si>
    <r>
      <rPr>
        <b/>
        <sz val="10"/>
        <color theme="1"/>
        <rFont val="Calibri"/>
        <family val="2"/>
        <charset val="238"/>
        <scheme val="minor"/>
      </rPr>
      <t>W 2015 roku</t>
    </r>
    <r>
      <rPr>
        <sz val="10"/>
        <color theme="1"/>
        <rFont val="Calibri"/>
        <family val="2"/>
        <charset val="238"/>
        <scheme val="minor"/>
      </rPr>
      <t xml:space="preserve"> wydano trzy broszury: 1 - "I Forum Hodowców i Producentów Trzody Chlewnej Kujaw i Pomorza"  - 100 egz., 2- "Innowacje w tuczu trzody chlewnej z wykorzystaniem krajowych żródeł białka roślinnego" - 50 egz., 3- "Polowa pojemność wodna gleb i integrowana ochrona" - 500 egz. </t>
    </r>
    <r>
      <rPr>
        <b/>
        <sz val="10"/>
        <color theme="1"/>
        <rFont val="Calibri"/>
        <family val="2"/>
        <charset val="238"/>
        <scheme val="minor"/>
      </rPr>
      <t>W 2016 roku</t>
    </r>
    <r>
      <rPr>
        <sz val="10"/>
        <color theme="1"/>
        <rFont val="Calibri"/>
        <family val="2"/>
        <charset val="238"/>
        <scheme val="minor"/>
      </rPr>
      <t xml:space="preserve"> wydano ulotkę informacyjną "Dołącz do SIR" - nakład 5000 egz., opublikowano 18 artykułów informujących o SIR i rozwiązaniach innowacyjnych w czasopismie branżowym - miesięczniku "Wieś Kujawsko-Pomorska" .</t>
    </r>
  </si>
  <si>
    <r>
      <rPr>
        <b/>
        <sz val="10"/>
        <color theme="1"/>
        <rFont val="Calibri"/>
        <family val="2"/>
        <charset val="238"/>
        <scheme val="minor"/>
      </rPr>
      <t>W 2015 r</t>
    </r>
    <r>
      <rPr>
        <sz val="10"/>
        <color theme="1"/>
        <rFont val="Calibri"/>
        <family val="2"/>
        <charset val="238"/>
        <scheme val="minor"/>
      </rPr>
      <t xml:space="preserve">. nawiązano współpracę i przystąpiono do przygotowania etapu organizacyjnego powołania grup operacyjnych, których celem będzie wdrożenie określonych innowacji. Przedstawiciele Ośrodka rozmawiali między innymi z OHZ Osięciny, BIN, Chłodnia Run we Włocławku, Narolco Rypin, Burmistrz Miasta i Gminy Dobrzyń , Lewandowski Kruszynek. </t>
    </r>
    <r>
      <rPr>
        <b/>
        <sz val="10"/>
        <color theme="1"/>
        <rFont val="Calibri"/>
        <family val="2"/>
        <charset val="238"/>
        <scheme val="minor"/>
      </rPr>
      <t>W 2016 r</t>
    </r>
    <r>
      <rPr>
        <sz val="10"/>
        <color theme="1"/>
        <rFont val="Calibri"/>
        <family val="2"/>
        <charset val="238"/>
        <scheme val="minor"/>
      </rPr>
      <t>. nawiązano współpracę i odbyło się 12 spotkań informacyjno-organizacyjnych, których celem będzie wdrożenie określonych innowacji. Przedstawiciele Ośrodka rozmawiali między innymi z: OHZ Osięciny, BIN, Czajkowski Uprawa Pasowa, Korycki TECHKor, Wichliński EUROCENTER, Agrolok, Team-Rol, Geofabryka, Lechpol, Grabowski, Walter i Modraszewski.</t>
    </r>
  </si>
  <si>
    <t>Udział brokera i koordynatora SIR w konsultacjach z partnerami zewnętrznymi na terenie województwa kujawsko-pomorskiego.</t>
  </si>
  <si>
    <t>W 2016 r. odbyło się 18 spotkań o charakterze szkoleniowym z rolnikami i przedstawicielami firm branży rolniczej, na których przedstawiono informację o znaczeniu innowacji w rolnictwie i na obszarach wiejskich. Inne - wizyta w Instytucie Technologiczno-Przyrodniczym Oddział w Poznaniu (16.03.2016 r.) w ramach planowanej współpracy, której celem było zapoznanie się z działalnością, bazą badawczą i ofertą związaną z odnawialnymi źródłami energii, które mogą być wykorzystane w gospodarstwach rolnych.</t>
  </si>
  <si>
    <t>W wizycie w Instytucie Technologiczno-Przyrodniczym w Poznaniu 16.03.2016 r. w celu zapoznania się z działalnością tej jednostki, szczególnie w zakresie OZE uczestniczyłyo 4 pracowników Kujawsko-Pomorskiego Ośrodka Doradztwa Rolniczego w Minikowie.</t>
  </si>
  <si>
    <t xml:space="preserve">Środki na funkcjonowanie i pochodne obejmujące: wynagrodzenia pracowników zajmujących się SIR, delegacje, koszty związane z wyjazdami służbowymi, szkoleniami. Koszty działań zamieszczonych w tabeli 2.1,2.3, 4.2, 4.4 (dotyczące 2016 r.) oraz 4.2 (dotyczące 2015 r.) mieszczą się w kosztach funkcjonowania. </t>
  </si>
  <si>
    <t>Budzet w PLN</t>
  </si>
  <si>
    <t>Budżet w PLN</t>
  </si>
  <si>
    <t>administrowanie zakładką SIR na stronie www.wodr.konskowola.pl  w ramach funcjonowania, brak możliwości sprawdzenia liczby unikalnych użytkowników strony</t>
  </si>
  <si>
    <t>artykuł „Sieć na rzecz innowacji” w gazecie wydawanej przez LODR w Końskowoli -  Lubelskie Aktualności Rolnicze nakład 6600 egz., zadanie wykonane w ramach funcjnonowania Sieci</t>
  </si>
  <si>
    <t xml:space="preserve">inne - wyjazd szkoleniowo-studyjny </t>
  </si>
  <si>
    <t>liczba uczestników innych lub … - uczestnicy wyjazdu szkoleniowo-studyjnego
przedstawiciele innych grup interesariuszy - rolnicy</t>
  </si>
  <si>
    <t>Środki na funkcjonowanie obejmujące: wynagrodzenia pracowników, delegacje, administrowanie zakładką SIR na stronie WODR, szkolenie pracowników SIR, pozyskiwanie Partnerów, współpraca z jednostkami badawczymi</t>
  </si>
  <si>
    <t>Lubuski Ośrodek Doradztwa Rolniczego</t>
  </si>
  <si>
    <t>PO 2014-2015 w ramach jednej operacji zrealizowano dwie konferencje Innowacje rolnicze - nauka i dobra praktyka, Innowacje rolnicze szansą dla lubuskiego rolnictwa i przetwórstwa rolno-spożywczego
PO 2016-2017 zrealizowano 11 operacji, w tym: 1 operacja składała się z dwóch szkoleń; 1 operacja z 6 przedsiewzięć informacyjno-promocyjnych i aktywizacyjnych tj. stoiska</t>
  </si>
  <si>
    <t>PO 2014-2015 w ramach jednej operacji zrealizowano dwie konferencje Innowacje rolnicze - nauka i dobra praktyka, Innowacje rolnicze szansą dla lubuskiego rolnictwa i przetwórstwa rolno-spożywczego
PO 2016-2017 zrealizowano 11 operacji, w tym: 1 operacja składała się z dwóch szkoleń; 1 operacja z 6 przedsiewzięć informacyjno-promocyjnych i aktywizacyjnych tj. stoiska, dodatkowo:
- 10 dziesięciu laureatów konkursu wiedzy o innowacjach w rolnictwie i na obszarach wiejskich - Targi rolnicze Lubniewice (Glisno)
- 10 dziesięciu laureatów konkursu wiedzy o innowacjach w rolnictwie i na obszarach wiejskich - AGRO-TARG Kalsk
- 10 dziesięciu laureatów konkursu wiedzy o innowacjach w rolnictwie i na obszarach wiejskich - Jesień w Gliśnie (Glisno)
- 10 dziesięciu laureatów konkursu wiedzy o innowacjach w rolnictwie i na obszarach wiejskich - Kiermasz Ogrodniczy Kalsk
- 10 dziesięciu laureatów konkursu wiedzy o innowacjach w rolnictwie i na obszarach wiejskich - Lubuskie Forum Gospodarcze
- 10 dziesięciu laureatów konkursu wiedzy o innowacjach w rolnictwie i na obszarach wiejskich Dożynki Wojewódzkie</t>
  </si>
  <si>
    <t>2014-2015
Wydano broszury informacyjne dot. SIR - 2000 szt.; opublikowano 3 artykuły w lubuskich Aktualnściach Rolniczych oraz 2 ogłoszenia; na stronie internetowej LODR zamieszczono 2 ogłoszenia; informacja o naborze propozyci operacji SIR
2016-2017
opublikowano 37 ogloszeń/ artykułów w Lubuskich Aktualnościach Rolniczych, zamieszczono 31 informacji internetowych</t>
  </si>
  <si>
    <t>2016-2017
zorganizowano 6 konkursów wiedzy nt. innowacji w rolnictwie i na obszarach wiejskich w ramach operacji Stoiska inforacyjno-promocyjne nosnikiem informacji o innowacjach, zorganizane podczas imprez targowych</t>
  </si>
  <si>
    <t>Koszty funkcjonowania obejmują: 
w 2014-2015                                       
1. Organizacja 2-ch spotkań informacyjno-szkoleniowych dla pracowników LODR               
2. Wynagrodzenia pracowników, którzy w ramach zadań:                           
-  prowadzą bieżącą wymianę informacji oraz konsultacje w/s SIR,             
- nawiązując współpracę z jednostkami naukowymi, instytutami i organizacjami,               
-promowali Sieć                                        
3. Wyjazdy służbowe - krajowe 
4. Adaptacja i doposażenie biur
2016-2017
koszty funkcjonowania: płace, wraz z pochodnymi, delegacje, paliwo, mat.biurowe, telefony</t>
  </si>
  <si>
    <t>brak statystyk wejść na zakładkę SIR na stronie ŁODR</t>
  </si>
  <si>
    <t>rolnicy, hodowcy, plantatorzy, przedsiębiorcy, weterynarze, pracownicy instytutów naukowych itp..</t>
  </si>
  <si>
    <t>Małopolski Ośrodek Doradztwa Rolniczego w Karniowicach</t>
  </si>
  <si>
    <t xml:space="preserve">Strona internetowa Małopolskiego Ośrodka Doradztwa Rolniczego w Karniowicach  nie posiada w chwili obecnej funkcjonalności pozwalającej na analizowanie szczegółowych statystyk odwiedzin, stąd niemożliwe jest określenie liczby wejść na podstronę SIR.  </t>
  </si>
  <si>
    <t>W ramach przedstawicieli innych grup interesariuszy uwzględniono w szczególności  rolników.</t>
  </si>
  <si>
    <t>Koszty funkcjonowania obejmowały wynagrodzenia pracowników biura SIR wraz z pochodnymi, koszty przejazdów  a w wypadku wydatków poniesionych w roku  2015 także koszty zakupu sprzętu niezbędnego do wyposazenia biura.</t>
  </si>
  <si>
    <t>Mazowiecki Ośrodek Doradztwa Rolniczego</t>
  </si>
  <si>
    <t>W roku 2015 oraz 2016: 1.Mazowieckie Dni Rolnictwa w Płońsku - impreza o zasięgu krajowym, której MODR jest organizatorem. Podczas  Mazowieckich Dni Rolnictwa  
zorganizowano punkt konsultacyjny dla Instytutów na temat innowacji.                             2. Stoisko promocyjne SIR podczas Międzynarodowych Dni z Doradztwem w Siedlcach</t>
  </si>
  <si>
    <t>2015: nie da się precyzyjnie oszacować ilości odwiedzających stoisko. Przyjęto szacunkową ilośc odwiedzających stoisko po ok 100. 2016: 1. XVII Mazowieckie Dni Rolnictwa w Płońsku - impreza o zasięgu krajowym, zgromadziła ponad 430 wystawców oraz ok. 60 tys. odwiedzających. Punkt konsultacyjny odwiedziło ok. 100 osób (oszacowano na podstawie rozdanych ulotek SIR).                                                      2. XXIII Międzynarodowe Dni z Doradztwem w Siedlcach - impreza o zasięgu krajowym- ok. 100 tys. odwiedzających. Rozdano 150 ulotek dlatego liczbę osób odzwiedzających stoisko oszacowano na tej podstawie.</t>
  </si>
  <si>
    <t>zakładka SIR na stronie MODR</t>
  </si>
  <si>
    <t xml:space="preserve"> INNE - 1. "Możliwości utylizacji odpadów organicznych, poprawy plonowania i właściwości gleb przez zastosowanie biowęgla" - organizator, 1 konferencja dla 50 osób  2. Perspektywy kreowania korytarzy ekologicznych w skali lokalnej z korzyścią dla przyrody i rolnika -organizator -  1 spotkanie dla 50 osób 3. Konferecja "Utworzenie Mazowieckiego Parku Naukowo Technologicznego Poświętne w Płońsku" 4. "Nauka praktyce w obszarze innowacyjnych technologii rolniczych w kształtowaniu i ochronie środowiska" 3 konferencje</t>
  </si>
  <si>
    <t>1. "Możliwości utylizacji odpadów organicznych, poprawy plonowania i właściwości gleb przez zastosowanie biowęgla" -      1 konferencja dla 50 osób      2. 3 konferencje w ramach operacji "Nauka praktyce w kształtoaniu i ochronie środowiska"                                                 3. Perspektywy kreowania korytarzy ekologicznych w skali lokalnej z korzyścią dla przyrody i rolnika - 1 spotkanie dla 50 osób                     4. Konferencja w ramach operacji "Utworzenie Mazowieckiego PArku Naukowo Technologicznego Poświętne w Płońsku"     Gruęa innych interesariuszy stanowią rolnicy/mieszkańcy obszarów wiejskich/przetwórcy/     producenci rolni</t>
  </si>
  <si>
    <t>Wydarzenia z tab. 1 były organizowane przy okazji dużych imprez MODR i na ich organizację nie wykorzystywano środków SIR. Strona internetowa - zakładka SIR funkcjonuje w ramach strony www.modr.mazowsze.pl i nie generuje kosztów. 2015 - utrzymanie 1 etatu koordynatora (2 osoby po 50%), wyposażenie biura, remont biura, zakup sprzętu; 2016 - utrzymanie 1 etatu koordynatora (2 osoby po 50%)</t>
  </si>
  <si>
    <t>Opolski Ośrodek Doradztwa Rolniczego w Łosiowie</t>
  </si>
  <si>
    <r>
      <rPr>
        <b/>
        <sz val="10"/>
        <color indexed="8"/>
        <rFont val="Calibri"/>
        <family val="2"/>
        <charset val="238"/>
      </rPr>
      <t>ROK 2015</t>
    </r>
    <r>
      <rPr>
        <sz val="10"/>
        <color indexed="8"/>
        <rFont val="Calibri"/>
        <family val="2"/>
        <charset val="238"/>
      </rPr>
      <t xml:space="preserve"> Operacja 1 pn.:"Spotkania informacyjno-szkoleniowe z zakresu tworzenia Sieci na rzecz innowacji w rolnictwie i na obszarach wiejskich, jako przykład innowacyjnego podejścia na rzecz rolnictwa i  rozwoju obszarów wiejskich województwa opolskiego"-P1; Operacja 2 pn.:"Wydanie czasopisma pt.:Dialog Energetyczny-Platforma energetyki konwencjonalnej i odnawialnej"-P1 - </t>
    </r>
    <r>
      <rPr>
        <u/>
        <sz val="10"/>
        <color indexed="8"/>
        <rFont val="Calibri"/>
        <family val="2"/>
        <charset val="238"/>
      </rPr>
      <t>zasięg krajowy</t>
    </r>
    <r>
      <rPr>
        <sz val="10"/>
        <color indexed="8"/>
        <rFont val="Calibri"/>
        <family val="2"/>
        <charset val="238"/>
      </rPr>
      <t xml:space="preserve">; </t>
    </r>
    <r>
      <rPr>
        <b/>
        <sz val="10"/>
        <color indexed="8"/>
        <rFont val="Calibri"/>
        <family val="2"/>
        <charset val="238"/>
      </rPr>
      <t>ROK 2016</t>
    </r>
    <r>
      <rPr>
        <sz val="10"/>
        <color indexed="8"/>
        <rFont val="Calibri"/>
        <family val="2"/>
        <charset val="238"/>
      </rPr>
      <t xml:space="preserve"> Operacja 1 pn.:"Sieć na rzecz innowacji w rolnictwie i na obszarach wiejskich dla województwa opolskiego", obejmująca 1 konferencję (maj) i 6 spotkań informacyjno-szkoleniowych (październik)-P1; Operacja 2 pn.:"Forum Agro Inwestor OZE - dobre przykłady wdrażania innowacji. Gospodarka niskoemisyjna w rolnictwie", obejmująca 1 forum (maj)-P1,P5; Operacja 3 pn.:"Konferencja promująca innowacyjność i dobre praktyki w gospodarstwach rolnych, przedsiębiorstwach przetwórstwa rolno-spożywczego i usług rolniczych biorących udział w konkursie AgroLiga 2016", obejmująca 1 konferencję (czerwiec)-P1,P2; Operacja 4 pn."W przyjaźni z naturą", obejmująca 11 warsztatów (wrzesień-październik), 1 konferencję (listopad), 1 katalog (listopad) -P1,P5; Operacja 5 pn."Zrozumieć innowacje w rolnictwie i na obszarach wiejskich – ponadregionalna wymiana doświadczeń w zakresie funkcjonowania SIR na przykładzie działań tworzenia sieci kontaktów i wdrażania innowacji na obszarach wiejskich", obejmująca 1 warsztat (listopad)-P1; Operacja 6 pn.:"Przedsiębiorczość na obszarach wiejskich – innowacyjność organizacyjna i marketingowa”,obejmująca 1 warsztat-P1,P2; współorganizacja wydarzeń krajowych: Urząd Marszałkowski Województwa Opolskiego,Politechnika Opolska, Uniwersytet Ekonomiczny we Wrocławiu, Uniwersytet Opolski</t>
    </r>
  </si>
  <si>
    <r>
      <rPr>
        <b/>
        <sz val="10"/>
        <color indexed="8"/>
        <rFont val="Calibri"/>
        <family val="2"/>
        <charset val="238"/>
      </rPr>
      <t>ROK 2015</t>
    </r>
    <r>
      <rPr>
        <sz val="10"/>
        <color indexed="8"/>
        <rFont val="Calibri"/>
        <family val="2"/>
        <charset val="238"/>
      </rPr>
      <t xml:space="preserve"> liczba uczestników Operacja 1 pn.:"Spotkania informacyjno-szkoleniowe z zakresu tworzenia Sieci na rzecz innowacji w rolnictwie i na obszarach wiejskich, jako przykład innowacyjnego podejścia na rzecz rolnictwa i  rozwoju obszarów wiejskich województwa opolskiego"-80 osób; </t>
    </r>
    <r>
      <rPr>
        <b/>
        <sz val="10"/>
        <color indexed="8"/>
        <rFont val="Calibri"/>
        <family val="2"/>
        <charset val="238"/>
      </rPr>
      <t>ROK 2016</t>
    </r>
    <r>
      <rPr>
        <sz val="10"/>
        <color indexed="8"/>
        <rFont val="Calibri"/>
        <family val="2"/>
        <charset val="238"/>
      </rPr>
      <t xml:space="preserve"> liczba uczestników Operacja 1 pn.:"Sieć na rzecz innowacji w rolnictwie i na obszarach wiejskich dla województwa opolskiego"-320 osób, w tym: konferencja 80 osób, 6 szkoleń 240 osób; liczba uczestników Operacja 2 pn.:"Forum Agro Inwestor OZE - dobre przykłady wdrażania innowacji. Gospodarka niskoemisyjna w rolnictwie": 80 osób; liczba uczestników Operacja 3 pn.:"Konferencja promująca innowacyjność i dobre praktyki w gospodarstwach rolnych, przedsiębiorstwach przetwórstwa rolno-spożywczego i usług rolniczych biorących udział w konkursie AgroLiga 2016"-100 osób; liczba uczestników Operacja 4 pn.:"W przyjaźni z naturą"- 168 osób, w tym: konferencja 80 osób, 11 warsztatów 88 osób; liczba uczestników Operacja 5 pn.:"Zrozumieć innowacje w rolnictwie i na obszarach wiejskich – ponadregionalna wymiana doświadczeń w zakresie funkcjonowania SIR na przykładzie działań tworzenia sieci kontaktów i wdrażania innowacji na obszarach wiejskich"-25 osób; liczba uczestników Operacja 6 pn.:"Przedsiębiorczość na obszarach wiejskich-innowacyjność organizacyjna i marketingowa"-35 osób</t>
    </r>
  </si>
  <si>
    <r>
      <t xml:space="preserve">* </t>
    </r>
    <r>
      <rPr>
        <b/>
        <sz val="10"/>
        <color indexed="8"/>
        <rFont val="Calibri"/>
        <family val="2"/>
        <charset val="238"/>
      </rPr>
      <t>ROK 2015</t>
    </r>
    <r>
      <rPr>
        <sz val="10"/>
        <color indexed="8"/>
        <rFont val="Calibri"/>
        <family val="2"/>
        <charset val="238"/>
      </rPr>
      <t xml:space="preserve"> całkowita liczba wizyt na stronie oodr.pl, na której istnieje zakładka SIR od początku istnienia do dnia 31.12.2015 r. </t>
    </r>
    <r>
      <rPr>
        <b/>
        <sz val="10"/>
        <color indexed="8"/>
        <rFont val="Calibri"/>
        <family val="2"/>
        <charset val="238"/>
      </rPr>
      <t>ROK 2016</t>
    </r>
    <r>
      <rPr>
        <sz val="10"/>
        <color indexed="8"/>
        <rFont val="Calibri"/>
        <family val="2"/>
        <charset val="238"/>
      </rPr>
      <t xml:space="preserve"> całkowita liczba wizyt na stronie oodr.pl z zakładką SIR od odnia 01.01.2016 r. do dnia 31.12.2016 r.</t>
    </r>
  </si>
  <si>
    <r>
      <rPr>
        <b/>
        <sz val="10"/>
        <color theme="1"/>
        <rFont val="Calibri"/>
        <family val="2"/>
        <charset val="238"/>
        <scheme val="minor"/>
      </rPr>
      <t xml:space="preserve">ROK 2015 </t>
    </r>
    <r>
      <rPr>
        <sz val="10"/>
        <color theme="1"/>
        <rFont val="Calibri"/>
        <family val="2"/>
        <charset val="238"/>
        <scheme val="minor"/>
      </rPr>
      <t>łączna liczba publikacji: 1 publikacja w ramach jednej operacji, tj. Operacja 1 pn.:"Wydanie czasopisma pt.:Dialog Energetyczny-Platforma energetyki konwencjonalnej i odnawialnej"-P1-czasopismo w nakładzie 2000 sztuk</t>
    </r>
    <r>
      <rPr>
        <b/>
        <sz val="10"/>
        <color theme="1"/>
        <rFont val="Calibri"/>
        <family val="2"/>
        <charset val="238"/>
        <scheme val="minor"/>
      </rPr>
      <t xml:space="preserve">; </t>
    </r>
    <r>
      <rPr>
        <sz val="10"/>
        <color theme="1"/>
        <rFont val="Calibri"/>
        <family val="2"/>
        <charset val="238"/>
        <scheme val="minor"/>
      </rPr>
      <t>1 ulotka informacyjna w ramach Opercji 1 pn.:"Spotkania informacyjno-szkoleniowe z zakresu tworzenia Sieci na rzecz innowacji w rolnictwie i na obszarach wiejskich, jako przykład innowacyjnego podejścia na rzecz rolnictwa i  rozwoju obszarów wiejskich województwa opolskiego"-P1-ulotka w nakładzie 5000 sztuk</t>
    </r>
    <r>
      <rPr>
        <b/>
        <sz val="10"/>
        <color theme="1"/>
        <rFont val="Calibri"/>
        <family val="2"/>
        <charset val="238"/>
        <scheme val="minor"/>
      </rPr>
      <t xml:space="preserve">; ROK 2016 </t>
    </r>
    <r>
      <rPr>
        <sz val="10"/>
        <color theme="1"/>
        <rFont val="Calibri"/>
        <family val="2"/>
        <charset val="238"/>
        <scheme val="minor"/>
      </rPr>
      <t>łączna liczba publikacji: 2 publikacje w ramach dwóch operacji ,tj. Operacja 1 pn.:"Konferencja promująca innowacyjność i dobre praktyki w gospodarstwach rolnych, przedsiębiorstwach przetwórstwa rolno-spożywczego i usług rolniczych biorących udział w konkursie AgroLiga 2016"- P1,P2-katalog w nakładzie 120 sztuk; Operacja 2 pn.:"W przyjaźni z naturą"-P1,P5-katalog w nakładzie 500 sztuk</t>
    </r>
  </si>
  <si>
    <r>
      <rPr>
        <b/>
        <sz val="10"/>
        <color indexed="8"/>
        <rFont val="Calibri"/>
        <family val="2"/>
        <charset val="238"/>
      </rPr>
      <t>ROK 2016</t>
    </r>
    <r>
      <rPr>
        <sz val="10"/>
        <color indexed="8"/>
        <rFont val="Calibri"/>
        <family val="2"/>
        <charset val="238"/>
      </rPr>
      <t xml:space="preserve"> 2 filmy-P1,P2; 1 konkurs-P1,P5; 2 spoty radiowe-P1,P5; 2 ogłoszenia w prasie-P1,P5;1 ogłoszenie na portalu internetowym-P1,P5; 3 zaproszenia dla uczestników wydarzeń-P1,P2,P5</t>
    </r>
  </si>
  <si>
    <r>
      <rPr>
        <b/>
        <sz val="10"/>
        <color theme="1"/>
        <rFont val="Calibri"/>
        <family val="2"/>
        <charset val="238"/>
        <scheme val="minor"/>
      </rPr>
      <t>ROK 2015</t>
    </r>
    <r>
      <rPr>
        <sz val="10"/>
        <color theme="1"/>
        <rFont val="Calibri"/>
        <family val="2"/>
        <scheme val="minor"/>
      </rPr>
      <t xml:space="preserve"> całkowita liczba spotkań informacyjno-szkoleniowych w ramach Operacji 1 pn.:"Spotkania informacyjno-szkoleniowe z zakresu tworzenia Sieci na rzecz innowacji w rolnictwie i na obszarach wiejskich, jako przykład innowacyjnego podejścia na rzecz rolnictwa i  rozwoju obszarów wiejskich województwa opolskiego"-4 spotkania; </t>
    </r>
    <r>
      <rPr>
        <b/>
        <sz val="10"/>
        <color theme="1"/>
        <rFont val="Calibri"/>
        <family val="2"/>
        <charset val="238"/>
        <scheme val="minor"/>
      </rPr>
      <t>ROK 2016</t>
    </r>
    <r>
      <rPr>
        <sz val="10"/>
        <color theme="1"/>
        <rFont val="Calibri"/>
        <family val="2"/>
        <scheme val="minor"/>
      </rPr>
      <t xml:space="preserve"> całkowita liczb szkoleń/warsztatów w ramach Operacji-19, w tym: 6 szkoleń w ramach Operacji 1 pn.:"Konferencja i spotkania informacyjno-szkoleniowe pt.:Sieć na rzecz innowacji w rolnictwie i na obszarach wiejskich dla województwa opolskiego", 11 warsztatów w ramach Operacji 2 pn.:"Organizacja zadania pt.:W przyjaźni z naturą, obejmującego konferencję, konkursy i warsztaty, promującego innowacyjne rozwiązania w gospodarstwach rolnych", 1 warsztat w ramach Operacji 3 pn.:"Zrozumieć innowacje w rolnictwie i na obszarach wiejskich – ponadregionalna wymiana doświadczeń w zakresie funkcjonowania SIR na przykładzie działań tworzenia sieci kontaktów i wdrażania innowacji na obszarach wiejskich", 1 warsztat w ramach Operacji 4 pn.:"Szkolenie w formie warsztatów pt.:Przedsiębiorczość na obszarach wiejskich – innowacyjność organizacyjna i marketingowa”</t>
    </r>
  </si>
  <si>
    <r>
      <t xml:space="preserve">ROK 2015 </t>
    </r>
    <r>
      <rPr>
        <sz val="10"/>
        <color indexed="8"/>
        <rFont val="Calibri"/>
        <family val="2"/>
        <charset val="238"/>
      </rPr>
      <t xml:space="preserve">łączna liczba uczestników 4 spotkań w ramach Operacji 1 pn.:"Spotkania informacyjno-szkoleniowe z zakresu tworzenia Sieci na rzecz innowacji w rolnictwie i na obszarach wiejskich, jako przykład innowacyjnego podejścia na rzecz rolnictwa i  rozwoju obszarów wiejskich województwa opolskiego"-80 osób, w tym: przedstawiciele uczelni wyższych, studenci, rolnicy; </t>
    </r>
    <r>
      <rPr>
        <b/>
        <sz val="10"/>
        <color indexed="8"/>
        <rFont val="Calibri"/>
        <family val="2"/>
        <charset val="238"/>
      </rPr>
      <t>ROK 2016</t>
    </r>
    <r>
      <rPr>
        <sz val="10"/>
        <color indexed="8"/>
        <rFont val="Calibri"/>
        <family val="2"/>
        <charset val="238"/>
      </rPr>
      <t xml:space="preserve"> łączna liczba uczestników szkoleń/warsztatów w ramach czterech Operacji-388 osób, w tym: 6 szkoleń w ramach Operacji 1 pn.:"Konferencja i spotkania informacyjno-szkoleniowe pt.:Sieć na rzecz innowacji w rolnictwie i na obszarach wiejskich dla województwa opolskiego"-240 osób, 11 warsztatów w ramach Operacji 2 pn.:"Organizacja zadania pt.:W przyjaźni z naturą, obejmującego konferencję, konkursy i warsztaty, promującego innowacyjne rozwiązania w gospodarstwach rolnych"-88 osób, 1 warsztat w ramach Operacji 3 pn.:"Zrozumieć innowacje w rolnictwie i na obszarach wiejskich – ponadregionalna wymiana doświadczeń w zakresie funkcjonowania SIR na przykładzie działań tworzenia sieci kontaktów i wdrażania innowacji na obszarach wiejskich"-25 osób, 1 warsztat w ramach Operacji 4 pn.:"Szkolenie w formie warsztatów pt.:Przedsiębiorczość na obszarach wiejskich – innowacyjność organizacyjna i marketingowa”-35 osób</t>
    </r>
  </si>
  <si>
    <t>inne działania - funkcjonowanie SIR w okresach: 15.03 - 31.12.2015 r. oraz 01.01-31.12.2016 r., w tym: koszty delegacji, wynagrodzenia pracowników, inne koszty rodzajowe w ramach wydatków bieżących</t>
  </si>
  <si>
    <t>PODKARPACKI OŚRODEK DORADZTWA ROLNICZEGO</t>
  </si>
  <si>
    <r>
      <t>Komentarze</t>
    </r>
    <r>
      <rPr>
        <sz val="12"/>
        <color indexed="8"/>
        <rFont val="Calibri"/>
        <family val="2"/>
      </rPr>
      <t xml:space="preserve"> 
(proszę wskazać co jest rozumiane przez kategorię "inne")</t>
    </r>
  </si>
  <si>
    <t xml:space="preserve">1.konferencje- 6
2.udział w targach i innych imprezach promocyjnych- 8
3. - spotkania informacyjne dot. tematyki ,, Odnawialne Źródła Energii jako alternatywne rozwiązania stosowane w rolnictwie, leśnictwie i przetwórstwie '' - 21  
Uczestnikami wszystkich wydarzeń byli rolnicy, leśnicy ,  przedsiębiorcy, doradcy , przedstawiciele instytucji rolniczych i okłorolniczych. 
</t>
  </si>
  <si>
    <t xml:space="preserve">. - konferencje-  liczba uczestników  - 520 osób 
.- spotkania informacyjne dot. tematyki ,, Odnawialne Źródła Energii jako alternatywne rozwiązania stosowane w rolnictwie, leśnictwie i przetwórstwie '' - 315 osób 
Uczestnikami wszystkich wydarzeń byli rolnicy, leśnicy ,  przedsiębiorcy, doradcy , przedstawiciele instytucji rolniczych i okłorolniczych. 
</t>
  </si>
  <si>
    <t>dane zostały podane na podstawie statystyk panelu strony w systemie CMS</t>
  </si>
  <si>
    <t>1.wydano i rozpropagowano na terenie województwa plakat informacyjno-aktywizujący zapraszajacy do współpracy potencjalnych partnerów SIR  - 1 plakat  nakład  200 szt.
2.opracowano ulotki informacyjną dot. funkcjonowania SIR i rozpropagowano w ilosci - 3 ulotki nakład 400 szt.
3. Opracownie ulotki informacyjnej - 50 szt</t>
  </si>
  <si>
    <r>
      <t>Komentarze</t>
    </r>
    <r>
      <rPr>
        <sz val="11"/>
        <color indexed="8"/>
        <rFont val="Calibri"/>
        <family val="2"/>
      </rPr>
      <t xml:space="preserve"> 
(proszę wskazać co jest rozumiane przez kategorię "inne")</t>
    </r>
  </si>
  <si>
    <t xml:space="preserve">1.  konsultacje tematyczne z przedstawicielami: 
- PodkarpackiejAgencji Energetycznej 1  - 2015 
-  Uniwersytetu Rzeszowskiego - 1 - 2015 
- Kampanii solarnej w Rzeszowie- 1 - 2015
- Wojewódzkiego Funduszu Ochrony Środowiska i Gospodarki Wodnej w Rzeszowie - 1 - 2015
2. konsultacje z przedstawicielami jednostek badawczo rozwojowych i uczelni wyższych podczas XI Rolniczego Festiwalu Nauki - 1 - 2015
3. konsultacje z Prorektorem  ds.. Rozwoju i Polityki Finansowej dot. wdrażania działania ,,Współpraca'' - 1
 4. konsultacje z pracownikiem naukowym Uniwersytetu Rzeszowskigo  dot. wdrażania działania  ,,Współpracy'' . Przedmiotem rozmów było urocomienie produkcji  nowej generacji ulepszaczy glebowych na bazie grupy operacyjnej  składajacej sie z producentow rolnych, przedsiebiorców i strony naukowej  i doradczej.-1
 5.konsultacje z przedstawicielem  Małopolskiego Centrum  Biotechniki sp. zo.o w Krasnem  dotyczące aplikacji w ramach działania ,, Współprca ''.  Tematem spotkania było wdrożenie  krzyżówki  bydła mięsnego na terenie Podkarpacia  o wysokich parametrach mięsnych i mlecznych . - 1
</t>
  </si>
  <si>
    <t xml:space="preserve">1. Liczba spotkań aktywizujących potencjalnych partnerów 2015  - 2 spotkania ,    2016 - 7
Tematyka spotkań : 
1. Zagadnienia OZE oraz wykorzystania rozwiazań w działalności rolniczej i przetwórstwie rolnym - 2016   - 2 spotkania , 2015- 2 spotkania 
 2. konsultacje z pracownikiem naukowym Uniwersytetu Rzeszowskigo  dot. wdrażania działania  ,,Współpracy'' . Przedmiotem rozmów było urocomienie produkcji  nowej generacji ulepszaczy glebowych na bazie grupy operacyjnej  składajacej sie z producentow rolnych, przedsiebiorców i strony naukowej  i doradczej -   2016- 3 spotkania 
 3. konsultacje z przedstawicielem  Małopolskiego Centrum  Biotechniki sp. zo.o w Krasnem  dotyczące aplikacji w ramach działania ,, Współprca ''.  Tematem spotkania było wdrożenie  krzyżówki  bydła mięsnego na terenie Podkarpacia  o wysokich parametrach mięsnych i mlecznych . - 2016 -  2 spotkania 
Uczestnikami wszystkich wydarzeń byli rolnicy, leśnicy ,  przedsiębiorcy, doradcy , przedstawiciele instytucji rolniczych i okłorolniczych. </t>
  </si>
  <si>
    <t xml:space="preserve">liczba osób zaangażowanych w konsultacje tematyczne: 
1. Liczba spotkań aktywizujących potencjalnych partnerów 2015  - 10  osoby  ,    2016 - 13 osób
Tematyka spotkań : 
1. Zagadnienia OZE oraz wykorzystania rozwiazań w działalności rolniczej i przetwórstwie rolnym - 2016   - 2  osoby  , 2015- 4 osoby 
 2. konsultacje z pracownikiem naukowym Uniwersytetu Rzeszowskigo  dot. wdrażania działania  ,,Współpracy'' . Przedmiotem rozmów było urocomienie produkcji  nowej generacji ulepszaczy glebowych na bazie grupy operacyjnej  składajacej sie z producentow rolnych, przedsiebiorców i strony naukowej  i doradczej -   2016-  6 osób 
 3. konsultacje z przedstawicielem  Małopolskiego Centrum  Biotechniki sp. zo.o w Krasnem  dotyczące aplikacji w ramach działania ,, Współprca ''.  Tematem spotkania było wdrożenie  krzyżówki  bydła mięsnego na terenie Podkarpacia  o wysokich parametrach mięsnych i mlecznych . - 2016 -  5 osób
liczba osób zaangażowanych w w utworzenie inicjatyw tematycznych 
1. Zagadnienia OZE oraz wykorzystania rozwiazań w działalności rolniczej i przetwórstwie rolnym - 2016   -2 osoby  , 2015-4 osoby 
 2. konsultacje z pracownikiem naukowym Uniwersytetu Rzeszowskigo  dot. wdrażania działania  ,,Współpracy'' . Przedmiotem rozmów było urocomienie produkcji  nowej generacji ulepszaczy glebowych na bazie grupy operacyjnej  składajacej sie z producentow rolnych, przedsiebiorców i strony naukowej  i doradczej -   2016 -10 osób 
 3. konsultacje z przedstawicielem  Małopolskiego Centrum  Biotechniki sp. zo.o w Krasnem  dotyczące aplikacji w ramach działania ,, Współprca ''.  Tematem spotkania było wdrożenie  krzyżówki  bydła mięsnego na terenie Podkarpacia  o wysokich parametrach mięsnych i mlecznych . - 2016 - 3 osoby 
</t>
  </si>
  <si>
    <r>
      <rPr>
        <b/>
        <sz val="10"/>
        <color theme="1"/>
        <rFont val="Calibri"/>
        <family val="2"/>
        <charset val="238"/>
        <scheme val="minor"/>
      </rPr>
      <t>2016</t>
    </r>
    <r>
      <rPr>
        <sz val="10"/>
        <color theme="1"/>
        <rFont val="Calibri"/>
        <family val="2"/>
        <charset val="238"/>
        <scheme val="minor"/>
      </rPr>
      <t xml:space="preserve">
 - spotkanie informacyjno-aktywizujące o charakterze szkoleniowym  dla potencjalnych uczestników SIR. Informowanie o źródłach finansowania innowacji w rolnictwie na obszarach wiejskich w perspektywie finansowej 2014-2020 -  7 spotkań  -  7 dni
  - spotkanie o charakterze szkoleniowym  dotyczące działania współpraca organizowane przez pracowników ds. SIR  - 5 spotkan  -  5 dni 
- spotkania z przedstawicielami instytucji rolniczych i okołorolniczych  -12 -  12 dni ( zaznaczono w kolumnie ,,inne'')
- wyjazd studyjny krajowy (dla 100 osób) -2 wyjazdy  - 4 dni
- wyjazd studyjny zagraniczny ( dla 35 osób) - 1 wyjazd   - 6 dni
 - spotkania informacyjno- szkoleniowe  dot. tematyki ,, Odnawialne Źródła Energii jako alternatywne rozwiązania stosowane w rolnictwie, leśnictwie i przetwórstwie '' - 21 - 21 dni 
- spotkanie szkoleniowe  organozowane przez CDR - dla 2 osób - 1 spotkanie - 2 dni
</t>
    </r>
    <r>
      <rPr>
        <b/>
        <sz val="10"/>
        <color theme="1"/>
        <rFont val="Calibri"/>
        <family val="2"/>
        <charset val="238"/>
        <scheme val="minor"/>
      </rPr>
      <t>2015
- uczestnictwo w konferencjach branzowych organizowanych przez PODR  na których została poruszana tematyka SIR  w 2015 roku - 2  konferencje - 2 dni
( zaznaczono w kolumnie ,,inne'')</t>
    </r>
  </si>
  <si>
    <r>
      <rPr>
        <b/>
        <sz val="10"/>
        <rFont val="Calibri"/>
        <family val="2"/>
        <charset val="238"/>
        <scheme val="minor"/>
      </rPr>
      <t>2016</t>
    </r>
    <r>
      <rPr>
        <sz val="10"/>
        <rFont val="Calibri"/>
        <family val="2"/>
        <charset val="238"/>
        <scheme val="minor"/>
      </rPr>
      <t xml:space="preserve">
 - spotkanie informacyjno-aktywizujące o charakterze szkoleniowym  dla potencjalnych uczestników SIR. Informowanie o źródłach finansowania innowacji w rolnictwie na obszarach wiejskich w perspektywie finansowej 2014-2020. - 157 osób
- spotkania o charakterze szkoleniowym  dotyczące działania ,,Współpraca''  -  197 osób
- . spotkania z przedstawicielami instytucji rolniczych i okołorolniczych  - 24
- wyjazd studyjny krajowy dla 100 osób -
- wyjazd studyjny dla 35 osób 
 - spotkania informacyjno- szkoleniowe  dot. tematyki ,, Odnawialne Źródła Energii jako alternatywne rozwiązania stosowane w rolnictwie, leśnictwie i przetwórstwie '' - (21 spotkań)  - 315 osób
- spotkania organozowane przez CDR - dla 2 osób
(przedstawiciele innych grup interesariuszy  stanowią: mieszkancy terenów wiejskich, rolnicy, leśnicy, przedsiebiorcy, przedstaiciele instytucji rolniczych i okołorolniczych 
</t>
    </r>
    <r>
      <rPr>
        <b/>
        <sz val="10"/>
        <rFont val="Calibri"/>
        <family val="2"/>
        <charset val="238"/>
        <scheme val="minor"/>
      </rPr>
      <t>2015</t>
    </r>
    <r>
      <rPr>
        <sz val="10"/>
        <rFont val="Calibri"/>
        <family val="2"/>
        <charset val="238"/>
        <scheme val="minor"/>
      </rPr>
      <t xml:space="preserve">
- uczestnictwo w konferencjach branzowych organizowanych przez PODR  na których została poruszana tematyka SIR  w 2015 roku - 160 osób 
(przedstawiciele innych grup interesariuszy  stanowią: mieszkancy terenów wiejskich, rolnicy, leśnicy, przedsiebiorcy, przedstaiciele instytucji rolniczych i okołorolniczych 
</t>
    </r>
  </si>
  <si>
    <t>Rok 2015: 
Koszty funkcjonowania obejmują:     
• Utworzenie 2 etatów      
• utworzenie, na stronie internetowej PODR, zakładki tematycznej poświęconej Sieci na rzecz innowacji w rolnictwie i na obszarach wiejskich (SIR), 
• utworzenie stanowiska informacyjnego dot. funkcjonowania SIR podczas Jesiennej Giełdy Ogrodniczej organizowanej przez PODR w Boguchwale,  w której uczestniczyło około 12 000 osób, na którym przekazywano ulotki zróżnicowanej grupie odbiorców. 
• uczestnictwo pracowników działających na rzecz SIR w spotkaniach informacyjno-szkoleniowych organizowanych przez CDR dzięki którym uzyskano podstawową wiedzę z zakresu Europejskiego Partnerstwa na Rzecz Innowacji, Struktury Sieci na rzecz innowacji w rolnictwie i na obszarach wiejskich oraz zadaniach poszczególnych instytucji oraz partnerów sieci, roli i zasadach grup operacyjnych oraz roli brokera w tworzeniu partnerstw, finansowaniu innowacji w rolnictwie w ramach działania „Współpraca” ze środków PROW 2014-2020 a także na temat tworzenia planów 
• Wykonano remont pomieszczenia biurowego oraz wyposażono w niezbędne meble biurowe: szafy, biurka , fotele, klimatyzator. Dodatkowo zakupiono: sprzęt komputerowy z wyposażeniem, drukarki, ksero, aparat fotograficzny wraz z dodatkowym wyposażeniem, pamięć przenośną., pandrive , niszczarka , skaner, materiały promocyjne i biurowe.
- zorganizowano 2 spotkania informacyjno aktywizujące
Rok 2016: koszty funkcjonowania obejmują:
- wynagrodzenia + pochodne,
- delegacje,
- noclegi,
- materiały biurowe</t>
  </si>
  <si>
    <r>
      <rPr>
        <b/>
        <sz val="10"/>
        <color indexed="8"/>
        <rFont val="Calibri"/>
        <family val="2"/>
        <charset val="238"/>
      </rPr>
      <t>Zorganizowano: w terminie 05-08.2016:</t>
    </r>
    <r>
      <rPr>
        <sz val="10"/>
        <color indexed="8"/>
        <rFont val="Calibri"/>
        <family val="2"/>
        <charset val="238"/>
      </rPr>
      <t xml:space="preserve">
"Pokaz innowacyjnych metod zwalczania omacnicy prosowianki w kukurydzy i zapoznanie się z zaleceniami ochrony roślin w wersji internetowej - 60 osób,
</t>
    </r>
    <r>
      <rPr>
        <b/>
        <sz val="10"/>
        <color indexed="8"/>
        <rFont val="Calibri"/>
        <family val="2"/>
        <charset val="238"/>
      </rPr>
      <t>w terminie 09-12.2016</t>
    </r>
    <r>
      <rPr>
        <sz val="10"/>
        <color indexed="8"/>
        <rFont val="Calibri"/>
        <family val="2"/>
        <charset val="238"/>
      </rPr>
      <t xml:space="preserve">
"Seminarium wyjazdowe - Innowacyjne formy współdziałania producentów rolnych" - 43 uczestników,
Konferencja " Innowacyjne rozwiązania w przygotowaniu, przetwarzaniu i przechowywaniu zdrowej żywności -25 osób,
Konferencja "Nowe techniologie w uprawie roli i zastosowanie rolnictwa precyzyjnego w kontekście zmian klimatycznych" - 90 osób,
"Seminarium wyjazdowe dla pszczelarzy woj. podlaskiego" - 30 osób
</t>
    </r>
  </si>
  <si>
    <t xml:space="preserve">1 pokaz </t>
  </si>
  <si>
    <t>60 osób</t>
  </si>
  <si>
    <t>90+43</t>
  </si>
  <si>
    <t>PODR w szepietowie prowadzi zakładkę SIR gdzie od 01.01.2016-31.12.2016 zakładkę odwiedziło 4251 osób.</t>
  </si>
  <si>
    <t xml:space="preserve">Facebook
PODR w Szepietowie  zamieśćił od 05-08.2016 roku zamieścił 6 postów  gdzie liczba odbiorców wyniosła 11181 osób, polubiło to 36 osób, udostępniło 2 osoby.
W okresie 09-12.2016 ukazało się 8 postów, liczba odbiorców 17857 osób, polubiło to 87 osób, udostępniło to 8 osób
</t>
  </si>
  <si>
    <t>Wydano następujące publikacje, ulotki, broszury w terminie 09-12.2016.
"Przedsiębiorczość na obszarach wiejskich woj. podlaskiego - przykłady innowacyjnych przedsięwzięć"
Materały szkoleniowe z wyjazdu studyjnego "Organizacja seminarium wyjazdowego dla pszczelarzy województwa podlaskiego"
"Konsolidacja osób i podmiotów zainteresowanych wdrazaniem innowacyjnych technologii w dzielninie przechowalnictwa rolno-spożywczeg
"Innowacyjne rozwiązania w przygotowywaniu, przetwarzaniu i przechowywaniu żywności"
"Innowacyjne podejście w urynkowieniu żywności wysokiej jakości"</t>
  </si>
  <si>
    <r>
      <t>Zorganizowano następujące formy szkoleniowe:</t>
    </r>
    <r>
      <rPr>
        <u/>
        <sz val="12"/>
        <color theme="1"/>
        <rFont val="Calibri"/>
        <family val="2"/>
        <charset val="238"/>
        <scheme val="minor"/>
      </rPr>
      <t xml:space="preserve"> </t>
    </r>
    <r>
      <rPr>
        <b/>
        <u/>
        <sz val="12"/>
        <color theme="1"/>
        <rFont val="Calibri"/>
        <family val="2"/>
        <charset val="238"/>
        <scheme val="minor"/>
      </rPr>
      <t>w terminie 05-08.2016</t>
    </r>
    <r>
      <rPr>
        <sz val="10"/>
        <color theme="1"/>
        <rFont val="Calibri"/>
        <family val="2"/>
        <scheme val="minor"/>
      </rPr>
      <t xml:space="preserve">
Warsztaty:
</t>
    </r>
    <r>
      <rPr>
        <b/>
        <i/>
        <sz val="10"/>
        <color theme="1"/>
        <rFont val="Calibri"/>
        <family val="2"/>
        <charset val="238"/>
        <scheme val="minor"/>
      </rPr>
      <t xml:space="preserve"> Warsztaty/Szkolenia</t>
    </r>
    <r>
      <rPr>
        <sz val="10"/>
        <color theme="1"/>
        <rFont val="Calibri"/>
        <family val="2"/>
        <scheme val="minor"/>
      </rPr>
      <t xml:space="preserve"> -Praktyczne wykorzystanie wyników badań naukowych we wdrażaniu innowacji w ekologicznej produkcji - 34 osoby- 2 grupy
</t>
    </r>
    <r>
      <rPr>
        <b/>
        <i/>
        <sz val="10"/>
        <color theme="1"/>
        <rFont val="Calibri"/>
        <family val="2"/>
        <charset val="238"/>
        <scheme val="minor"/>
      </rPr>
      <t xml:space="preserve"> Warsztaty/Szkolenia</t>
    </r>
    <r>
      <rPr>
        <sz val="10"/>
        <color theme="1"/>
        <rFont val="Calibri"/>
        <family val="2"/>
        <scheme val="minor"/>
      </rPr>
      <t xml:space="preserve">- Jak pisać o innowacjach w rolnictwie? Warsztaty dziennikarskie doskonalące umiejętności zdobywania i przekazywania wiedzy nt.  wdrażania innowacji rolniczych w woj. podlaskim - 20 osób- 1 grupa
</t>
    </r>
    <r>
      <rPr>
        <b/>
        <i/>
        <sz val="10"/>
        <color theme="1"/>
        <rFont val="Calibri"/>
        <family val="2"/>
        <charset val="238"/>
        <scheme val="minor"/>
      </rPr>
      <t>Wizyty/ Wyjazd studyjny</t>
    </r>
    <r>
      <rPr>
        <sz val="10"/>
        <color theme="1"/>
        <rFont val="Calibri"/>
        <family val="2"/>
        <scheme val="minor"/>
      </rPr>
      <t xml:space="preserve"> -Wyjazd studyjny - standaryzacja jakości produkcji wołowiny i innowacyjne  formy sprzedaży mięsa wołowego...." - 10 osób - 1 grupa
</t>
    </r>
    <r>
      <rPr>
        <b/>
        <u/>
        <sz val="12"/>
        <color theme="1"/>
        <rFont val="Calibri"/>
        <family val="2"/>
        <charset val="238"/>
        <scheme val="minor"/>
      </rPr>
      <t>W terminie 09-12.2016</t>
    </r>
    <r>
      <rPr>
        <sz val="10"/>
        <color theme="1"/>
        <rFont val="Calibri"/>
        <family val="2"/>
        <scheme val="minor"/>
      </rPr>
      <t xml:space="preserve"> 
</t>
    </r>
    <r>
      <rPr>
        <b/>
        <i/>
        <sz val="10"/>
        <color theme="1"/>
        <rFont val="Calibri"/>
        <family val="2"/>
        <charset val="238"/>
        <scheme val="minor"/>
      </rPr>
      <t xml:space="preserve"> Wizyty/ Wyjazd studyjny</t>
    </r>
    <r>
      <rPr>
        <sz val="10"/>
        <color theme="1"/>
        <rFont val="Calibri"/>
        <family val="2"/>
        <scheme val="minor"/>
      </rPr>
      <t xml:space="preserve"> Wyjazd studyjny - Uprawa lnu i konopi jako alternatywa produkcji na obszarach objętych ASF- wyjazd studyjny dla doradców, rolników i przedsiębiorców"- 25 osób - 1 grupa
 </t>
    </r>
    <r>
      <rPr>
        <b/>
        <i/>
        <sz val="10"/>
        <color theme="1"/>
        <rFont val="Calibri"/>
        <family val="2"/>
        <charset val="238"/>
        <scheme val="minor"/>
      </rPr>
      <t>Wizyty/ Wyjazd studyj</t>
    </r>
    <r>
      <rPr>
        <b/>
        <sz val="10"/>
        <color theme="1"/>
        <rFont val="Calibri"/>
        <family val="2"/>
        <charset val="238"/>
        <scheme val="minor"/>
      </rPr>
      <t xml:space="preserve">ny </t>
    </r>
    <r>
      <rPr>
        <sz val="10"/>
        <color theme="1"/>
        <rFont val="Calibri"/>
        <family val="2"/>
        <scheme val="minor"/>
      </rPr>
      <t xml:space="preserve">Wyjazd studyjny nt"Alternatywne źródła dochodu z gospodarstwa rolnego- innowacyjne hodowla ślimaka jadalnego"- 25 osób - 1 grupa
Szkolenie z wyjazdem do gospodarstwa/przedsiębiorstwa
</t>
    </r>
    <r>
      <rPr>
        <b/>
        <i/>
        <sz val="10"/>
        <color theme="1"/>
        <rFont val="Calibri"/>
        <family val="2"/>
        <charset val="238"/>
        <scheme val="minor"/>
      </rPr>
      <t xml:space="preserve"> Warsztaty/Szkolenia:</t>
    </r>
    <r>
      <rPr>
        <sz val="10"/>
        <color theme="1"/>
        <rFont val="Calibri"/>
        <family val="2"/>
        <scheme val="minor"/>
      </rPr>
      <t xml:space="preserve"> Konsolidacja osób i podmiotów zainteresowanych wdrażaniem innowacyjnych technologii w dziedzinie przechowalnictwa rolno-spożywczego. - 15 sob - 1 grupa
 </t>
    </r>
    <r>
      <rPr>
        <b/>
        <i/>
        <sz val="10"/>
        <color theme="1"/>
        <rFont val="Calibri"/>
        <family val="2"/>
        <charset val="238"/>
        <scheme val="minor"/>
      </rPr>
      <t xml:space="preserve"> Warsztaty/Szkolenia: </t>
    </r>
    <r>
      <rPr>
        <sz val="10"/>
        <color theme="1"/>
        <rFont val="Calibri"/>
        <family val="2"/>
        <scheme val="minor"/>
      </rPr>
      <t xml:space="preserve">Innowacyjne rozwiązania w energetyce odnawialnej w woj. podlaskich - 60 osób - 3 grupy
</t>
    </r>
    <r>
      <rPr>
        <b/>
        <i/>
        <sz val="10"/>
        <color theme="1"/>
        <rFont val="Calibri"/>
        <family val="2"/>
        <charset val="238"/>
        <scheme val="minor"/>
      </rPr>
      <t>Warsztaty/Szkolenia</t>
    </r>
    <r>
      <rPr>
        <sz val="10"/>
        <color theme="1"/>
        <rFont val="Calibri"/>
        <family val="2"/>
        <scheme val="minor"/>
      </rPr>
      <t xml:space="preserve">: szkolenie: Innowcyjne podejscie w urynkowieniu żywności wysokiej jakości- 30 osób-1 grupa
</t>
    </r>
    <r>
      <rPr>
        <b/>
        <i/>
        <sz val="10"/>
        <color theme="1"/>
        <rFont val="Calibri"/>
        <family val="2"/>
        <charset val="238"/>
        <scheme val="minor"/>
      </rPr>
      <t xml:space="preserve">Warsztaty/Szkolenia: </t>
    </r>
    <r>
      <rPr>
        <sz val="10"/>
        <color theme="1"/>
        <rFont val="Calibri"/>
        <family val="2"/>
        <charset val="238"/>
        <scheme val="minor"/>
      </rPr>
      <t xml:space="preserve"> w</t>
    </r>
    <r>
      <rPr>
        <sz val="10"/>
        <color theme="1"/>
        <rFont val="Calibri"/>
        <family val="2"/>
        <scheme val="minor"/>
      </rPr>
      <t xml:space="preserve">arsztaty: Przeprowadzenie cyklu warsztatów tematycznych dot. promowania innowacyjnych metod zapobiegania znoszeniu środków ochrony roślin - 120 osób - 6 grup
</t>
    </r>
  </si>
  <si>
    <t>rolnicy z woj. podlaskiego/mieszkańcy obszarów wiejskich, przedsiębiorcy, producenci żywności</t>
  </si>
  <si>
    <t>Koszty funkcjonowania zawierają: 2 etaty: spec. ds. innowacji i broker</t>
  </si>
  <si>
    <t>Uwaga: Podane dane są narastająco od poczatku roku.</t>
  </si>
  <si>
    <t>Sporzadziła: Aneta Drobek</t>
  </si>
  <si>
    <t>Szepietowo 26.01.2017</t>
  </si>
  <si>
    <t>Kujawsko-Pomorski Ośrodek Doradztwa Rolniczego w Minikowie</t>
  </si>
  <si>
    <t>Lubelski Ośrodek Doradztwa Rolniczego w Końskowoli</t>
  </si>
  <si>
    <t>Łódzki Ośrodek Doradztwa Rolniczego</t>
  </si>
  <si>
    <t>Podlaski Ośrodek Doradztwa Rolniczego w Szepietowie</t>
  </si>
  <si>
    <t>Śląski Ośrodek Doradztwa Rolniczego w Częstochowie</t>
  </si>
  <si>
    <r>
      <rPr>
        <b/>
        <sz val="10"/>
        <color indexed="8"/>
        <rFont val="Calibri"/>
        <family val="2"/>
        <charset val="238"/>
      </rPr>
      <t>2015</t>
    </r>
    <r>
      <rPr>
        <sz val="10"/>
        <color indexed="8"/>
        <rFont val="Calibri"/>
        <family val="2"/>
        <charset val="238"/>
      </rPr>
      <t xml:space="preserve">-   inne (1) zakres tematyczny mieszany: XXIV Krajowa Wystawa Rolnicza, na której zostało zorganizowane stoisko Sieci na rzecz innowacji w rolnictwie i na obszarach wiejskich.W Wystawie Rolniczej udział wzięło ok. 400 wystawców tj. producenci maszyn i urządzeń rolniczych, środków ochrony roślin, pasz i nawozów oraz przedstawiciele instytutów branżowych resortu rolnictwa. Osoby zwiedzające i zainteresowane XXIV Krajową Wystawą Rolniczą, to w większości rolnicy, przedsiębiorcy rolni, działacze społeczni, grupy działaczy związanych z terenami wiejskimi województwa śląskiego i nie tylko. Corocznie wystawę odwiedza podczas dwudniowej wystawy-targów około 80 tysięcy osób. </t>
    </r>
    <r>
      <rPr>
        <b/>
        <sz val="10"/>
        <color indexed="8"/>
        <rFont val="Calibri"/>
        <family val="2"/>
        <charset val="238"/>
      </rPr>
      <t xml:space="preserve"> 2015rok </t>
    </r>
    <r>
      <rPr>
        <sz val="10"/>
        <color indexed="8"/>
        <rFont val="Calibri"/>
        <family val="2"/>
        <charset val="238"/>
      </rPr>
      <t xml:space="preserve">- </t>
    </r>
    <r>
      <rPr>
        <b/>
        <sz val="10"/>
        <color indexed="8"/>
        <rFont val="Calibri"/>
        <family val="2"/>
        <charset val="238"/>
      </rPr>
      <t>Operacja pn.</t>
    </r>
    <r>
      <rPr>
        <sz val="10"/>
        <color indexed="8"/>
        <rFont val="Calibri"/>
        <family val="2"/>
        <charset val="238"/>
      </rPr>
      <t xml:space="preserve"> </t>
    </r>
    <r>
      <rPr>
        <b/>
        <sz val="10"/>
        <color indexed="8"/>
        <rFont val="Calibri"/>
        <family val="2"/>
        <charset val="238"/>
      </rPr>
      <t xml:space="preserve">Wystawa „ Instytuty resortu rolnictwa-NAUKA POLSKA”- przykłady  i promocja  Sieci na rzecz innowacji w rolnictwie i na obszarach wiejskich województwa śląskiego- zasięg krajowy- operacja została zrealizowana podczas XXIV Krajowej Wystawy Rolniczej w Częstochowie                                                                                             </t>
    </r>
    <r>
      <rPr>
        <sz val="10"/>
        <color indexed="8"/>
        <rFont val="Calibri"/>
        <family val="2"/>
        <charset val="238"/>
      </rPr>
      <t xml:space="preserve">                                                                                                                                                                            </t>
    </r>
    <r>
      <rPr>
        <b/>
        <sz val="10"/>
        <color indexed="8"/>
        <rFont val="Calibri"/>
        <family val="2"/>
        <charset val="238"/>
      </rPr>
      <t>2016</t>
    </r>
    <r>
      <rPr>
        <sz val="10"/>
        <color indexed="8"/>
        <rFont val="Calibri"/>
        <family val="2"/>
        <charset val="238"/>
      </rPr>
      <t>- Liczba zrealizowanych operacji w ramach Panu Operacyjnego KSOW 2016-207 w roku 2016( 15 operacji własnych + 1 operacja partnerska</t>
    </r>
    <r>
      <rPr>
        <b/>
        <sz val="10"/>
        <color indexed="8"/>
        <rFont val="Calibri"/>
        <family val="2"/>
        <charset val="238"/>
      </rPr>
      <t>)            2016r. - "Śląska platforma innowacji – stoisko informacyjne SIR na XXV KWR" operacja  została zorganizowana podczas XXV Krajowej Wystawy  Rolniczej w Częstochowie- zasięg krajowy.</t>
    </r>
  </si>
  <si>
    <r>
      <t xml:space="preserve">Liczba uzczestnków w ramach realizacji operacji z Planu Operacyjnego KSOW 2016-2017 w 2016 roku. Liczba 80,000 tysięcy dotyczy osób odwiedzających XXV Krajową Wystawę Rolniczą podczas ktróej była realizowana 1 operacja.                                                                                                                                             </t>
    </r>
    <r>
      <rPr>
        <b/>
        <sz val="10"/>
        <color indexed="8"/>
        <rFont val="Calibri"/>
        <family val="2"/>
        <charset val="238"/>
      </rPr>
      <t>2015r. - Operacja pn. Wystawa „ Instytuty resortu rolnictwa-NAUKA POLSKA”- przykłady  i promocja  Sieci na rzecz innowacji w rolnictwie i na obszarach wiejskich województwa śląskiego"- zasięg krajowy- operacja została zrealizowana podczas XXIV Krajowej Wystawy Rolniczej w Częstochowie                                                                                                                                                                                                                                                                          2016r. - "Śląska platforma innowacji – stoisko informacyjne SIR na XXV KWR" operacja  została zrealizowana podczas XXV Krajowej Wystawy  Rolniczej w Częstochowie - zasięg krajowy .</t>
    </r>
  </si>
  <si>
    <r>
      <rPr>
        <b/>
        <sz val="10"/>
        <color theme="1"/>
        <rFont val="Calibri"/>
        <family val="2"/>
        <charset val="238"/>
        <scheme val="minor"/>
      </rPr>
      <t>2015</t>
    </r>
    <r>
      <rPr>
        <sz val="10"/>
        <color theme="1"/>
        <rFont val="Calibri"/>
        <family val="2"/>
        <charset val="238"/>
        <scheme val="minor"/>
      </rPr>
      <t>- ulotka promująca SIR- nakład 3.000 szt; artykuł w prasie branżowej w Śląskich Aktualnościach Rolniczych- nakład 2600szt.</t>
    </r>
  </si>
  <si>
    <t>Artykuły zamieszczane w prasie branżowej w tym w Śląskich Aktualnościach Rolniczych - 12</t>
  </si>
  <si>
    <t>Spotkanie z przedstawicielami szkół rolniczych, spotkanie z przedstawicielami rolniczych związków branżowych, spotkanie z dyrekcją szkoły rolniczej w Nakle Śląskim. Sptkania na Uniwersytecie Przyrodniczym we Wrocławiu i Uniwersytecie Rolniczym w Krakowie. Spotkanie z Grupą Producencką Klimowicz (koszty poniesione w ramach funkcjonowania)</t>
  </si>
  <si>
    <r>
      <rPr>
        <b/>
        <sz val="10"/>
        <color theme="1"/>
        <rFont val="Calibri"/>
        <family val="2"/>
        <charset val="238"/>
        <scheme val="minor"/>
      </rPr>
      <t xml:space="preserve">2015-  </t>
    </r>
    <r>
      <rPr>
        <sz val="10"/>
        <color theme="1"/>
        <rFont val="Calibri"/>
        <family val="2"/>
        <charset val="238"/>
        <scheme val="minor"/>
      </rPr>
      <t xml:space="preserve">3 szkolenia dla pracowników Śląskiego Ośrodka Doradztwa + 4 szkolenia dla pracowników zajmujących się SIR   </t>
    </r>
    <r>
      <rPr>
        <b/>
        <sz val="10"/>
        <color theme="1"/>
        <rFont val="Calibri"/>
        <family val="2"/>
        <charset val="238"/>
        <scheme val="minor"/>
      </rPr>
      <t xml:space="preserve">                                                                                                                                                                                                                                                                       2016</t>
    </r>
    <r>
      <rPr>
        <sz val="10"/>
        <color theme="1"/>
        <rFont val="Calibri"/>
        <family val="2"/>
        <scheme val="minor"/>
      </rPr>
      <t>- Szkolenia dla doradców w PZDR: Częstochowa, Cieszyn, Lubliniec, Bieruń. Szkolenie nt operacji realizowanych w ramach PO 2016-2017 (2- Częstochowa ŚODR I Złoty Potok) (koszty poniesione w ramach funkcjonowania)</t>
    </r>
  </si>
  <si>
    <t>Warmińsko-Mazurski Ośrodek Doradztwa Rolniczego z siedzibą w Olsztynie</t>
  </si>
  <si>
    <t>Duża liczba uczestników jest związana z faktem organizacji stoisk informacyjnych SIR podczas imprez lokalnych i regionalnych. Na stoiskach i innych wydarzeniach były prowadzone listy obecności.</t>
  </si>
  <si>
    <t>Na stronie W-MODR jest zakładka poświęcona SIR, jednak nie ma możliwości oddzielnego sprawdzenia wejść na zakładkę.</t>
  </si>
  <si>
    <t>W-MODR nie prowadzi profili w mediach społecznościowych dotyczących SIR</t>
  </si>
  <si>
    <t>Żadne dobre praktyki i przykłady nie zostały opublikowane na stronie KSOW</t>
  </si>
  <si>
    <t>Jedno szkolenie dwudniowe obejmowało warsztaty i wyjazd studyjny</t>
  </si>
  <si>
    <t>Wśród przedstawicieli innych grup byli rolnicy chcący wdrażać innowacje w produkcji ogrodniczej uczestniczący w wyjeździe studyjnym na ten temat.</t>
  </si>
  <si>
    <t>wydarzenia z tabeli 1 obejmują również szkolenia z tabeli 6.1 i 6.2. W związku z tym koszty wydarzeń z tabeli 1 zosały pomniejszone o koszty wydarzeń z 6.1 i 6.2, aby nie podwajać kosztów.
Do kosztów funkcjonowania zaliczamy płace z pochodnymi i koszty przejazdów służbowych.
Kwoty w złotych.</t>
  </si>
  <si>
    <t>Wielkopolski Ośrodek Doradztwa Rolniczego w Poznaniu</t>
  </si>
  <si>
    <t xml:space="preserve">2 stoiska informacyjno-promocyjne - stoiska na Wielkopolskich Targach Rolniczych w 2016r., liczba uczestników Targów szacunkowo 15 tys., stoiska na Letnich Targach Rolno-Orgodniczych AGROMARSZ w 2016r. Liczba uczesników Targów szacunko 10 tys. </t>
  </si>
  <si>
    <t>WODR w Poznaniu nie prowadzi tak szczegółowej statystyki.</t>
  </si>
  <si>
    <t>1 wyjazd studyjny: Priorytet 1 i 2 z naciskiem na ułatwianie transferu wiedzy i innowacji oraz 1 wyjazd studyjny: Priorytet 1 i 5 z naciskiem na ułatwianie transferu wiedzy i innowacji</t>
  </si>
  <si>
    <t>Liczba uczesnikLiczba przedstawicieli innych grup interesariuszy: producenci rolni</t>
  </si>
  <si>
    <t>Koszty funkcjonowania w zł: materiały, usługi obce, wynagrodzenia,składki, delegacje.</t>
  </si>
  <si>
    <t>[Zachodniopomorski Ośrodek Doradztwa Rolniczego w Barzkowicach]</t>
  </si>
  <si>
    <t>styczeń - grudzień 2016 r.</t>
  </si>
  <si>
    <t xml:space="preserve"> 2015 -  Innowacje w rolnictwie i innowacyjna przedsiębiorczość w gospodarstwie rolnym - małe przetwórstwo (seminarium)                                                                                                                                                                                                                                                                                                                                                                                                                                                                                                                      2016 -  1. Polowe pokazy pracy maszyn rolniczych, stoisko informacyjne SIR. Głównym celem realizacji operacji było zapoznanie oraz ugruntowanie wiedzy uczestników operacji na temat innowacyjnych rozwiązań w rolnictwie i wykorzystanie jej w praktyce oraz ułatwienie transferu wiedzy, nawiązanie kontaktów, współpracy pomiędzy rolnikami, doradcami a firmami oferującymi innowacyjne rozwiązania dla rolnictwa (P1 i P2). 
2. Wykorzystanie krajowych źródeł białka roślinnego w produkcji, obrocie i przeznaczeniu na cele paszowe – konferencja. Celem realizacji operacji było zapoznanie uczestników konferencji z zagadnieniami innowacyjności w rolnictwie oraz możliwościami praktycznego zastosowania przedstawionych rozwiązań, nawiązanie kontaktów i współpracy pomiędzy obecnymi i potencjalnymi uczestnikami rynków rolnych.
3. Innowacyjne metody uprawy roślin - rolnictwo precyzyjne – konferencja. Celem realizacji operacji było zapoznanie uczestników konferencji z zagadnieniami innowacyjności w rolnictwie oraz możliwościami praktycznego zastosowania przedstawionych rozwiązań, nawiązanie kontaktów i współpracy pomiędzy obecnymi i potencjalnymi uczestnikami rynków rolnych.
4. Trendy w agrobiznesie - innowacje w rynkach rolnych – konferencja. Celem realizacji operacji było zapoznanie uczestników konferencji z zagadnieniem innowacji w rolnictwie oraz możliwościami praktycznego zastosowania przedstawianych rozwiązań, nawiązanie kontaktów i współpracy pomiędzy potencjalnymi uczestnikami rynków rolnych (P1 i P3).
                 </t>
  </si>
  <si>
    <t>brak statystyki wejść na stronę internetową - brak zliczania wejść ze względów technicznych (www.zodr.pl)</t>
  </si>
  <si>
    <t>facebook, newsletter - nie posiadamy instalacji</t>
  </si>
  <si>
    <t xml:space="preserve">Publikacja broszura UPRAWA ROŚLIN NA CELE ENEGETYCZNE nakład 500 egz.  na stoisko informacyjne SIR podczas XXIX Targów Rolnych AGRO POMERANIA 2016 oraz adresowana do rolników i samorządów lokalnych oraz doradców ZODR,                                                                                                                          publikacja  broszura INNOWACYJNE ROLNICTWO nakład 100 egz. na stoisko informacyjne SIR podczas XXIX Targów Rolnych AGRO POMERANIA 2016 adresowane do doradców ZODR i rolników,                                                                                                                                                                                                                                      ZACHODNIOPOMORSKI MAGAZYN ROLNICZY nr 108 marzec 2016 nakład 3000 egz.BY sprostać wyzwaniom przyszłości str. 20.21.                                                                                           ZACHODNIOPOMORSKI MAGAZYN ROLNICZY nr 110 maj 2016 nakład 3000 egz.Odmiana dobrze dobrana str. 22-25.                                                                             ZACHODNIOPOMORSKI MAGAZYN ROLNICZY nr 112 lipiec 2016 nakład 3000 egz.Europejski tydzień zrównoważonego rozwoju 2016 str. 6.                                  ZACHODNIOPOMORSKI MAGAZYN ROLNICZY nr 112 lipiec 2016 nakład 3000 egz.Innowacje w produkcji roślinnej str. 8.                                  ZACHODNIOPOMORSKI MAGAZYN ROLNICZY nr 109 kwiecień 2016 nakład 3000 egz. Promocja SIR zaproszenie na konferencjęnt. Uproszczenia i innowacje w technologiach produkcji roślinnej  ZACHODNIOPOMORSKI MAGAZYN ROLNICZY  (czerwiec)  Innowacje w produkcji roślinej, System uprawy a zachwaszczenie (materiał z konferencji);   Korzyści z uproszczeń (materiał z konferencji);  lipiec - publikacja-broszura Uprawa roślin na cele energetyczne;  wrzesień broszura -    Innowacje w rolnictwie;  Zachodniopomorski  Magazyn Rolniczy     nr 113 -  Dron  - stały element krajobrazu ? ; październik Zachodniopomorski Magazyn Rolniczy nr 114 -   Polowe pokazy pracy maszyn - innowacje,  Stawiamy na innowacyjność; Zachodniopomorski Magazyn Rolniczy nr 115 (listopad) -     ZODR w Barzkowicach informuje o planowanych projektach organizowanych w ramach PO KSOW na lata 2016-2017 w zakresie SIR ; Zachodniopomorski Magazyn Rolniczy (grudzień) - Nauka doradztwu rolniczemu,    Forum Wiedzy i Innowacji , Innowacje w Zagrodzie Edukacyjnej, SIR - Sieć kontaktów i powiązań, Jak podjąć inicjatywę?, Strączkowe wracają do łask, Ogrzewanie bez smogu                          </t>
  </si>
  <si>
    <t>strona internetowa www.zodr.pl</t>
  </si>
  <si>
    <t>brak</t>
  </si>
  <si>
    <t>informacja nt. ankiety EPI - AGRI, maj 2016 na stronie www.zodr.pl</t>
  </si>
  <si>
    <t>1. Panele fotowoltaiczne w gospodarstwach rolnych województwa zachodniopomorskiego – szkolenie oraz wyjazd studyjny. Głównym celem operacji było przeszkolenie uczestników operacji  na temat regulacji prawnych w zakresie OZE, programów wspierających instalacje OZE, a także szczegółów technicznych instalacji.                                                                                                                                                                                                                                                                      2. Wdrażanie inicjatyw na rzecz rozwoju obszarów wiejskich oraz aktywizacja mieszkańców wsi na rzecz podejmowania inicjatyw w zakresie rozwoju obszarów wiejskich, w tym kreowanie procesu tworzenia miejsc pracy na terenach wiejskich – seminarium połączone z wyjazdem studyjnym. Głównym celem realizacji operacji była aktywizacja mieszkańców wsi na rzecz podejmowania inicjatyw w zakresie rozwoju obszarów wiejskich, w tym kreowania miejsc pracy na terenach wiejskich.                                                                                                                                                                                                                       3. Konferencja Z WYJAZDEM STUDYJNYM 19-20 maja 2016 UPROSZCZENIA I INNOWACJE W TECHNOLOGIACH PRODUKCJI ROŚLINNEJ;              grupa mieszana, uczestnicy: doradcy,  rolnicy, przedsiębiorcy rolni, pracownicy nauki, pracownicy instytucji okolorolniczych</t>
  </si>
  <si>
    <t xml:space="preserve">kwoty w zlotych,                       koszty funkcjonowania ogółem:  194378,25 (w tym: wynagrodzenia, noclegi, podróże służbowe)                              </t>
  </si>
  <si>
    <t>Panele fotowoltaiczne w gospodarstwach rolnych województwa zachodniopomorskiego – szkolenie oraz wyjazd studyjny. Głównym celem operacji było przeszkolenie uczestników operacji  na temat regulacji prawnych w zakresie OZE, programów wspierających instalacje OZE, a także szczegółów technicznych instalacji.</t>
  </si>
  <si>
    <t xml:space="preserve"> Pomorski Ośrodek Doradztwa Rolniczego w Lubaniu</t>
  </si>
  <si>
    <t xml:space="preserve">2015: Dwie konferencje  „Sieć Innowacji w Rolnictwie – Klucz do Nowoczesności” - organizator : PODR w Lubaniu;                                                                                                                            2016:   1. Stoisko promocyjne na III Pomorskiej Wystawie Bydła Mlecznego - Swięto Mleka w Bolesławowie - organizator: Pomorski Związek Hodowców Bydła Mlecznego w Gdańsku wraz z Gdańskim Oddziałem Polskiej Federacji Hodowców Bydła i Producentów Mleka. ; 2. Stoisko promocyjne na Pomorskich Agro Targach w Lubaniu - organizator: PODR w Lubaniu; 3. Stoisko promocyjnena na Żuławskich Targach Rolnych w Starym Polu - organizator: PODR w Lubaniu; 4. Stoisko promocyjne SIR podczas Jesiennych Targów Ogrodniczo-Nasiennych w Starym Polu - organizator:  PODR w Lubaniu; 5. Stoisko promocyjne SIR podczas Kaszubskiej Jesieni Rolniczej oraz Dożynek Diecezji Pelplińskiej w Lubaniu - organizator: PODR w Lubaniu </t>
  </si>
  <si>
    <t xml:space="preserve">1. Jak wynika ze statystyk prowadzonych przez PODR w Lubaniu targi i wystawę odwiedziło łącznie około 117 000 osób. Informacje o  SIR uzyskało około 1 000 osób na co wskazują rozdane materiały informacyjne. ; </t>
  </si>
  <si>
    <t>Zakładka SIR powstała w 2016 roku. Dane podawane są na podstawie wyliczeń z Google Analytics.</t>
  </si>
  <si>
    <t>1. Publikacje internetowe na stronie: http://podr.pl/sir/ (16)  ; 2. ulotka informacyjna SIR finansowana z Planu operacyjnego (nakład: 9 802);        3. artykuły w czasopiśmie Pomorskie Wieści Rolnicze ( 7 );</t>
  </si>
  <si>
    <t xml:space="preserve">1. Przez Innowacyjność do Sukcesu - organizator: Farmer Sp zo.o. ; 2. Innowacyjne wsparcie gospodarstw rolnych - organizator: Stowarzyszenie Absolwentów Wyższych Szkół Zarządzania „ Nasza Europa” i firma „EKOTEC”; 3. Działanie współpraca jako narzędzie wdrażania innowacji - organizator: Urząd Marszałkowski;  4. Konferencja pt. ,,Innowacyjna Wieś Pomorska - Pomorskie spotkanie z nauką rolniczą" (dwudniowa konferencja z wyjazdem studyjnym) - organizator: PODR (finansowane z planu operacyjnego); 5. Warsztaty: ,,Integracja działań na rzecz pomorza" (4 warsztaty po 20 osób) - organizator PODR (nie ze środków SIR).                                                                                                                                                                                                                 (W tabeli 6 nie ma błędów rachunkowych, ponieważ:
• Liczba zorganizowanych szkoleń i warsztatów:
1. Przez Innowacyjność do Sukcesu - organizator: Farmer Sp zo.o. ; 
2. Innowacyjne wsparcie gospodarstw rolnych - organizator: Stowarzyszenie Absolwentów Wyższych Szkół Zarządzania „ Nasza Europa” i firma „EKOTEC”; 
3. Działanie współpraca jako narzędzie wdrażania innowacji - organizator: Urząd Marszałkowski;  
4. Konferencja pt. ,,Innowacyjna Wieś Pomorska - Pomorskie spotkanie z nauką rolniczą" (dwudniowa konferencja z wyjazdem studyjnym) - organizator: PODR (finansowane z planu operacyjnego); 
5. Warsztaty: ,,Integracja działań na rzecz pomorza" (4 warsztaty po 20 osób) - organizator PODR (nie ze środków SIR).
4 szkolenia z warsztatami  + 4 warsztaty = 8
• Liczba dni szkoleniowych:
1. Przez Innowacyjność do Sukcesu - organizator: Farmer Sp zo.o. ; (1 dzień)
2. Innowacyjne wsparcie gospodarstw rolnych - organizator: Stowarzyszenie Absolwentów Wyższych Szkół Zarządzania 
„ Nasza Europa” i firma „EKOTEC”; (1 dzień)
3. Działanie współpraca jako narzędzie wdrażania innowacji - organizator: Urząd Marszałkowski;  (1 dziań)
4. Konferencja pt. ,,Innowacyjna Wieś Pomorska - Pomorskie spotkanie z nauką rolniczą" (dwudniowa konferencja z wyjazdem studyjnym) - organizator: PODR (finansowane z planu operacyjnego);  (2 dni)
5. Warsztaty: ,,Integracja działań na rzecz pomorza" (4 warsztaty po 20 osób) - organizator PODR (nie ze środków SIR). (4 x 1 dzień)
3 x 1 dzień + 2 dni + 4 x 1 dzień = 9 dni)
</t>
  </si>
  <si>
    <r>
      <t xml:space="preserve">1. Udział w konferencji z wyjazdem studyjnym organizowanej PODR (w więkrzości uczestniczyli rolnicy z terenu województwa pomorskiego);               2. W czterech warsztatach uczestniczyło 80 osób                                                                                                                                                                                                                </t>
    </r>
    <r>
      <rPr>
        <b/>
        <sz val="10"/>
        <color rgb="FFFF0000"/>
        <rFont val="Calibri"/>
        <family val="2"/>
        <charset val="238"/>
      </rPr>
      <t>(Liczba osób:
I : 80 + 155 = 235 osób
II : 4 +60 +32+ 139 = 235 osób)</t>
    </r>
  </si>
  <si>
    <t>koszty funkcjonowania związane są z wynagrodzeniami oraz delegacjami na szkolenia i spotkania z zakresu SIR organizowane przez CDR oraz delegacjami na spotkania odnośnie działania ,,Współpraca" (Różnice wynikają z faktu, iż w załączniku nr. 1 mamy koszty związane tylko z Planem operacyjnym a w załączniku nr. 2 są koszty Planu operacyjnego jak i funkcjonowania. Nie będzie, więc nigdy równych kwot pomiędzy obydwoma załącznikami. 
W załączniku nr. 2 kwoty się łączą i nie ma jasnego rozgraniczenia pomiędzy Plan operacyjny i funkcjonowanie, ponieważ organizowane szkolenia oraz udział w szkoleniach (gdzie kosztem są delegacje) nie są kosztami jedynie Planu operacyjnego a również funkcjonowania.)</t>
  </si>
  <si>
    <t>Świętokrzyski Ośrodek Doradztwa Rolniczego</t>
  </si>
  <si>
    <t>W  2015 roku zrealizowano jedną operację pod nazwa: " Innowacyjne rozwiązania w gospodarstwach rolniczych w oparciu o produkcję ekologiczną przy wykorzy-staniu funduszy w ramach PROW 2014-2020 - 2 dniowe szkolenie".                                                                                                                        W 2016 roku Łącznie odbyło się 10 takich spotkań (9 spotkań szkoleniowych, 1 konferencja), na których informacje odnośnie SIR przekazano ponad 228 osobom.       Przygotowano stoiska promocyjne na 13 wystawach, dożynkach, targach gdzie próbowano nawiązać kontakty z wystawcami, których działalność powiązana była z rolnictwem i którzy mogli być zainteresowani partnerstwem w SIR. Zrealizowano 5 operacji z planu operacyjnego w których wzieło udział 521 osób</t>
  </si>
  <si>
    <t>Liczba odsłon wszystkich zakładek i zamieszczonych informacji - 6864</t>
  </si>
  <si>
    <t xml:space="preserve">Artykuły w Aktualnościach rolniczych - 8 artykułów. 
Sporządzono 34 artykułów/informacji zamieszczane na stronach internetowych ŚODR Modliszewice 
</t>
  </si>
  <si>
    <t xml:space="preserve">Wykonano 1 tablicę informacyjną (logo SIR), promującą SIR
 na  I Targach Sadownictwa i Warzywnictwa HORT-TECHNIKA w Kielcach w 2015 roku   .          w 2016 roku Udzielono wywiadu do Radia Kielce na temat:  
• ”Wdrażanie programu Współpraca” 
• „Informacje nt. SIR i innowacji w rolnictwie, możliwości finansowania”
</t>
  </si>
  <si>
    <r>
      <rPr>
        <sz val="10"/>
        <rFont val="Calibri"/>
        <family val="2"/>
        <charset val="238"/>
      </rPr>
      <t>Przesłanie informacji do Bazy danych innowacyjnych rozwiązań w rolnictwie, leśnictwie i na obszarach wiejskich do CDR. 
Wysłano cztery informacje:
• Wprowadzenie do uprawy nowej odmiany bobiku Amulet
• Wprowadzenie do uprawy nowej odmiany pszenicy ozimej MEMORY
• Wprowadzenie do uprawy nowej odmiany pszenżyta  ozimego KWS TRISOL
• Wprowadzenie do uprawy nowej odmiany rzepaku  ozimego Marathon</t>
    </r>
    <r>
      <rPr>
        <sz val="10"/>
        <color indexed="11"/>
        <rFont val="Calibri"/>
        <family val="2"/>
        <charset val="238"/>
      </rPr>
      <t xml:space="preserve">
</t>
    </r>
  </si>
  <si>
    <r>
      <rPr>
        <sz val="9"/>
        <color theme="1"/>
        <rFont val="Calibri"/>
        <family val="2"/>
        <charset val="238"/>
        <scheme val="minor"/>
      </rPr>
      <t>Rok 2015 - Koszty związane z planem działania obejmują organizację 1 szkolenia 2-dniowego dla 60 osób.
Koszty funkcjonowania obejmują:                                       
 1. Wynagrodzenia</t>
    </r>
    <r>
      <rPr>
        <sz val="11"/>
        <color theme="1"/>
        <rFont val="Calibri"/>
        <family val="2"/>
        <charset val="238"/>
        <scheme val="minor"/>
      </rPr>
      <t xml:space="preserve"> pracowników, którzy w ramach zadań SIR:                           - promowali SIR na targach i </t>
    </r>
    <r>
      <rPr>
        <sz val="9"/>
        <color theme="1"/>
        <rFont val="Calibri"/>
        <family val="2"/>
        <charset val="238"/>
        <scheme val="minor"/>
      </rPr>
      <t xml:space="preserve">wystawach oraz organizowali spotkania informacyjne
- stworzyli i rozdysponowali materiały promocyjne SIR (baner i ulotka)
- uczestniczyli w szkoleniach, konferencjach organizowanych przez CDR dotyczących SIR
- udzielali informacji dotyczących SIR i innowacji dla potencjalnych pratnerów grup operacyjnych
- brali udział w planowaniu operacji własnych w ramach planu operacyjnego na lata 2016-2017
2. Wyjazdy służbowe - uczestnictwo w szkolenich CDR i wyjazdach na wystawy i targi
3. Dostosowanie biura na potrzeby funcjonowania SIR w siedzibie Ośrodka (remont biura, zakup mebli, sprzętu komputerowego i multimedialnego, zakup materiałów biurowych)                  Rok 2016 koszty związane z planm działania obejmują organizację 5 operacji, koszty funkcjonowania obejmują 1. Wynagrodzenia pracowników, którzy w ramach zadań SIR:                           - promowali SIR na targach i wystawach oraz organizowali spotkania informacyjne
- stworzyli i rozdysponowali materiały promocyjne SIR (baner i ulotka)
- uczestniczyli w szkoleniach, konferencjach organizowanych przez CDR dotyczących SIR
- udzielali informacji dotyczących SIR i innowacji dla potencjalnych pratnerów grup operacyjnych
- brali udział w planowaniu operacji własnych w ramach planu operacyjnego na lata 2016-2017
2. Wyjazdy służbowe - uczestnictwo w szkolenich CDR i wyjazdach na wystawy i targi </t>
    </r>
  </si>
  <si>
    <r>
      <t>Cel i kontekst Wspólnej Statystyki Sieci</t>
    </r>
    <r>
      <rPr>
        <sz val="12"/>
        <color rgb="FF000000"/>
        <rFont val="Calibri"/>
        <family val="2"/>
        <charset val="1"/>
      </rPr>
      <t>Wspólna Statystyka Sieci została opracowana przez Punkt Kontaktowy ENRD we współpracy z jednostkami wspierającymi sieci w Państwach Członkowskich UE w celu uzyskania całościowego obrazu dokonań KSOW. Informacja ta zostanie wykorzystana do podsumowania i oceny działań sieci, a także umożliwi porównywanie sieci w różnych krajach UE.</t>
    </r>
    <r>
      <rPr>
        <b/>
        <u/>
        <sz val="12"/>
        <color rgb="FF000000"/>
        <rFont val="Calibri"/>
        <family val="2"/>
        <charset val="238"/>
      </rPr>
      <t>Powiązania między Wspólną Statystyką Sieci i obligatoryjnymi wskaźnikami monitorowania określonymi w rozporządzeniu wykonawczym KE (UE) nr 808/2014</t>
    </r>
    <r>
      <rPr>
        <sz val="12"/>
        <color rgb="FF000000"/>
        <rFont val="Calibri"/>
        <family val="2"/>
        <charset val="1"/>
      </rPr>
      <t>Celem Wspólnej Statystyki Sieci jest ułatwienie zbierania danych do obligatoryjnych wskaźników. Wszystkie podmioty zaangażowane w realizację zadań sieci wypełniają tylko arkusz</t>
    </r>
    <r>
      <rPr>
        <i/>
        <sz val="12"/>
        <color rgb="FF000000"/>
        <rFont val="Calibri"/>
        <family val="2"/>
        <charset val="238"/>
      </rPr>
      <t>"Wspólna Statystyka Sieci".Definicje i wytyczne do poszczególnych wskaźnikówW opisie poszczególnych wskaźników/mierników znajdują się wytyczne dla każdego wskaźnika. W sytuacji, kiedy wytyczne nie są jasne albo mierniki/wskaźniki nie są możliwe do uzupełnienia - prosimy wypełnić rubrykę "Komentarze". 
 Zakres tematyczny został powiązany z priorytetami PROW 2014-2020.Udział w budżecieSzacowany podział budżetu (Tabela 8) ma na celu dostarczenie informacji jak proporcjonalnie środkirocznego budżetu sieci zostały przeznaczone na odpowiednie działania objęte wskaźnikami. Proszę podaj budzet dla poszczególnych kategorii i wskaż trudności w komentarzu.</t>
    </r>
  </si>
  <si>
    <r>
      <t>Komentarze</t>
    </r>
    <r>
      <rPr>
        <sz val="10"/>
        <color rgb="FF000000"/>
        <rFont val="Calibri"/>
        <family val="2"/>
        <charset val="1"/>
      </rPr>
      <t>(proszę wskazać co jest rozumiane przez kategorię "inne")</t>
    </r>
  </si>
  <si>
    <t>Organizacja 27 jednodniowych szkoleń dot. efektów PROW 2007-2013 oraz PROW 2014-2020, spotkanie informacyjne "Transfer wiedzy i działalność informacyjna PROW 2014-2020", impreza wystawiennicza z udziałem szkół rolniczych prowadoznych przez MRiRW w zakresie promowania PROW 2014-2020, 5 imrez targowych (Siedlce, Bednary, Częstochowa, Spała, Natura Food), spotkanie informacyne dot. PROW w ramach Krajowego Kongeru Rolnictwa RP Konferencja dla kadry zarządzającej ZSCKR z wyjazdem studyjnym, Konferencja dla dyrektorów szkół rolniczych w zakresie działań info-promo PROW, konferencja dot. prezentacji i promocji innowacyjnych rozwiązań technologicznych oraz metod produkcji, szkolenie nt rozpoznawania i monitoringu agrofagów, podsumowanie konkursu na najlepsze czasopismo wydawnicze Obszar tematyczny: Promocja zrównoważonego rozwoju obszarów wiejskich (operacja: Organizacja XL oraz XLI Ogólnopolskiego Konkursu Jakości Prac Scaleniowych promującego doświadczenia i najlepsze stosowane praktyki)  Spotkanie dotyczące doświadczeń europejskich we wdrażaniu podejścia Leader i RLKS w dniu 09.06.2016 r. dwa wydarzenia - "Transfer wiedzy i działalność informacyjna" (spotkanie z nauczycielami szkół rolniczych MRiRW oraz spotkanie podczas Sierpeckich Dni Rolnika w Studzieńcu).
Spotkanie podczas Sierpeckich Dni Rolnika w Studzieńcu miało charakter regionalny.
Spotkanie z nauczycielami ze szkół prowadzonych przez MRiRW miało charakter ogólnopolski. 6 wydarzeń:
1) Konferencja dla dyrektorów szkół rolniczych prowadzonych przez MRiRW oraz dyrektora KCER dot. PROW 2014-2020;
2) Olimpiady Wierdzy i Umiejętności dla uczniów szkół ponadgimnazjalnych. (2 olimpiady: Olimpiada Wiedzy o Żźywieniu i Żywności i Olimpiada Wiedzy i Umiętności Rolniczych)
3) projekt o zasięgu międzynarodowym - VIII Miedzynarodowe Targi Turytyki Wiejskiej i Agroturytyki AGROTRAVEL (8-10 kwietnia 2016 r.), w tym Międzynarodowy panel dyskusyjny w ramach Forum Turystyki Wiejskiej i Agroturystyki pt.: Miejsce turystyki wiejskiej w nowoczesnej gospodarce. (zakres tematyczny mieszany)
4) Wizyta studyjna AGROTRIP (priorytet 6 i 8 - Promowanie włączenia społecznego, zmniejszenia ubóstwa oraz rozwoju gospodarczego na obszarach wiejskich
Promowanie efektywnego gospodarowania zasobami i wspieranie przechodzenia w sektorach rolnym, spożywczym i leśnym na gospodarkę niskoemisyjną i odporną na zmianę klimatu.)
5) Stoisko "Odpoczywaj na wsi" (priorytet 6 i 8 - jak wyżej) 1. Konkurs "Sposób na sukces" 2. Konkurs na najlepsze wydawnictwo ODR cztery spotkania łącznie, w tym: (1)  jedno spotkanie dla działania  organizacja spotkań informacyjnych dla kadry kierowniczej instytutów naukowo-badawczych podległych Ministrowi Rolnictwa i Rozwoju Wsi ; (2) trzy spotkania dla działania -Organizacja cyklu wizyt doradców rolniczych w instytutach naukowo-badawczych Targi AgroPark w Lublinie, targi Agrotech w Kielcach, Regionalna Wystawa Zwierząt Hodowlanych w Szepietowie, targi Agrotech w Minikowie, Krajowa Wystawa Rolnicza oraz Dożynki Jasnogórskie w Częstochowie, Dni z Doradztwem Rolniczym w Siedlcach, Dożynki Prezydenckie w Spale, targi AGROSHOW w Bednarach. projekt o zasięgu miedzynarodowym - Targi Grune Woche w Berlinie, projekt o zasięgu miedzynarodowym - Targi BioFach w Norymberdze, Targi Natura Food w Łodzi, Finał V edycji ogólnopolskiego konkursu dla szkół gastronomicznych Krajowy Kongres Rolnictwa Rzeczypospolitej Polskiej</t>
  </si>
  <si>
    <t>Organizacja 27 jednodniowych szkoleń dot. efektów PROW 2007-2013 oraz PROW 2014-2020 - 2700, spotkanie informacyjne "Transfer wiedzy i działalność informacyjna PROW 2014-2020" -83, impreza wystawiennicza z udziałem szkół rolniczych prowadoznych przez MRiRW w zakresie promowania PROW 2014-2020 - 51, 5 imrez targowych (Siedlce, Bednary, Częstochowa, Spała, Natura Food) - ok. 272000 odwiedzających, spotkanie informacyne dot. PROW w ramach Krajowego Kongeru Rolnictwa RP - 164 Konferencja dla kadry zarządzającej ZSCKR z wyjazdem studyjnym (1 dla 57 osób), Konferencja dla dyrektorów szkół rolniczych w zakresie działań info-promo PROW (1 dla 66 osób), konferencja dot. prezentacji i promocji innowacyjnych rozwiązań technologicznych oraz metod produkcji (1 dla 150 osób), szkolenie nt rozpoznawania i monitoringu agrofagów (88 osób), podsumowanie konkursu na nalepsze czasopismo wydawnicze (1 dla 35 osób) Obszar tematyczny: Promocja zrównoważonego rozwoju obszarów wiejskich (operacja: Organizacja XL oraz XLI Ogólnopolskiego Konkursu Jakości Prac Scaleniowych promującego doświadczenia i najlepsze stosowane praktyki)  - 78 osób  Spotkanie dotyczące doświadczeń europejskich we wdrażaniu podejścia Leader i RLKS w dniu 09.06.2016 r. - 40 osób dwa wydarzenia - "Transfer wiedzy i działalność informacyjna" (spotkanie z nauczycielami szkół rolniczych MRiRW oraz spotkanie podczas Sierpeckich Dni Rolnika w Studzieńcu).
Spotkanie podczas Sierpeckich Dni Rolnika w Studzieńcu miało charakter regionalny- 200 osób.
Spotkanie z nauczycielami ze szkół prowadzonych przez MRiRW miało charakter ogólnopolski - 100 osób. 5 wydarzeń:
1) Konferencja dla dyrektorów szkół rolniczych prowadzonych przez MRiRW oraz dyrektora KCER dot. PROW 2014-2020 - 68 osób;
2) Olimpiady Wierdzy i Umiejętności dla uczniów szkół ponadgimnazjalnych. (2 olimpiady: Olimpiada Wiedzy o Żźywieniu i Żywności i Olimpiada Wiedzy i Umiętności Rolniczych) - 65 osób
3) projekt o zasięgu międzynarodowym - VIII Miedzynarodowe Targi Turytyki Wiejskiej i Agroturytyki AGROTRAVEL (8-10 kwietnia 2016 r.), w tym Międzynarodowy panel dyskusyjny w ramach Forum Turystyki Wiejskiej i Agroturystyki pt.: Miejsce turystyki wiejskiej w nowoczesnej gospodarce. (priorytet 6) - 20000 uczestników
4) Wizyta studyjna AGROTRIP (priorytet 6) - 21 osób
5) Stoisko "Odpoczywaj na wsi" (priorytet 6 i 8 - jak wyżej) - 5000 odwiedzających 1. Konkurs "Sposób na sukces" 2. Konkurs na najlepsze wydawnictwo ODR (razem 166 osób) działanie : (1) organizacja spotkań informacyjnych dla kadry kierowniczej instytutów naukowo-badawczych podległych Ministrowi Rolnictwa i Rozwoju Wsi - liczba uczestników 90 osób ; (2) Organizacja cyklu wizyt doradców rolniczych w instytutach naukowo-badawczych łaczna liczba uczestników 177 Dane ze stron targowych lub informacja od organizatora targów, liczba oób odiwedzjących targi: targi AgroPark w Lublinie 22.104;  Targi Agrotech w Kielcach 64.330;  Wystawa Zwierząt Hodowlanych w Szepietowie 100.000;  targi Agrotech w Minikowie 35.000; Krajowa Wystawa Rolnicza oraz Dożynki Jasnogórskie w Częstochowie 80.000;  Dni z Doradztwem Rolniczym w Siedlcach 100.000; Dożynki Prezydenckie 15.000; targi AGROSHOW  w Bednarach 140.000. Dane ze stron targowych, liczba osób odwiedzających targi: projekt o zasięgu miedzynarodowym- Grune Woche w Berlinie  380.000;  projekt o zasięgu miedzynarodowym- BioFach 48.533;  Natura Food 12.000; liczba uczestników finału 12052 edycji ogólnoplskiego konkursu dla szkół gastronomicznych 52 osoby. Krajowy Kongres Rolnictwa Rzeczypospolitej Polskiej - 73 osoby</t>
  </si>
  <si>
    <t xml:space="preserve">      </t>
  </si>
  <si>
    <t xml:space="preserve">1. Zamieszczenie w Kalendarzu Rolników na 2016 rok materiału informacyjno-promocyjnego MRiRW dotyczącego efektów realizacji PROW 2007-2013 ora PROW 2014-2020 -nakład 300 000
2. Zamieszczenie w wydaniu okolicznościowym "Gazety targowej", materiału informacyjno-promocyjnego MRiRW dotyczącego efektów realizacji PROW 2017-2013 oraz PROW 2014-2020 - nakład 3 000
3. Wykonanie kalendarzy  w ilości 2000 szt.
4. Publikacja 10 artykułów  1.Kalendarze na 2017 r. promujace działania obszarowe PROW 2014-2020;                                                                                                                                                                                                                                                                                                                            2. Drukowane materiały informacyjno-promocyjne dla działań obszarowych PROW 2014-2020.   600 egz. kalendarzy na 2017 r., power banki 150 szt., wiatromierze 33 szt., deszczomierze 33 szt., testery pH 33 szt. Informator o instytutach  badawczych nadzorowanych przez Ministra Rolnictwa i Rozwoju Wsi- liczba egzemplarzy 1000 sztuk Wydanie publikacji informacyjnej  z zakresu systemu Chronionych Nazw Pochodzenia, Chronionych Oznaczeń Geograficzych, Gwarantowanych Tradycyjnych Specjalności- roztrzygnięcie konkursu na przepis kulinarny ( 5.000 egz.);  zamieszczenie w Kalendarzu Rolników na 2017 rok materiału informacyjno-promocyjnego dot. PROW 2014-2020 (1 artykuł 1 tj. 18 stron w nakładzie 250.000 ); wykonanie materiałów promocyjnych PROW 2014-2020 ( 18.200 sztuk). </t>
  </si>
  <si>
    <t xml:space="preserve">1. Produkcja i emisja audycji na antenie Programu Pierwszego Polskiego Radia, dotycząca efektów realizacji PROW 2007-2013 oraz prezentujących PROW 2014-2020 oraz umieszczanie audycji w wersji dźwiękowej na portalu - 18 audycji i strona internetowa
2. Produkcja i emisja magazynu rolniczego pt. "Magazyn Wielkopolskich Rolników" prezentującego efekty realizacji PROW 2007-2013 oraz nowy okres programowania -PROW 2014020 na antenie Radia Merkury - 30 audycji i strona internetowa 
3. Produkcja i emisja  programów radiowych pt. "Radiowe Dożynki 2015, czyli nowe perspektywy dla rolnictwa wschodniej Polski w ramach nowej perspektywy finansowej i działania PROW 2014-2020, prezentujących efekty realizacji PROW 2007-2013 oraz nowy okres oprogramowania na antenie Katolickiego Radia Podlasie - 8 audycji i strona internetowa
4. Emisja watków na temat efektów realizacji PROW 2007-2013 oraz 2014-2020 w programie "Dzień dobry w sobote" - 6 audycji.
5. Kampania informacyjno-edukacyjna na temat PROW 2014-2020 oraz efektów realizacji PROW 2007-2013 w audycji "Wielki test o zywności. Polska Smakuje"      Kampania informacyjno-edukacyjna dotycząca PROW 2014-2020 na antenie Telwizji Polskiej S.A - Program 1 w audycj pt. "Magazyn Rolniczy" (6); Kampania informacyjno-edukacyjna dotycząca PROW 2014-2020 na antenie Telwizji Polskiej S.A - Program 1 w audycj pt. "Dzień Dobry w Sobotę";  (13);Kampania informacyjno-edukacyjna dotycząca PROW 2014-2020 na antenie Telwizji Polskiej S.A - Program 1 w audycj pt. Wielki Test o Żywności. Polska Smakuje" (1) Zorganizowanie i przeprowadzenie V edycji Konkursu dla szkół gastronomicznych na przepisy wykorzystujące produkty uczestniczące w systemie Chronionych Nazw Pochodzenia, Chronionych Oznaczeń Geograficznych oraz Gwarantowanych Tradycyjnych Specjalności;
produkcja i emisja audycji rolniczej o charakterze informacyjno-publicystycznym pod nazwą "Forum Rolnika" na antenie rozgłośni regionalnej: Polskiego Radia-Regionalnej Rozgłośni w Olsztynie Radio Olsztyn S.A. (16),
emisja audycji rolniczej o charakterze informacyjno-publicystycznym pod nazwą "Forum Rolnika" na antenach rozgłośni regionalnych: Polskiego Radia-Regionalnej Rozgłośni w Lublinie „Radio Lublin” S.A., Polskiego Radia-Regionalnej Rozgłośni w Białymstoku „Radio Białystok” S.A., Polskiego Radia-Regionalnej Rozgłośni w Koszalinie „Radio Koszalin” S.A., Polskiego Radia-Regionalnej Rozgłośni w Poznaniu „Radio Merkury” S.A., Polskiego Radia-Regionalnej Rozgłośni w Bydgoszczy "Polskie Radio Pomorza i Kujaw" S.A., Polskiego Radia-Regionalnej Rozgłośni w Warszawie „Radio Dla Ciebie” S.A., "Polskiego Radia Rzeszów"- Rozgłośni Regionalnej w Rzeszowie S.A.,  Polskiego Radia-Regionalnej Rozgłośni w Szczecinie „Polskie Radio Szczecin” S.A., Polskiego Radia-Regionalnej Rozgłośni w Zielonej Górze „Radio Zachód” S.A., Polskiego Radia-Regionalnej Rozgłośni w Kielcach „Radio Kielce” S.A.(132),
 Polskiego Radia-Regionalnej Rozgłośni w Łodzi „Radio Łódź” S.A.; Produkcja i emisja 3-minutowych audycji AgroFakty, na antenie Programu Pierwszego Polskiego Radia S.A. (14) </t>
  </si>
  <si>
    <t>Komentarze(proszę wskazać co jest rozumiane przez kategorię "inne")</t>
  </si>
  <si>
    <r>
      <t>Komentarze</t>
    </r>
    <r>
      <rPr>
        <sz val="12"/>
        <color rgb="FF000000"/>
        <rFont val="Calibri"/>
        <family val="2"/>
        <charset val="238"/>
      </rPr>
      <t>(</t>
    </r>
    <r>
      <rPr>
        <sz val="10"/>
        <color rgb="FF000000"/>
        <rFont val="Calibri"/>
        <family val="2"/>
        <charset val="238"/>
      </rPr>
      <t>proszę wskazać co jest rozumiane przez kategorię "inne")</t>
    </r>
  </si>
  <si>
    <t>...ENRD CP</t>
  </si>
  <si>
    <t>Wystąpiła trudnośc podczas przyporządkowywania spotkań/konferencji do poszczególnych rodzajów inicjatyw, ze względu na fakt, iż niektóre programy  spotkań/konferencji dotyczyły więcej niż jednego obszaru , tzw. spotkania łączone. Natomiast w części tabeli wg głównego organizatora jest zbyt mało możliwości wyboru, gdyż głównym organizatorem jest podmiot inny niż wskazany w tej tabeli, np. Parlament Europejski we współpracy z KE i ENRD (ENRD nie była głównym organizatorem), KE we współpracy z ENRD. Jednocześnie niektóre wyjazdy były finansowane z innych środkow niż w ramach funkcjonowania sieci, co utrudnia identyfikację aktywnego udziału przedstawiciela podmiotu, który delegował daną osobę na spotkanie.     Wyjazd 1 osoby z SAR do Brukseli w dn. 30.11-01.12.2016 r. w związku z udziałem w posiedzeniu Zgromadzenia Sieci Obszarów Wiejskich  Udział 1 osoby z BPT w V i VI posiedzeniu Grupy Sterującej ds. ESROW w Brukseli oraz w posiedzeniu Zgromadzenia ESOW</t>
  </si>
  <si>
    <r>
      <t>Komentarze</t>
    </r>
    <r>
      <rPr>
        <sz val="10"/>
        <color rgb="FF000000"/>
        <rFont val="Calibri"/>
        <family val="2"/>
        <charset val="238"/>
      </rPr>
      <t>(proszę wskazać co jest rozumiane przez kategorię "inne")</t>
    </r>
  </si>
  <si>
    <t xml:space="preserve"> 1. Szkolenie związane ze zmianami w przepisach dotyczących działania Program rolnośrodowiskowy PROW 2007-2013 oraz działań: Działanie rolno - środowiskowo - klimatyczne  i Rolnictwo ekologiczne PROW 2014-2020, (24.03.)                                                                                                                                                                                                                                                                                                                                                                                                                                                                                                              2.Szkolenia dla hodowców zwierząt Pakietu 7. Działania rolno-środowiskowo-klimatycznego w ramach PROW 2014-2020. (8-9.11;15-16.11;17-18.11;19-20.11;22-23.11)                  1. Dobre Praktyki w  ramach Działania rolno-środowiskowo-klimatycznego i działania Rolnictwo Ekologiczne;                                                                                                                                                                                                                                            2. Seminarium dotyczącego realizacji działania „Zalesianie i tworzenie terenów zalesionych” objętego Programem Rozwoju Obszarów Wiejskich na lata 2014-2020, w terminie  13-14 października 2016 roku. 7. Udział w warsztatach pod hasłem „Środki rolno-środowiskowo-klimatyczne: trudności w kontrolowaniu i weryfikowaniu” (Bruksela 6-7.12); 1. Udział w spotkaniu dwustronnym RD2/2016/006/PL - dot. postępowanie audytowe (działanie 10, 11 i 13 PROW 2014-2020) - (Bruksela 12-13.12)                                                                                                                                                                                                                                                                                                                              2. Udział  w posiedzeniu Grupy ekspertów ds. płatności bezpośrednich oraz Rozwoju Obszarów Wiejskich (Bruksela 18.01);                                                                             
3. Udział w spotkaniu dyrektorów ds. Rozwoju Obszarów Wiejskich (Haarlem, Holandia, 20-22.04);                                                                                                                                                                                                                                                                   4. Udział w Seminarium pt. „European seminar on agri-environment-climate measures (AECM)” (Paryż, Francja, 8-9.09);                                                                  
5. Udział w konferencji „Przyroda Karpat – stan, zagrożenia i perspektywy ochrony” ( Kraków 14-15.09);                                                                                                                                                                                                                                                                                                                                                                                                                                                                                                                                     
6.  Irlandia na Europejskiej Konferencji dotyczącej rozwoju obszarów wiejskich, która odbyła się w dniach 5-6 września 2016 roku, w Cork (Irlandia) (wyjazd 5.09.2016  powrót był 7.09.2016);                                                                                                                                                                                                                                                                                                                                                                                                                                                                                                                                                                                                                                                                                                                                                                                                                                                                                                                                                                                             7. Udział w posiedzeniu do spraw Rozwoju Obszarów Wiejskich (17 luty Bruksela);                                                                                                                                                                                                                                                                                                     8. Grupa ekspertów ds. monitorowania i ewaluacji WPR (17-18 listopada Bruksela);                                                                                                                                                                                                                                                                                                               9. Warsztaty zorganizowane przez European Evaluation Helpdesk-poświęcone ocenie programów rozwoju obszarów wiejskich pod kątem ich wpływu na zachowanie/ rozwoju gospodarowania sprzyjającego zachowaniu bioróżnorodności i krajobrazu (BONN);                                                                                                                                                                                                                                                                                                                                                                                                10. Spotkanie Agri Environment Correspondents (Bruksela 26-27.04).   1. Szkolenie uzupełniające dla doradców rolnośrodowiskowych i eskpertów przyrodniczych 2. Spotkanie informacyjne dla kadry zarządzającej jednostkami doradztwa rolniczego (nie było finansowane z PK) * Szkolenia z zakresu pierwszej pomocy skierowane były do właścicieli zagród edukacyjnych, członków ich rodzin oraz osób zainteresowanych zarejestrowaniem swojej zagrody edukacyjnej w Ogólnopolskiej Sieci Zagród Edukacyjnych. Odbyły się w 11 następujących województwach: dolnośląskim, lubelskim, lubuskim, łódzkim, mazowieckim, opolskim, podkarpackim, śląskim, świętokrzyskim, wielkopolskim oraz zachodniopomorskim. Szkolenia odbyły się w siedzibach wojewódzkich ośrodków doradztwa rolniczego, były to szkolenia jednodniowe  </t>
  </si>
  <si>
    <t xml:space="preserve"> 1. Szkolenie związane ze zmianami w przepisach dotyczących działania Program rolnośrodowiskowy PROW 2007-2013 oraz działań: Działanie rolno - środowiskowo - klimatyczne  i Rolnictwo ekologiczne PROW 2014-2020, (24.03.)                                                                                                                                                           2.Szkolenia dla hodowców zwierząt Pakietu 7. Działania rolno-środowiskowo-klimatycznego w ramach PROW 2014-2020. (8-9.11;15-16.11;17-18.11;19-20.11;22-23.11)                  1. Dobre Praktyki w  ramach Działania rolno-środowiskowo-klimatycznego i działania Rolnictwo Ekologiczne;                                                                                                                                                                                                                                              2. Seminarium dotyczącego realizacji działania „Zalesianie i tworzenie terenów zalesionych” objętego Programem Rozwoju Obszarów Wiejskich na lata 2014-2020, w terminie  13-14 października 2016 roku. 7. Udział w warsztatach pod hasłem „Środki rolno-środowiskowo-klimatyczne: trudności w kontrolowaniu i weryfikowaniu” (Bruksela 6-7.12); 1. Udział w spotkaniu dwustronnym RD2/2016/006/PL - dot. postępowanie audytowe (działanie 10, 11 i 13 PROW 2014-2020) - (Bruksela 12-13.12)                                                                                                                                                                                                                                                                                                                              2. Udział  w posiedzeniu Grupy ekspertów ds. płatności bezpośrednich oraz Rozwoju Obszarów Wiejskich (Bruksela 18.01);                                                                             
3. Udział w spotkaniu dyrektorów ds. Rozwoju Obszarów Wiejskich (Haarlem, Holandia, 20-22.04);                                                                                                                                                                                                                                                                   4. Udział w Seminarium pt. „European seminar on agri-environment-climate measures (AECM)” (Paryż, Francja, 8-9.09);                                                                  
5. Udział w konferencji „Przyroda Karpat – stan, zagrożenia i perspektywy ochrony” ( Kraków 14-15.09);                                                                                                                                                                                                                                                                                                                                                                                                                                                                                                                                     
6.  Irlandia na Europejskiej Konferencji dotyczącej rozwoju obszarów wiejskich, która odbyła się w dniach 5-6 września 2016 roku, w Cork (Irlandia) (wyjazd 5.09.2016  powrót był 7.09.2016);                                                                                                                                                                                                                                                                                                                                                                                                                                                                                                                                                                                                                                                                                                                                                                                                                                                                                                                                                                                             7. Udział w posiedzeniu do spraw Rozwoju Obszarów Wiejskich (17 luty Bruksela);                                                                                                                                                                                                                                                                                                     8. Grupa ekspertów ds. monitorowania i ewaluacji WPR (17-18 listopada Bruksela);                                                                                                                                                                                                                                                                                                               9. Warsztaty zorganizowane przez European Evaluation Helpdesk-poświęcone ocenie programów rozwoju obszarów wiejskich pod kątem ich wpływu na zachowanie/ rozwoju gospodarowania sprzyjającego zachowaniu bioróżnorodności i krajobrazu (BONN);                                                                                                                                                                                                                                                                                                                                                                                                10. Spotkanie Agri Environment Correspondents (Bruksela 26-27.04).   * W szkoleniach brali udział właściciele Zagród Edukacyjnych zagród edukacyjnych, członkowie ich rodzin oraz osoby zainteresowane zarejestrowaniem swojej zagrody edukacyjnej w Ogólnopolskiej Sieci Zagród Edukacyjnych.  </t>
  </si>
  <si>
    <t>7. Wsparcie transnarodowej i międzyterytorialnej współpracy w ramach LEADER/RLKS i wspólnych inicjatyw</t>
  </si>
  <si>
    <r>
      <t>Komentarze</t>
    </r>
    <r>
      <rPr>
        <sz val="10"/>
        <color rgb="FF000000"/>
        <rFont val="Calibri"/>
        <family val="2"/>
        <charset val="238"/>
      </rPr>
      <t>(proszę wskazać także inne kategorie)</t>
    </r>
  </si>
  <si>
    <t>W powyższych tabelach nie uwzględniono następujących kosztów:
Gadżety SAR na kwotę -54488,40-  33 ph metry, 33 deszczomierze, 45 zakładek do książek, 15 lnianych worków.
Gadżety RR – 40939,32 zł- 6000 smyczy, 2000 notatników,  4000 długopisów i 3000 kredek - koszty dot. roku 2015/
W ramach kosztów funkcjonowania wliczono koszty delegacji krajowych, zagranicznych, szkoleń, kursów językowych, wynagrodzeń osobowych, bezosobowych, ekspertyz, ksiegi wizualizacji, utrzymania portalu KSOW, usług remontowych, wyposażenia stanowisk pracy osób zajmujacych się KSOW, tłumaczeń, materiałów, usług teleinformatycznych eksploatacyjnych przypadających na pracowników zaangażowanych w realizację zadań w ramach KSOW.</t>
  </si>
  <si>
    <t>MRiRW wraz z JC</t>
  </si>
  <si>
    <t>Zestawienie zbiorcze</t>
  </si>
  <si>
    <r>
      <rPr>
        <u/>
        <sz val="9"/>
        <rFont val="Calibri1"/>
        <charset val="238"/>
      </rPr>
      <t xml:space="preserve">1. ROK 2015: </t>
    </r>
    <r>
      <rPr>
        <sz val="9"/>
        <rFont val="Calibri1"/>
        <charset val="238"/>
      </rPr>
      <t xml:space="preserve">Na kowtę funkcjonwania 144 666,10 zł składają się koszty związane z zatrudnieniem na pełen etat 4 osób i premia Zastępcy Dyrektora w kwocie 138 846,55 zł , delegace w kwocie 5 785,59 zł oraz internet w kwocie 33,96 zł. Całkowity koszt poniesiony na realizację operacji w ramach Planu działania KSOW w 2016 roku to 376 156,74 zł.  Koszt ten uwzględnia również materiały promocyjne (gadżety) w kwocie 16 835,01 zł brutto, których nie wykazano w tabelach 1-7.                                                                                                                                                                                                                                                                                                                                                                                                                                                              </t>
    </r>
    <r>
      <rPr>
        <u/>
        <sz val="9"/>
        <rFont val="Calibri1"/>
        <charset val="238"/>
      </rPr>
      <t>2. ROK 2016</t>
    </r>
    <r>
      <rPr>
        <sz val="9"/>
        <rFont val="Calibri1"/>
        <charset val="238"/>
      </rPr>
      <t>: Całkowity koszt poniesiony na realizację operacji w ramach Planu działania KSOW w 2016 roku to 807 897,95.  Koszt ten uwzględnia również materiały promocyjne (gadżety) w kwocie 11 553,39 zł brutto, których nie wykazano w tabelach 1-7.
Na kwotę funkcjonowania 361 553,52 zł składają się następujące koszty : wynagrodzenie pracowników JR KSOW wraz z nagrodami i "trzynastką" oraz premie Zastępcy Dyrektora Wydziału TW w kwocie 346 156,35 zł, delegacje 13 687,32 zł, podnoszenie kwalifikacji pracowników - delegacje 1 642,20 zł oraz koszty Internetu 67,65 zł.</t>
    </r>
    <r>
      <rPr>
        <u/>
        <sz val="9"/>
        <rFont val="Calibri1"/>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</si>
</sst>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zł&quot;;[Red]\-#,##0.00\ &quot;zł&quot;"/>
    <numFmt numFmtId="44" formatCode="_-* #,##0.00\ &quot;zł&quot;_-;\-* #,##0.00\ &quot;zł&quot;_-;_-* &quot;-&quot;??\ &quot;zł&quot;_-;_-@_-"/>
    <numFmt numFmtId="164" formatCode="[$-415]General"/>
    <numFmt numFmtId="165" formatCode="#,##0.00\ _z_ł"/>
    <numFmt numFmtId="166" formatCode="#,##0.00\ &quot;zł&quot;"/>
  </numFmts>
  <fonts count="159">
    <font>
      <sz val="11"/>
      <color theme="1"/>
      <name val="Calibri"/>
      <family val="2"/>
      <charset val="238"/>
      <scheme val="minor"/>
    </font>
    <font>
      <sz val="11"/>
      <color theme="1"/>
      <name val="Calibri"/>
      <family val="2"/>
      <charset val="238"/>
      <scheme val="minor"/>
    </font>
    <font>
      <b/>
      <sz val="22"/>
      <color indexed="8"/>
      <name val="Calibri"/>
      <family val="2"/>
    </font>
    <font>
      <sz val="22"/>
      <color theme="1"/>
      <name val="Calibri"/>
      <family val="2"/>
      <scheme val="minor"/>
    </font>
    <font>
      <b/>
      <sz val="24"/>
      <color indexed="8"/>
      <name val="Calibri"/>
      <family val="2"/>
    </font>
    <font>
      <b/>
      <u/>
      <sz val="14"/>
      <color indexed="8"/>
      <name val="Calibri"/>
      <family val="2"/>
      <charset val="238"/>
    </font>
    <font>
      <sz val="12"/>
      <color indexed="8"/>
      <name val="Calibri"/>
      <family val="2"/>
      <charset val="238"/>
    </font>
    <font>
      <b/>
      <u/>
      <sz val="12"/>
      <color indexed="8"/>
      <name val="Calibri"/>
      <family val="2"/>
      <charset val="238"/>
    </font>
    <font>
      <sz val="12"/>
      <color indexed="8"/>
      <name val="Calibri"/>
      <family val="2"/>
    </font>
    <font>
      <i/>
      <sz val="12"/>
      <color indexed="8"/>
      <name val="Calibri"/>
      <family val="2"/>
      <charset val="238"/>
    </font>
    <font>
      <b/>
      <sz val="12"/>
      <color indexed="8"/>
      <name val="Calibri"/>
      <family val="2"/>
    </font>
    <font>
      <b/>
      <sz val="16"/>
      <color indexed="8"/>
      <name val="Calibri"/>
      <family val="2"/>
    </font>
    <font>
      <b/>
      <sz val="14"/>
      <color indexed="8"/>
      <name val="Calibri"/>
      <family val="2"/>
    </font>
    <font>
      <b/>
      <sz val="11"/>
      <color indexed="8"/>
      <name val="Calibri"/>
      <family val="2"/>
    </font>
    <font>
      <b/>
      <sz val="11"/>
      <color indexed="8"/>
      <name val="Calibri"/>
      <family val="2"/>
      <charset val="238"/>
    </font>
    <font>
      <sz val="10"/>
      <color indexed="8"/>
      <name val="Calibri"/>
      <family val="2"/>
    </font>
    <font>
      <b/>
      <sz val="10"/>
      <color indexed="8"/>
      <name val="Calibri"/>
      <family val="2"/>
    </font>
    <font>
      <i/>
      <sz val="10"/>
      <color indexed="8"/>
      <name val="Calibri"/>
      <family val="2"/>
      <charset val="238"/>
    </font>
    <font>
      <sz val="10"/>
      <name val="Calibri"/>
      <family val="2"/>
      <charset val="238"/>
    </font>
    <font>
      <b/>
      <sz val="10"/>
      <name val="Calibri"/>
      <family val="2"/>
      <charset val="238"/>
    </font>
    <font>
      <sz val="11"/>
      <name val="Calibri"/>
      <family val="2"/>
      <charset val="238"/>
      <scheme val="minor"/>
    </font>
    <font>
      <sz val="11"/>
      <name val="Calibri"/>
      <family val="2"/>
      <scheme val="minor"/>
    </font>
    <font>
      <sz val="11"/>
      <color rgb="FFFF0000"/>
      <name val="Calibri"/>
      <family val="2"/>
      <scheme val="minor"/>
    </font>
    <font>
      <sz val="10"/>
      <color indexed="8"/>
      <name val="Calibri"/>
      <family val="2"/>
      <charset val="238"/>
    </font>
    <font>
      <sz val="11"/>
      <color indexed="8"/>
      <name val="Calibri"/>
      <family val="2"/>
    </font>
    <font>
      <b/>
      <sz val="14"/>
      <color theme="1"/>
      <name val="Calibri"/>
      <family val="2"/>
      <scheme val="minor"/>
    </font>
    <font>
      <sz val="10"/>
      <color theme="1"/>
      <name val="Calibri"/>
      <family val="2"/>
      <scheme val="minor"/>
    </font>
    <font>
      <b/>
      <sz val="10"/>
      <color theme="1"/>
      <name val="Calibri"/>
      <family val="2"/>
      <scheme val="minor"/>
    </font>
    <font>
      <i/>
      <sz val="10"/>
      <color theme="1"/>
      <name val="Calibri"/>
      <family val="2"/>
      <charset val="238"/>
      <scheme val="minor"/>
    </font>
    <font>
      <sz val="10"/>
      <color theme="1"/>
      <name val="Calibri"/>
      <family val="2"/>
      <charset val="238"/>
      <scheme val="minor"/>
    </font>
    <font>
      <sz val="11"/>
      <color rgb="FF000000"/>
      <name val="Calibri"/>
      <family val="2"/>
      <scheme val="minor"/>
    </font>
    <font>
      <b/>
      <sz val="11"/>
      <color theme="1"/>
      <name val="Calibri"/>
      <family val="2"/>
      <scheme val="minor"/>
    </font>
    <font>
      <sz val="11"/>
      <name val="Calibri"/>
      <family val="2"/>
    </font>
    <font>
      <sz val="16"/>
      <color indexed="8"/>
      <name val="Calibri"/>
      <family val="2"/>
    </font>
    <font>
      <b/>
      <sz val="12"/>
      <color indexed="8"/>
      <name val="Calibri"/>
      <family val="2"/>
      <charset val="238"/>
    </font>
    <font>
      <b/>
      <sz val="10"/>
      <color indexed="8"/>
      <name val="Calibri"/>
      <family val="2"/>
      <charset val="238"/>
    </font>
    <font>
      <sz val="10"/>
      <color indexed="11"/>
      <name val="Calibri"/>
      <family val="2"/>
      <charset val="238"/>
    </font>
    <font>
      <sz val="9"/>
      <color theme="1"/>
      <name val="Calibri"/>
      <family val="2"/>
      <scheme val="minor"/>
    </font>
    <font>
      <sz val="10"/>
      <name val="Calibri"/>
      <family val="2"/>
    </font>
    <font>
      <b/>
      <sz val="16"/>
      <color theme="1"/>
      <name val="Calibri"/>
      <family val="2"/>
      <scheme val="minor"/>
    </font>
    <font>
      <b/>
      <sz val="14"/>
      <color theme="1"/>
      <name val="Calibri"/>
      <family val="2"/>
      <charset val="238"/>
      <scheme val="minor"/>
    </font>
    <font>
      <b/>
      <sz val="12"/>
      <color theme="1"/>
      <name val="Calibri"/>
      <family val="2"/>
      <charset val="238"/>
      <scheme val="minor"/>
    </font>
    <font>
      <b/>
      <sz val="14"/>
      <color indexed="8"/>
      <name val="Calibri"/>
      <family val="2"/>
      <charset val="238"/>
    </font>
    <font>
      <b/>
      <sz val="11"/>
      <name val="Calibri"/>
      <family val="2"/>
    </font>
    <font>
      <b/>
      <sz val="11"/>
      <color theme="1"/>
      <name val="Calibri"/>
      <family val="2"/>
      <charset val="238"/>
      <scheme val="minor"/>
    </font>
    <font>
      <sz val="11"/>
      <color rgb="FFFF0000"/>
      <name val="Calibri"/>
      <family val="2"/>
    </font>
    <font>
      <b/>
      <sz val="11"/>
      <color rgb="FFFF0000"/>
      <name val="Calibri"/>
      <family val="2"/>
    </font>
    <font>
      <sz val="10"/>
      <color theme="1"/>
      <name val="Calibri"/>
      <family val="2"/>
      <charset val="238"/>
    </font>
    <font>
      <sz val="11"/>
      <color theme="1"/>
      <name val="Calibri"/>
      <family val="2"/>
    </font>
    <font>
      <b/>
      <u/>
      <sz val="11"/>
      <color theme="1"/>
      <name val="Calibri"/>
      <family val="2"/>
      <charset val="238"/>
      <scheme val="minor"/>
    </font>
    <font>
      <u/>
      <sz val="11"/>
      <color theme="1"/>
      <name val="Calibri"/>
      <family val="2"/>
      <charset val="238"/>
      <scheme val="minor"/>
    </font>
    <font>
      <sz val="8"/>
      <color theme="1"/>
      <name val="Calibri"/>
      <family val="2"/>
      <charset val="238"/>
      <scheme val="minor"/>
    </font>
    <font>
      <b/>
      <sz val="8"/>
      <color theme="1"/>
      <name val="Calibri"/>
      <family val="2"/>
      <charset val="238"/>
      <scheme val="minor"/>
    </font>
    <font>
      <sz val="8"/>
      <color theme="1"/>
      <name val="Calibri"/>
      <family val="2"/>
      <scheme val="minor"/>
    </font>
    <font>
      <b/>
      <sz val="10"/>
      <color theme="1"/>
      <name val="Calibri"/>
      <family val="2"/>
      <charset val="238"/>
      <scheme val="minor"/>
    </font>
    <font>
      <sz val="10"/>
      <name val="Calibri"/>
      <family val="2"/>
      <charset val="238"/>
      <scheme val="minor"/>
    </font>
    <font>
      <b/>
      <sz val="10"/>
      <name val="Calibri"/>
      <family val="2"/>
      <charset val="238"/>
      <scheme val="minor"/>
    </font>
    <font>
      <u/>
      <sz val="10"/>
      <color theme="1"/>
      <name val="Calibri"/>
      <family val="2"/>
      <charset val="238"/>
      <scheme val="minor"/>
    </font>
    <font>
      <b/>
      <sz val="12"/>
      <color indexed="8"/>
      <name val="Arial"/>
      <family val="2"/>
      <charset val="238"/>
    </font>
    <font>
      <sz val="12"/>
      <color theme="1"/>
      <name val="Arial"/>
      <family val="2"/>
      <charset val="238"/>
    </font>
    <font>
      <b/>
      <u/>
      <sz val="12"/>
      <color indexed="8"/>
      <name val="Arial"/>
      <family val="2"/>
      <charset val="238"/>
    </font>
    <font>
      <sz val="12"/>
      <color indexed="8"/>
      <name val="Arial"/>
      <family val="2"/>
      <charset val="238"/>
    </font>
    <font>
      <i/>
      <sz val="12"/>
      <color indexed="8"/>
      <name val="Arial"/>
      <family val="2"/>
      <charset val="238"/>
    </font>
    <font>
      <sz val="12"/>
      <color rgb="FFFF0000"/>
      <name val="Arial"/>
      <family val="2"/>
      <charset val="238"/>
    </font>
    <font>
      <sz val="12"/>
      <name val="Arial"/>
      <family val="2"/>
      <charset val="238"/>
    </font>
    <font>
      <b/>
      <sz val="12"/>
      <color theme="1"/>
      <name val="Arial"/>
      <family val="2"/>
      <charset val="238"/>
    </font>
    <font>
      <i/>
      <sz val="12"/>
      <color theme="1"/>
      <name val="Arial"/>
      <family val="2"/>
      <charset val="238"/>
    </font>
    <font>
      <sz val="12"/>
      <color rgb="FF000000"/>
      <name val="Arial"/>
      <family val="2"/>
      <charset val="238"/>
    </font>
    <font>
      <sz val="12"/>
      <color indexed="11"/>
      <name val="Arial"/>
      <family val="2"/>
      <charset val="238"/>
    </font>
    <font>
      <b/>
      <sz val="9"/>
      <color indexed="81"/>
      <name val="Tahoma"/>
      <family val="2"/>
      <charset val="238"/>
    </font>
    <font>
      <sz val="9"/>
      <color indexed="81"/>
      <name val="Tahoma"/>
      <family val="2"/>
      <charset val="238"/>
    </font>
    <font>
      <sz val="11"/>
      <color theme="1"/>
      <name val="Calibri"/>
      <family val="2"/>
      <scheme val="minor"/>
    </font>
    <font>
      <i/>
      <sz val="11"/>
      <color theme="1"/>
      <name val="Calibri"/>
      <family val="2"/>
      <charset val="238"/>
      <scheme val="minor"/>
    </font>
    <font>
      <sz val="10"/>
      <name val="Calibri"/>
      <family val="2"/>
      <scheme val="minor"/>
    </font>
    <font>
      <i/>
      <sz val="10"/>
      <name val="Calibri"/>
      <family val="2"/>
      <charset val="238"/>
      <scheme val="minor"/>
    </font>
    <font>
      <sz val="11"/>
      <color rgb="FF000000"/>
      <name val="Calibri1"/>
      <charset val="238"/>
    </font>
    <font>
      <b/>
      <sz val="22"/>
      <color rgb="FF000000"/>
      <name val="Calibri"/>
      <family val="2"/>
      <charset val="238"/>
    </font>
    <font>
      <b/>
      <sz val="24"/>
      <color rgb="FF000000"/>
      <name val="Calibri"/>
      <family val="2"/>
      <charset val="238"/>
    </font>
    <font>
      <b/>
      <u/>
      <sz val="14"/>
      <color rgb="FF000000"/>
      <name val="Calibri"/>
      <family val="2"/>
      <charset val="238"/>
    </font>
    <font>
      <sz val="12"/>
      <color rgb="FF000000"/>
      <name val="Calibri"/>
      <family val="2"/>
      <charset val="238"/>
    </font>
    <font>
      <b/>
      <u/>
      <sz val="12"/>
      <color rgb="FF000000"/>
      <name val="Calibri"/>
      <family val="2"/>
      <charset val="238"/>
    </font>
    <font>
      <i/>
      <sz val="12"/>
      <color rgb="FF000000"/>
      <name val="Calibri"/>
      <family val="2"/>
      <charset val="238"/>
    </font>
    <font>
      <b/>
      <sz val="12"/>
      <color rgb="FF000000"/>
      <name val="Calibri"/>
      <family val="2"/>
      <charset val="238"/>
    </font>
    <font>
      <b/>
      <sz val="16"/>
      <color rgb="FF000000"/>
      <name val="Calibri"/>
      <family val="2"/>
      <charset val="238"/>
    </font>
    <font>
      <b/>
      <sz val="14"/>
      <color rgb="FF000000"/>
      <name val="Calibri"/>
      <family val="2"/>
      <charset val="238"/>
    </font>
    <font>
      <b/>
      <sz val="11"/>
      <color rgb="FF000000"/>
      <name val="Calibri"/>
      <family val="2"/>
      <charset val="238"/>
    </font>
    <font>
      <sz val="10"/>
      <color rgb="FF000000"/>
      <name val="Calibri"/>
      <family val="2"/>
      <charset val="238"/>
    </font>
    <font>
      <b/>
      <sz val="10"/>
      <color rgb="FF000000"/>
      <name val="Calibri"/>
      <family val="2"/>
      <charset val="238"/>
    </font>
    <font>
      <i/>
      <sz val="10"/>
      <color rgb="FF000000"/>
      <name val="Calibri"/>
      <family val="2"/>
      <charset val="238"/>
    </font>
    <font>
      <u/>
      <sz val="10"/>
      <name val="Calibri"/>
      <family val="2"/>
      <charset val="238"/>
    </font>
    <font>
      <u/>
      <sz val="10"/>
      <color rgb="FF000000"/>
      <name val="Calibri"/>
      <family val="2"/>
      <charset val="238"/>
    </font>
    <font>
      <sz val="11"/>
      <color rgb="FF000000"/>
      <name val="Calibri"/>
      <family val="2"/>
      <charset val="238"/>
    </font>
    <font>
      <sz val="11"/>
      <name val="Calibri"/>
      <family val="2"/>
      <charset val="238"/>
    </font>
    <font>
      <sz val="11"/>
      <name val="Calibri1"/>
      <charset val="238"/>
    </font>
    <font>
      <sz val="16"/>
      <color rgb="FF000000"/>
      <name val="Calibri"/>
      <family val="2"/>
      <charset val="238"/>
    </font>
    <font>
      <i/>
      <sz val="10"/>
      <name val="Calibri"/>
      <family val="2"/>
      <charset val="238"/>
    </font>
    <font>
      <i/>
      <u/>
      <sz val="10"/>
      <name val="Calibri"/>
      <family val="2"/>
      <charset val="238"/>
    </font>
    <font>
      <sz val="9"/>
      <color rgb="FF000000"/>
      <name val="Calibri"/>
      <family val="2"/>
      <charset val="238"/>
    </font>
    <font>
      <sz val="10"/>
      <color rgb="FFFF0000"/>
      <name val="Calibri"/>
      <family val="2"/>
      <charset val="238"/>
    </font>
    <font>
      <u/>
      <sz val="10"/>
      <color rgb="FFFF0000"/>
      <name val="Calibri"/>
      <family val="2"/>
      <charset val="238"/>
    </font>
    <font>
      <u/>
      <sz val="10"/>
      <color theme="1"/>
      <name val="Calibri"/>
      <family val="2"/>
      <charset val="238"/>
    </font>
    <font>
      <i/>
      <sz val="10"/>
      <color theme="1"/>
      <name val="Calibri"/>
      <family val="2"/>
      <charset val="238"/>
    </font>
    <font>
      <sz val="9"/>
      <name val="Calibri1"/>
      <charset val="238"/>
    </font>
    <font>
      <u/>
      <sz val="9"/>
      <name val="Calibri1"/>
      <charset val="238"/>
    </font>
    <font>
      <sz val="10"/>
      <color rgb="FF00B050"/>
      <name val="Calibri"/>
      <family val="2"/>
      <charset val="238"/>
    </font>
    <font>
      <b/>
      <sz val="10"/>
      <name val="Calibri"/>
      <family val="2"/>
    </font>
    <font>
      <i/>
      <sz val="10"/>
      <name val="Calibri"/>
      <family val="2"/>
    </font>
    <font>
      <b/>
      <sz val="10"/>
      <color theme="1"/>
      <name val="Calibri"/>
      <family val="2"/>
      <charset val="238"/>
    </font>
    <font>
      <b/>
      <sz val="10"/>
      <color indexed="18"/>
      <name val="Calibri"/>
      <family val="2"/>
      <charset val="238"/>
    </font>
    <font>
      <u/>
      <sz val="10"/>
      <color indexed="8"/>
      <name val="Calibri"/>
      <family val="2"/>
      <charset val="238"/>
    </font>
    <font>
      <b/>
      <sz val="10"/>
      <color indexed="60"/>
      <name val="Calibri"/>
      <family val="2"/>
      <charset val="238"/>
    </font>
    <font>
      <u/>
      <sz val="10"/>
      <color indexed="8"/>
      <name val="Calibri"/>
      <family val="2"/>
    </font>
    <font>
      <b/>
      <sz val="10"/>
      <color indexed="28"/>
      <name val="Calibri"/>
      <family val="2"/>
      <charset val="238"/>
    </font>
    <font>
      <b/>
      <sz val="10"/>
      <color indexed="54"/>
      <name val="Calibri"/>
      <family val="2"/>
      <charset val="238"/>
    </font>
    <font>
      <b/>
      <sz val="10"/>
      <color indexed="17"/>
      <name val="Calibri"/>
      <family val="2"/>
      <charset val="238"/>
    </font>
    <font>
      <sz val="10"/>
      <color indexed="28"/>
      <name val="Calibri"/>
      <family val="2"/>
      <charset val="238"/>
    </font>
    <font>
      <u/>
      <sz val="10"/>
      <color indexed="28"/>
      <name val="Calibri"/>
      <family val="2"/>
      <charset val="238"/>
    </font>
    <font>
      <b/>
      <sz val="10"/>
      <color indexed="49"/>
      <name val="Calibri"/>
      <family val="2"/>
    </font>
    <font>
      <sz val="10"/>
      <color indexed="49"/>
      <name val="Calibri"/>
      <family val="2"/>
    </font>
    <font>
      <b/>
      <sz val="10"/>
      <color indexed="53"/>
      <name val="Calibri"/>
      <family val="2"/>
    </font>
    <font>
      <sz val="10"/>
      <color indexed="53"/>
      <name val="Calibri"/>
      <family val="2"/>
    </font>
    <font>
      <sz val="10"/>
      <name val="Cambria"/>
      <family val="1"/>
      <charset val="238"/>
      <scheme val="major"/>
    </font>
    <font>
      <sz val="10"/>
      <name val="Cambria"/>
      <family val="1"/>
      <charset val="238"/>
    </font>
    <font>
      <sz val="11"/>
      <color rgb="FF000000"/>
      <name val="Calibri"/>
      <family val="2"/>
      <charset val="238"/>
      <scheme val="minor"/>
    </font>
    <font>
      <sz val="11"/>
      <color rgb="FF002060"/>
      <name val="Calibri"/>
      <family val="2"/>
    </font>
    <font>
      <sz val="11"/>
      <color rgb="FF002060"/>
      <name val="Calibri"/>
      <family val="2"/>
      <scheme val="minor"/>
    </font>
    <font>
      <sz val="10"/>
      <color rgb="FF000000"/>
      <name val="Calibri1"/>
      <charset val="238"/>
    </font>
    <font>
      <i/>
      <sz val="12"/>
      <color indexed="8"/>
      <name val="Calibri"/>
      <family val="2"/>
    </font>
    <font>
      <i/>
      <sz val="11"/>
      <color theme="1"/>
      <name val="Calibri"/>
      <family val="2"/>
      <scheme val="minor"/>
    </font>
    <font>
      <i/>
      <sz val="8"/>
      <color theme="1"/>
      <name val="Calibri"/>
      <family val="2"/>
      <charset val="238"/>
      <scheme val="minor"/>
    </font>
    <font>
      <sz val="9"/>
      <color theme="1"/>
      <name val="Calibri"/>
      <family val="2"/>
      <charset val="238"/>
      <scheme val="minor"/>
    </font>
    <font>
      <sz val="9"/>
      <color indexed="8"/>
      <name val="Calibri"/>
      <family val="2"/>
      <charset val="238"/>
    </font>
    <font>
      <u/>
      <sz val="12"/>
      <color theme="1"/>
      <name val="Calibri"/>
      <family val="2"/>
      <charset val="238"/>
      <scheme val="minor"/>
    </font>
    <font>
      <b/>
      <u/>
      <sz val="12"/>
      <color theme="1"/>
      <name val="Calibri"/>
      <family val="2"/>
      <charset val="238"/>
      <scheme val="minor"/>
    </font>
    <font>
      <b/>
      <i/>
      <sz val="10"/>
      <color theme="1"/>
      <name val="Calibri"/>
      <family val="2"/>
      <charset val="238"/>
      <scheme val="minor"/>
    </font>
    <font>
      <sz val="22"/>
      <color indexed="8"/>
      <name val="Calibri"/>
      <family val="2"/>
      <charset val="238"/>
    </font>
    <font>
      <sz val="22"/>
      <color theme="1"/>
      <name val="Calibri"/>
      <family val="2"/>
      <charset val="238"/>
      <scheme val="minor"/>
    </font>
    <font>
      <sz val="36"/>
      <color theme="1"/>
      <name val="Calibri"/>
      <family val="2"/>
      <charset val="238"/>
      <scheme val="minor"/>
    </font>
    <font>
      <sz val="36"/>
      <color indexed="8"/>
      <name val="Calibri"/>
      <family val="2"/>
      <charset val="238"/>
    </font>
    <font>
      <sz val="36"/>
      <color theme="1"/>
      <name val="Calibri"/>
      <family val="2"/>
      <charset val="238"/>
    </font>
    <font>
      <sz val="28"/>
      <color theme="1"/>
      <name val="Calibri"/>
      <family val="2"/>
      <charset val="238"/>
      <scheme val="minor"/>
    </font>
    <font>
      <sz val="36"/>
      <color theme="1"/>
      <name val="Calibri"/>
      <family val="2"/>
      <scheme val="minor"/>
    </font>
    <font>
      <b/>
      <sz val="36"/>
      <color indexed="8"/>
      <name val="Calibri"/>
      <family val="2"/>
    </font>
    <font>
      <sz val="36"/>
      <color indexed="8"/>
      <name val="Calibri"/>
      <family val="2"/>
    </font>
    <font>
      <sz val="16"/>
      <color theme="1"/>
      <name val="Calibri"/>
      <family val="2"/>
      <scheme val="minor"/>
    </font>
    <font>
      <u/>
      <sz val="11"/>
      <color theme="10"/>
      <name val="Calibri"/>
      <family val="2"/>
      <scheme val="minor"/>
    </font>
    <font>
      <b/>
      <sz val="10"/>
      <color rgb="FFFF0000"/>
      <name val="Calibri"/>
      <family val="2"/>
      <charset val="238"/>
    </font>
    <font>
      <b/>
      <sz val="22"/>
      <color rgb="FF000000"/>
      <name val="Calibri"/>
      <family val="2"/>
      <charset val="1"/>
    </font>
    <font>
      <sz val="22"/>
      <color rgb="FF000000"/>
      <name val="Calibri"/>
      <family val="2"/>
      <charset val="1"/>
    </font>
    <font>
      <b/>
      <sz val="24"/>
      <color rgb="FF000000"/>
      <name val="Calibri"/>
      <family val="2"/>
      <charset val="1"/>
    </font>
    <font>
      <sz val="12"/>
      <color rgb="FF000000"/>
      <name val="Calibri"/>
      <family val="2"/>
      <charset val="1"/>
    </font>
    <font>
      <b/>
      <sz val="16"/>
      <color rgb="FF000000"/>
      <name val="Calibri"/>
      <family val="2"/>
      <charset val="1"/>
    </font>
    <font>
      <b/>
      <sz val="14"/>
      <color rgb="FF000000"/>
      <name val="Calibri"/>
      <family val="2"/>
      <charset val="1"/>
    </font>
    <font>
      <b/>
      <sz val="11"/>
      <color rgb="FF000000"/>
      <name val="Calibri"/>
      <family val="2"/>
      <charset val="1"/>
    </font>
    <font>
      <sz val="10"/>
      <color rgb="FF000000"/>
      <name val="Calibri"/>
      <family val="2"/>
      <charset val="1"/>
    </font>
    <font>
      <b/>
      <sz val="10"/>
      <color rgb="FF000000"/>
      <name val="Calibri"/>
      <family val="2"/>
      <charset val="1"/>
    </font>
    <font>
      <sz val="16"/>
      <color rgb="FF000000"/>
      <name val="Calibri"/>
      <family val="2"/>
      <charset val="1"/>
    </font>
    <font>
      <sz val="9"/>
      <color rgb="FF000000"/>
      <name val="Calibri"/>
      <family val="2"/>
      <charset val="1"/>
    </font>
    <font>
      <b/>
      <sz val="11"/>
      <name val="Calibri"/>
      <family val="2"/>
      <charset val="238"/>
    </font>
  </fonts>
  <fills count="4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theme="2" tint="-9.9978637043366805E-2"/>
        <bgColor indexed="64"/>
      </patternFill>
    </fill>
    <fill>
      <patternFill patternType="solid">
        <fgColor indexed="2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indexed="46"/>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FFFF"/>
        <bgColor rgb="FFFFFFFF"/>
      </patternFill>
    </fill>
    <fill>
      <patternFill patternType="solid">
        <fgColor rgb="FF99CCFF"/>
        <bgColor rgb="FF99CCFF"/>
      </patternFill>
    </fill>
    <fill>
      <patternFill patternType="solid">
        <fgColor rgb="FFDDD9C3"/>
        <bgColor rgb="FFDDD9C3"/>
      </patternFill>
    </fill>
    <fill>
      <patternFill patternType="solid">
        <fgColor rgb="FFC0C0C0"/>
        <bgColor rgb="FFC0C0C0"/>
      </patternFill>
    </fill>
    <fill>
      <patternFill patternType="solid">
        <fgColor theme="0"/>
        <bgColor rgb="FFFFFFFF"/>
      </patternFill>
    </fill>
    <fill>
      <patternFill patternType="solid">
        <fgColor rgb="FFFCD5B5"/>
        <bgColor rgb="FFFCD5B5"/>
      </patternFill>
    </fill>
    <fill>
      <patternFill patternType="solid">
        <fgColor rgb="FFD9D9D9"/>
        <bgColor rgb="FFD9D9D9"/>
      </patternFill>
    </fill>
    <fill>
      <patternFill patternType="solid">
        <fgColor rgb="FFD7E4BD"/>
        <bgColor rgb="FFD7E4BD"/>
      </patternFill>
    </fill>
    <fill>
      <patternFill patternType="solid">
        <fgColor rgb="FFCC99FF"/>
        <bgColor rgb="FFCC99FF"/>
      </patternFill>
    </fill>
    <fill>
      <patternFill patternType="solid">
        <fgColor rgb="FFCCC1DA"/>
        <bgColor rgb="FFCCC1DA"/>
      </patternFill>
    </fill>
    <fill>
      <patternFill patternType="solid">
        <fgColor theme="0"/>
        <bgColor rgb="FFDDD9C3"/>
      </patternFill>
    </fill>
    <fill>
      <patternFill patternType="solid">
        <fgColor theme="0"/>
        <bgColor rgb="FFD9D9D9"/>
      </patternFill>
    </fill>
    <fill>
      <patternFill patternType="solid">
        <fgColor rgb="FFC3D69B"/>
        <bgColor rgb="FFC3D69B"/>
      </patternFill>
    </fill>
    <fill>
      <patternFill patternType="solid">
        <fgColor rgb="FFB7DEE8"/>
        <bgColor rgb="FFB7DEE8"/>
      </patternFill>
    </fill>
    <fill>
      <patternFill patternType="solid">
        <fgColor rgb="FFFDEADA"/>
        <bgColor rgb="FFFDEADA"/>
      </patternFill>
    </fill>
    <fill>
      <patternFill patternType="solid">
        <fgColor rgb="FFFFFF00"/>
        <bgColor indexed="64"/>
      </patternFill>
    </fill>
    <fill>
      <patternFill patternType="solid">
        <fgColor theme="8" tint="0.79998168889431442"/>
        <bgColor indexed="64"/>
      </patternFill>
    </fill>
    <fill>
      <patternFill patternType="solid">
        <fgColor rgb="FFFFFFFF"/>
        <bgColor rgb="FFFDEADA"/>
      </patternFill>
    </fill>
    <fill>
      <patternFill patternType="solid">
        <fgColor rgb="FF99CCFF"/>
        <bgColor rgb="FF8EB4E3"/>
      </patternFill>
    </fill>
    <fill>
      <patternFill patternType="solid">
        <fgColor rgb="FFDDD9C3"/>
        <bgColor rgb="FFD9D9D9"/>
      </patternFill>
    </fill>
    <fill>
      <patternFill patternType="solid">
        <fgColor rgb="FFC0C0C0"/>
        <bgColor rgb="FFCCC1DA"/>
      </patternFill>
    </fill>
    <fill>
      <patternFill patternType="solid">
        <fgColor rgb="FFFCD5B5"/>
        <bgColor rgb="FFDDD9C3"/>
      </patternFill>
    </fill>
    <fill>
      <patternFill patternType="solid">
        <fgColor rgb="FFD9D9D9"/>
        <bgColor rgb="FFDDD9C3"/>
      </patternFill>
    </fill>
    <fill>
      <patternFill patternType="solid">
        <fgColor rgb="FFD7E4BD"/>
        <bgColor rgb="FFDDD9C3"/>
      </patternFill>
    </fill>
    <fill>
      <patternFill patternType="solid">
        <fgColor rgb="FFCC99FF"/>
        <bgColor rgb="FFCCC1DA"/>
      </patternFill>
    </fill>
    <fill>
      <patternFill patternType="solid">
        <fgColor rgb="FFCCC1DA"/>
        <bgColor rgb="FFC0C0C0"/>
      </patternFill>
    </fill>
    <fill>
      <patternFill patternType="solid">
        <fgColor rgb="FFC3D69B"/>
        <bgColor rgb="FFD7E4BD"/>
      </patternFill>
    </fill>
    <fill>
      <patternFill patternType="solid">
        <fgColor rgb="FFB7DEE8"/>
        <bgColor rgb="FFD9D9D9"/>
      </patternFill>
    </fill>
    <fill>
      <patternFill patternType="solid">
        <fgColor rgb="FFFDEADA"/>
        <bgColor rgb="FFFCD5B5"/>
      </patternFill>
    </fill>
  </fills>
  <borders count="408">
    <border>
      <left/>
      <right/>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53"/>
      </left>
      <right/>
      <top/>
      <bottom/>
      <diagonal/>
    </border>
    <border>
      <left/>
      <right style="medium">
        <color indexed="53"/>
      </right>
      <top/>
      <bottom/>
      <diagonal/>
    </border>
    <border>
      <left style="medium">
        <color indexed="53"/>
      </left>
      <right/>
      <top/>
      <bottom style="medium">
        <color indexed="53"/>
      </bottom>
      <diagonal/>
    </border>
    <border>
      <left/>
      <right/>
      <top/>
      <bottom style="medium">
        <color indexed="53"/>
      </bottom>
      <diagonal/>
    </border>
    <border>
      <left/>
      <right style="medium">
        <color indexed="53"/>
      </right>
      <top/>
      <bottom style="medium">
        <color indexed="53"/>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auto="1"/>
      </top>
      <bottom style="hair">
        <color auto="1"/>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auto="1"/>
      </left>
      <right/>
      <top/>
      <bottom/>
      <diagonal/>
    </border>
    <border>
      <left/>
      <right style="hair">
        <color indexed="64"/>
      </right>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auto="1"/>
      </right>
      <top style="medium">
        <color auto="1"/>
      </top>
      <bottom style="hair">
        <color auto="1"/>
      </bottom>
      <diagonal/>
    </border>
    <border>
      <left/>
      <right style="hair">
        <color indexed="64"/>
      </right>
      <top style="medium">
        <color indexed="64"/>
      </top>
      <bottom style="hair">
        <color indexed="64"/>
      </bottom>
      <diagonal/>
    </border>
    <border>
      <left style="thin">
        <color indexed="64"/>
      </left>
      <right/>
      <top/>
      <bottom/>
      <diagonal/>
    </border>
    <border>
      <left/>
      <right/>
      <top style="medium">
        <color indexed="64"/>
      </top>
      <bottom style="medium">
        <color indexed="64"/>
      </bottom>
      <diagonal/>
    </border>
    <border>
      <left style="medium">
        <color indexed="64"/>
      </left>
      <right/>
      <top style="hair">
        <color indexed="64"/>
      </top>
      <bottom/>
      <diagonal/>
    </border>
    <border>
      <left/>
      <right style="hair">
        <color indexed="64"/>
      </right>
      <top style="hair">
        <color indexed="64"/>
      </top>
      <bottom/>
      <diagonal/>
    </border>
    <border>
      <left style="hair">
        <color indexed="64"/>
      </left>
      <right style="medium">
        <color indexed="64"/>
      </right>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right style="double">
        <color indexed="64"/>
      </right>
      <top style="medium">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style="hair">
        <color indexed="64"/>
      </right>
      <top style="medium">
        <color indexed="64"/>
      </top>
      <bottom style="hair">
        <color indexed="64"/>
      </bottom>
      <diagonal/>
    </border>
    <border>
      <left/>
      <right style="double">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medium">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right style="double">
        <color indexed="64"/>
      </right>
      <top/>
      <bottom style="hair">
        <color indexed="64"/>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style="hair">
        <color indexed="64"/>
      </left>
      <right style="double">
        <color indexed="64"/>
      </right>
      <top/>
      <bottom style="hair">
        <color indexed="64"/>
      </bottom>
      <diagonal/>
    </border>
    <border>
      <left/>
      <right/>
      <top/>
      <bottom style="medium">
        <color indexed="64"/>
      </bottom>
      <diagonal/>
    </border>
    <border>
      <left/>
      <right/>
      <top style="medium">
        <color indexed="64"/>
      </top>
      <bottom/>
      <diagonal/>
    </border>
    <border>
      <left style="medium">
        <color indexed="64"/>
      </left>
      <right style="medium">
        <color auto="1"/>
      </right>
      <top style="medium">
        <color indexed="64"/>
      </top>
      <bottom style="hair">
        <color indexed="64"/>
      </bottom>
      <diagonal/>
    </border>
    <border>
      <left style="thin">
        <color indexed="64"/>
      </left>
      <right/>
      <top style="hair">
        <color indexed="64"/>
      </top>
      <bottom/>
      <diagonal/>
    </border>
    <border>
      <left style="medium">
        <color indexed="64"/>
      </left>
      <right style="medium">
        <color auto="1"/>
      </right>
      <top/>
      <bottom/>
      <diagonal/>
    </border>
    <border>
      <left style="medium">
        <color indexed="64"/>
      </left>
      <right style="medium">
        <color auto="1"/>
      </right>
      <top style="hair">
        <color indexed="64"/>
      </top>
      <bottom style="hair">
        <color indexed="64"/>
      </bottom>
      <diagonal/>
    </border>
    <border>
      <left/>
      <right/>
      <top style="hair">
        <color indexed="64"/>
      </top>
      <bottom/>
      <diagonal/>
    </border>
    <border>
      <left style="thin">
        <color indexed="64"/>
      </left>
      <right/>
      <top/>
      <bottom style="medium">
        <color indexed="64"/>
      </bottom>
      <diagonal/>
    </border>
    <border>
      <left/>
      <right/>
      <top style="hair">
        <color indexed="64"/>
      </top>
      <bottom style="medium">
        <color indexed="64"/>
      </bottom>
      <diagonal/>
    </border>
    <border>
      <left style="medium">
        <color indexed="64"/>
      </left>
      <right style="medium">
        <color auto="1"/>
      </right>
      <top style="hair">
        <color indexed="64"/>
      </top>
      <bottom style="medium">
        <color indexed="64"/>
      </bottom>
      <diagonal/>
    </border>
    <border>
      <left/>
      <right style="medium">
        <color indexed="64"/>
      </right>
      <top style="hair">
        <color indexed="64"/>
      </top>
      <bottom/>
      <diagonal/>
    </border>
    <border>
      <left/>
      <right style="thin">
        <color indexed="64"/>
      </right>
      <top/>
      <bottom style="hair">
        <color indexed="64"/>
      </bottom>
      <diagonal/>
    </border>
    <border>
      <left/>
      <right style="medium">
        <color indexed="64"/>
      </right>
      <top/>
      <bottom/>
      <diagonal/>
    </border>
    <border>
      <left/>
      <right style="thin">
        <color indexed="64"/>
      </right>
      <top style="hair">
        <color indexed="64"/>
      </top>
      <bottom style="hair">
        <color indexed="64"/>
      </bottom>
      <diagonal/>
    </border>
    <border>
      <left/>
      <right style="medium">
        <color indexed="64"/>
      </right>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right style="double">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top style="medium">
        <color indexed="64"/>
      </top>
      <bottom style="hair">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style="medium">
        <color indexed="64"/>
      </left>
      <right style="medium">
        <color auto="1"/>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auto="1"/>
      </left>
      <right/>
      <top style="medium">
        <color auto="1"/>
      </top>
      <bottom/>
      <diagonal/>
    </border>
    <border>
      <left style="thin">
        <color auto="1"/>
      </left>
      <right style="double">
        <color auto="1"/>
      </right>
      <top style="medium">
        <color auto="1"/>
      </top>
      <bottom/>
      <diagonal/>
    </border>
    <border>
      <left/>
      <right/>
      <top style="medium">
        <color indexed="64"/>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right/>
      <top style="medium">
        <color indexed="64"/>
      </top>
      <bottom style="hair">
        <color indexed="64"/>
      </bottom>
      <diagonal/>
    </border>
    <border>
      <left/>
      <right style="medium">
        <color auto="1"/>
      </right>
      <top style="medium">
        <color auto="1"/>
      </top>
      <bottom style="hair">
        <color auto="1"/>
      </bottom>
      <diagonal/>
    </border>
    <border>
      <left/>
      <right/>
      <top style="medium">
        <color indexed="64"/>
      </top>
      <bottom style="medium">
        <color indexed="64"/>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right/>
      <top style="medium">
        <color indexed="64"/>
      </top>
      <bottom style="hair">
        <color indexed="64"/>
      </bottom>
      <diagonal/>
    </border>
    <border>
      <left/>
      <right style="medium">
        <color auto="1"/>
      </right>
      <top style="medium">
        <color auto="1"/>
      </top>
      <bottom style="hair">
        <color auto="1"/>
      </bottom>
      <diagonal/>
    </border>
    <border>
      <left/>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right style="double">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top style="medium">
        <color indexed="64"/>
      </top>
      <bottom style="hair">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style="medium">
        <color indexed="64"/>
      </left>
      <right style="medium">
        <color auto="1"/>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top style="medium">
        <color indexed="64"/>
      </top>
      <bottom/>
      <diagonal/>
    </border>
    <border>
      <left/>
      <right/>
      <top style="medium">
        <color indexed="64"/>
      </top>
      <bottom/>
      <diagonal/>
    </border>
    <border>
      <left/>
      <right/>
      <top style="medium">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FF6600"/>
      </left>
      <right/>
      <top style="thin">
        <color rgb="FFFF6600"/>
      </top>
      <bottom/>
      <diagonal/>
    </border>
    <border>
      <left/>
      <right style="thin">
        <color rgb="FFFF6600"/>
      </right>
      <top style="thin">
        <color rgb="FFFF6600"/>
      </top>
      <bottom/>
      <diagonal/>
    </border>
    <border>
      <left style="thin">
        <color rgb="FFFF6600"/>
      </left>
      <right style="thin">
        <color rgb="FFFF6600"/>
      </right>
      <top/>
      <bottom style="thin">
        <color rgb="FFFF66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bottom style="thin">
        <color rgb="FF000000"/>
      </bottom>
      <diagonal/>
    </border>
    <border>
      <left/>
      <right style="double">
        <color rgb="FF000000"/>
      </right>
      <top style="thin">
        <color rgb="FF000000"/>
      </top>
      <bottom style="thin">
        <color rgb="FF000000"/>
      </bottom>
      <diagonal/>
    </border>
    <border>
      <left/>
      <right style="double">
        <color rgb="FF000000"/>
      </right>
      <top/>
      <bottom style="thin">
        <color rgb="FF000000"/>
      </bottom>
      <diagonal/>
    </border>
    <border>
      <left/>
      <right/>
      <top/>
      <bottom style="thin">
        <color rgb="FF000000"/>
      </bottom>
      <diagonal/>
    </border>
    <border>
      <left/>
      <right/>
      <top style="thin">
        <color rgb="FF000000"/>
      </top>
      <bottom/>
      <diagonal/>
    </border>
    <border>
      <left style="thin">
        <color rgb="FF000000"/>
      </left>
      <right style="double">
        <color rgb="FF000000"/>
      </right>
      <top/>
      <bottom style="thin">
        <color rgb="FF000000"/>
      </bottom>
      <diagonal/>
    </border>
    <border>
      <left/>
      <right style="thin">
        <color rgb="FF000000"/>
      </right>
      <top style="thin">
        <color rgb="FF000000"/>
      </top>
      <bottom/>
      <diagonal/>
    </border>
    <border>
      <left style="medium">
        <color indexed="64"/>
      </left>
      <right/>
      <top/>
      <bottom/>
      <diagonal/>
    </border>
    <border>
      <left/>
      <right/>
      <top style="medium">
        <color indexed="64"/>
      </top>
      <bottom/>
      <diagonal/>
    </border>
    <border>
      <left style="medium">
        <color indexed="53"/>
      </left>
      <right/>
      <top/>
      <bottom/>
      <diagonal/>
    </border>
    <border>
      <left style="medium">
        <color auto="1"/>
      </left>
      <right/>
      <top/>
      <bottom/>
      <diagonal/>
    </border>
    <border>
      <left/>
      <right/>
      <top style="medium">
        <color indexed="64"/>
      </top>
      <bottom/>
      <diagonal/>
    </border>
    <border>
      <left/>
      <right/>
      <top style="medium">
        <color indexed="64"/>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top style="medium">
        <color indexed="64"/>
      </top>
      <bottom style="medium">
        <color indexed="64"/>
      </bottom>
      <diagonal/>
    </border>
    <border>
      <left/>
      <right/>
      <top style="medium">
        <color indexed="64"/>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64"/>
      </left>
      <right style="hair">
        <color indexed="64"/>
      </right>
      <top/>
      <bottom style="medium">
        <color indexed="64"/>
      </bottom>
      <diagonal/>
    </border>
    <border>
      <left style="medium">
        <color indexed="64"/>
      </left>
      <right style="hair">
        <color indexed="64"/>
      </right>
      <top style="hair">
        <color indexed="64"/>
      </top>
      <bottom/>
      <diagonal/>
    </border>
    <border>
      <left/>
      <right/>
      <top style="medium">
        <color auto="1"/>
      </top>
      <bottom/>
      <diagonal/>
    </border>
    <border>
      <left style="thin">
        <color indexed="64"/>
      </left>
      <right style="hair">
        <color indexed="64"/>
      </right>
      <top style="hair">
        <color indexed="64"/>
      </top>
      <bottom style="dotted">
        <color indexed="64"/>
      </bottom>
      <diagonal/>
    </border>
    <border>
      <left style="thin">
        <color indexed="64"/>
      </left>
      <right style="hair">
        <color indexed="64"/>
      </right>
      <top style="dotted">
        <color indexed="64"/>
      </top>
      <bottom style="dotted">
        <color indexed="64"/>
      </bottom>
      <diagonal/>
    </border>
    <border>
      <left style="medium">
        <color indexed="64"/>
      </left>
      <right style="medium">
        <color auto="1"/>
      </right>
      <top style="hair">
        <color indexed="64"/>
      </top>
      <bottom/>
      <diagonal/>
    </border>
    <border>
      <left style="thin">
        <color indexed="64"/>
      </left>
      <right style="hair">
        <color indexed="64"/>
      </right>
      <top style="dotted">
        <color indexed="64"/>
      </top>
      <bottom style="medium">
        <color indexed="64"/>
      </bottom>
      <diagonal/>
    </border>
    <border>
      <left style="medium">
        <color indexed="64"/>
      </left>
      <right style="medium">
        <color auto="1"/>
      </right>
      <top/>
      <bottom style="medium">
        <color indexed="64"/>
      </bottom>
      <diagonal/>
    </border>
    <border>
      <left style="thin">
        <color indexed="64"/>
      </left>
      <right style="thin">
        <color indexed="64"/>
      </right>
      <top style="hair">
        <color indexed="64"/>
      </top>
      <bottom style="medium">
        <color indexed="64"/>
      </bottom>
      <diagonal/>
    </border>
    <border>
      <left style="thin">
        <color auto="1"/>
      </left>
      <right style="hair">
        <color auto="1"/>
      </right>
      <top style="hair">
        <color auto="1"/>
      </top>
      <bottom style="medium">
        <color auto="1"/>
      </bottom>
      <diagonal/>
    </border>
    <border>
      <left style="thin">
        <color indexed="64"/>
      </left>
      <right/>
      <top/>
      <bottom style="hair">
        <color indexed="64"/>
      </bottom>
      <diagonal/>
    </border>
    <border>
      <left style="medium">
        <color auto="1"/>
      </left>
      <right style="hair">
        <color auto="1"/>
      </right>
      <top/>
      <bottom/>
      <diagonal/>
    </border>
    <border>
      <left style="thin">
        <color auto="1"/>
      </left>
      <right style="double">
        <color auto="1"/>
      </right>
      <top style="medium">
        <color auto="1"/>
      </top>
      <bottom/>
      <diagonal/>
    </border>
    <border>
      <left style="double">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top style="medium">
        <color indexed="64"/>
      </top>
      <bottom style="medium">
        <color indexed="64"/>
      </bottom>
      <diagonal/>
    </border>
    <border>
      <left style="medium">
        <color indexed="64"/>
      </left>
      <right style="medium">
        <color auto="1"/>
      </right>
      <top/>
      <bottom/>
      <diagonal/>
    </border>
    <border>
      <left style="medium">
        <color indexed="64"/>
      </left>
      <right style="medium">
        <color indexed="64"/>
      </right>
      <top style="medium">
        <color indexed="64"/>
      </top>
      <bottom style="medium">
        <color indexed="64"/>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thin">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auto="1"/>
      </left>
      <right style="thin">
        <color indexed="64"/>
      </right>
      <top/>
      <bottom/>
      <diagonal/>
    </border>
    <border>
      <left style="medium">
        <color auto="1"/>
      </left>
      <right style="thin">
        <color indexed="64"/>
      </right>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right style="double">
        <color indexed="64"/>
      </right>
      <top style="medium">
        <color indexed="64"/>
      </top>
      <bottom style="hair">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style="medium">
        <color indexed="64"/>
      </left>
      <right style="medium">
        <color auto="1"/>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53"/>
      </left>
      <right/>
      <top/>
      <bottom/>
      <diagonal/>
    </border>
    <border>
      <left style="medium">
        <color indexed="64"/>
      </left>
      <right style="hair">
        <color indexed="64"/>
      </right>
      <top/>
      <bottom/>
      <diagonal/>
    </border>
    <border>
      <left style="medium">
        <color indexed="64"/>
      </left>
      <right style="medium">
        <color auto="1"/>
      </right>
      <top/>
      <bottom/>
      <diagonal/>
    </border>
    <border>
      <left style="medium">
        <color auto="1"/>
      </left>
      <right style="hair">
        <color auto="1"/>
      </right>
      <top/>
      <bottom/>
      <diagonal/>
    </border>
    <border>
      <left style="medium">
        <color indexed="64"/>
      </left>
      <right style="medium">
        <color auto="1"/>
      </right>
      <top/>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auto="1"/>
      </left>
      <right/>
      <top style="medium">
        <color auto="1"/>
      </top>
      <bottom/>
      <diagonal/>
    </border>
    <border>
      <left style="hair">
        <color auto="1"/>
      </left>
      <right style="hair">
        <color auto="1"/>
      </right>
      <top style="medium">
        <color auto="1"/>
      </top>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style="medium">
        <color indexed="53"/>
      </left>
      <right/>
      <top/>
      <bottom/>
      <diagonal/>
    </border>
    <border>
      <left style="medium">
        <color indexed="64"/>
      </left>
      <right style="hair">
        <color indexed="64"/>
      </right>
      <top/>
      <bottom/>
      <diagonal/>
    </border>
    <border>
      <left style="double">
        <color auto="1"/>
      </left>
      <right/>
      <top style="medium">
        <color auto="1"/>
      </top>
      <bottom style="medium">
        <color indexed="64"/>
      </bottom>
      <diagonal/>
    </border>
    <border>
      <left/>
      <right style="medium">
        <color auto="1"/>
      </right>
      <top style="medium">
        <color auto="1"/>
      </top>
      <bottom style="medium">
        <color indexed="64"/>
      </bottom>
      <diagonal/>
    </border>
    <border>
      <left style="medium">
        <color indexed="64"/>
      </left>
      <right style="hair">
        <color indexed="64"/>
      </right>
      <top/>
      <bottom style="hair">
        <color indexed="64"/>
      </bottom>
      <diagonal/>
    </border>
    <border>
      <left/>
      <right style="hair">
        <color indexed="64"/>
      </right>
      <top style="medium">
        <color auto="1"/>
      </top>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medium">
        <color auto="1"/>
      </top>
      <bottom style="thin">
        <color auto="1"/>
      </bottom>
      <diagonal/>
    </border>
    <border>
      <left style="hair">
        <color auto="1"/>
      </left>
      <right style="double">
        <color auto="1"/>
      </right>
      <top style="medium">
        <color auto="1"/>
      </top>
      <bottom/>
      <diagonal/>
    </border>
    <border>
      <left/>
      <right style="thin">
        <color auto="1"/>
      </right>
      <top style="medium">
        <color auto="1"/>
      </top>
      <bottom style="hair">
        <color auto="1"/>
      </bottom>
      <diagonal/>
    </border>
    <border>
      <left style="medium">
        <color rgb="FFFF6600"/>
      </left>
      <right/>
      <top style="medium">
        <color rgb="FFFF6600"/>
      </top>
      <bottom/>
      <diagonal/>
    </border>
    <border>
      <left/>
      <right style="medium">
        <color rgb="FFFF6600"/>
      </right>
      <top style="medium">
        <color rgb="FFFF6600"/>
      </top>
      <bottom/>
      <diagonal/>
    </border>
    <border>
      <left style="medium">
        <color rgb="FFFF6600"/>
      </left>
      <right style="medium">
        <color rgb="FFFF6600"/>
      </right>
      <top/>
      <bottom style="medium">
        <color rgb="FFFF6600"/>
      </bottom>
      <diagonal/>
    </border>
    <border>
      <left style="thin">
        <color auto="1"/>
      </left>
      <right/>
      <top style="medium">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bottom/>
      <diagonal/>
    </border>
    <border>
      <left/>
      <right style="medium">
        <color auto="1"/>
      </right>
      <top style="hair">
        <color auto="1"/>
      </top>
      <bottom style="hair">
        <color auto="1"/>
      </bottom>
      <diagonal/>
    </border>
    <border>
      <left style="hair">
        <color auto="1"/>
      </left>
      <right/>
      <top style="medium">
        <color auto="1"/>
      </top>
      <bottom style="hair">
        <color auto="1"/>
      </bottom>
      <diagonal/>
    </border>
    <border>
      <left style="medium">
        <color auto="1"/>
      </left>
      <right style="medium">
        <color auto="1"/>
      </right>
      <top style="medium">
        <color auto="1"/>
      </top>
      <bottom style="hair">
        <color auto="1"/>
      </bottom>
      <diagonal/>
    </border>
    <border>
      <left style="hair">
        <color auto="1"/>
      </left>
      <right style="thin">
        <color auto="1"/>
      </right>
      <top style="medium">
        <color auto="1"/>
      </top>
      <bottom style="hair">
        <color auto="1"/>
      </bottom>
      <diagonal/>
    </border>
    <border>
      <left/>
      <right style="hair">
        <color auto="1"/>
      </right>
      <top style="medium">
        <color auto="1"/>
      </top>
      <bottom style="hair">
        <color auto="1"/>
      </bottom>
      <diagonal/>
    </border>
    <border>
      <left style="thin">
        <color auto="1"/>
      </left>
      <right style="double">
        <color auto="1"/>
      </right>
      <top style="medium">
        <color auto="1"/>
      </top>
      <bottom style="hair">
        <color auto="1"/>
      </bottom>
      <diagonal/>
    </border>
    <border>
      <left style="double">
        <color auto="1"/>
      </left>
      <right style="medium">
        <color auto="1"/>
      </right>
      <top style="medium">
        <color auto="1"/>
      </top>
      <bottom style="hair">
        <color auto="1"/>
      </bottom>
      <diagonal/>
    </border>
    <border>
      <left/>
      <right style="double">
        <color auto="1"/>
      </right>
      <top style="medium">
        <color auto="1"/>
      </top>
      <bottom style="hair">
        <color auto="1"/>
      </bottom>
      <diagonal/>
    </border>
    <border>
      <left style="double">
        <color auto="1"/>
      </left>
      <right style="hair">
        <color auto="1"/>
      </right>
      <top style="medium">
        <color auto="1"/>
      </top>
      <bottom style="hair">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hair">
        <color auto="1"/>
      </left>
      <right style="double">
        <color auto="1"/>
      </right>
      <top style="medium">
        <color auto="1"/>
      </top>
      <bottom style="hair">
        <color auto="1"/>
      </bottom>
      <diagonal/>
    </border>
    <border>
      <left/>
      <right/>
      <top/>
      <bottom style="medium">
        <color auto="1"/>
      </bottom>
      <diagonal/>
    </border>
    <border>
      <left style="medium">
        <color auto="1"/>
      </left>
      <right/>
      <top style="medium">
        <color auto="1"/>
      </top>
      <bottom style="hair">
        <color auto="1"/>
      </bottom>
      <diagonal/>
    </border>
    <border>
      <left style="medium">
        <color auto="1"/>
      </left>
      <right style="medium">
        <color auto="1"/>
      </right>
      <top/>
      <bottom/>
      <diagonal/>
    </border>
    <border>
      <left style="thin">
        <color auto="1"/>
      </left>
      <right style="thin">
        <color auto="1"/>
      </right>
      <top style="medium">
        <color auto="1"/>
      </top>
      <bottom style="hair">
        <color auto="1"/>
      </bottom>
      <diagonal/>
    </border>
    <border>
      <left style="thin">
        <color auto="1"/>
      </left>
      <right style="hair">
        <color auto="1"/>
      </right>
      <top style="medium">
        <color auto="1"/>
      </top>
      <bottom style="hair">
        <color auto="1"/>
      </bottom>
      <diagonal/>
    </border>
    <border>
      <left/>
      <right style="hair">
        <color auto="1"/>
      </right>
      <top/>
      <bottom style="medium">
        <color auto="1"/>
      </bottom>
      <diagonal/>
    </border>
    <border>
      <left style="medium">
        <color auto="1"/>
      </left>
      <right style="hair">
        <color auto="1"/>
      </right>
      <top/>
      <bottom style="medium">
        <color auto="1"/>
      </bottom>
      <diagonal/>
    </border>
  </borders>
  <cellStyleXfs count="4">
    <xf numFmtId="0" fontId="0" fillId="0" borderId="0"/>
    <xf numFmtId="0" fontId="71" fillId="0" borderId="0"/>
    <xf numFmtId="164" fontId="75" fillId="0" borderId="0"/>
    <xf numFmtId="0" fontId="145" fillId="0" borderId="0" applyNumberFormat="0" applyFill="0" applyBorder="0" applyAlignment="0" applyProtection="0"/>
  </cellStyleXfs>
  <cellXfs count="3029">
    <xf numFmtId="0" fontId="0" fillId="0" borderId="0" xfId="0"/>
    <xf numFmtId="0" fontId="2" fillId="0" borderId="0" xfId="0" applyFont="1"/>
    <xf numFmtId="0" fontId="4" fillId="0" borderId="0" xfId="0" applyFont="1"/>
    <xf numFmtId="0" fontId="5" fillId="2" borderId="1" xfId="0" applyFont="1" applyFill="1" applyBorder="1" applyAlignment="1">
      <alignment horizontal="centerContinuous"/>
    </xf>
    <xf numFmtId="0" fontId="0" fillId="2" borderId="2" xfId="0" applyFill="1" applyBorder="1" applyAlignment="1">
      <alignment horizontal="centerContinuous"/>
    </xf>
    <xf numFmtId="0" fontId="4" fillId="0" borderId="0" xfId="0" applyFont="1" applyBorder="1"/>
    <xf numFmtId="0" fontId="11" fillId="3" borderId="0" xfId="0" applyFont="1" applyFill="1"/>
    <xf numFmtId="0" fontId="0" fillId="3" borderId="0" xfId="0" applyFill="1"/>
    <xf numFmtId="0" fontId="0" fillId="0" borderId="0" xfId="0" applyBorder="1"/>
    <xf numFmtId="0" fontId="12" fillId="3" borderId="9" xfId="0" applyFont="1" applyFill="1" applyBorder="1" applyAlignment="1">
      <alignment wrapText="1"/>
    </xf>
    <xf numFmtId="0" fontId="12" fillId="3" borderId="10" xfId="0" applyFont="1" applyFill="1" applyBorder="1" applyAlignment="1">
      <alignment wrapText="1"/>
    </xf>
    <xf numFmtId="0" fontId="13" fillId="3" borderId="11" xfId="0" applyFont="1" applyFill="1" applyBorder="1" applyAlignment="1">
      <alignment horizontal="centerContinuous" wrapText="1"/>
    </xf>
    <xf numFmtId="0" fontId="13" fillId="3" borderId="14" xfId="0" applyFont="1" applyFill="1" applyBorder="1" applyAlignment="1">
      <alignment horizontal="centerContinuous" wrapText="1"/>
    </xf>
    <xf numFmtId="0" fontId="14" fillId="3" borderId="15" xfId="0" applyFont="1" applyFill="1" applyBorder="1" applyAlignment="1">
      <alignment horizontal="center" vertical="center"/>
    </xf>
    <xf numFmtId="0" fontId="0" fillId="3" borderId="15" xfId="0" applyFill="1" applyBorder="1" applyAlignment="1">
      <alignment horizontal="centerContinuous" wrapText="1"/>
    </xf>
    <xf numFmtId="0" fontId="13" fillId="3" borderId="16" xfId="0" applyFont="1" applyFill="1" applyBorder="1" applyAlignment="1">
      <alignment horizontal="centerContinuous" wrapText="1"/>
    </xf>
    <xf numFmtId="0" fontId="13" fillId="0" borderId="0" xfId="0" applyFont="1" applyFill="1" applyBorder="1" applyAlignment="1">
      <alignment horizontal="centerContinuous" wrapText="1"/>
    </xf>
    <xf numFmtId="0" fontId="14" fillId="0" borderId="0" xfId="0" applyFont="1" applyFill="1" applyBorder="1" applyAlignment="1">
      <alignment horizontal="centerContinuous" wrapText="1"/>
    </xf>
    <xf numFmtId="0" fontId="0" fillId="0" borderId="0" xfId="0" applyFill="1" applyBorder="1" applyAlignment="1">
      <alignment horizontal="centerContinuous" wrapText="1"/>
    </xf>
    <xf numFmtId="0" fontId="0" fillId="0" borderId="0" xfId="0" applyBorder="1" applyAlignment="1">
      <alignment wrapText="1"/>
    </xf>
    <xf numFmtId="0" fontId="12" fillId="3" borderId="17" xfId="0" applyFont="1" applyFill="1" applyBorder="1" applyAlignment="1">
      <alignment wrapText="1"/>
    </xf>
    <xf numFmtId="0" fontId="12" fillId="3" borderId="18" xfId="0" applyFont="1" applyFill="1" applyBorder="1" applyAlignment="1">
      <alignment horizontal="center" wrapText="1"/>
    </xf>
    <xf numFmtId="0" fontId="15" fillId="3" borderId="19" xfId="0" applyFont="1" applyFill="1" applyBorder="1" applyAlignment="1">
      <alignment wrapText="1"/>
    </xf>
    <xf numFmtId="0" fontId="15" fillId="3" borderId="20" xfId="0" applyFont="1" applyFill="1" applyBorder="1" applyAlignment="1">
      <alignment horizontal="center" wrapText="1"/>
    </xf>
    <xf numFmtId="0" fontId="15" fillId="3" borderId="21" xfId="0" applyFont="1" applyFill="1" applyBorder="1" applyAlignment="1">
      <alignment horizontal="center" wrapText="1"/>
    </xf>
    <xf numFmtId="0" fontId="16" fillId="3" borderId="22" xfId="0" applyFont="1" applyFill="1" applyBorder="1" applyAlignment="1">
      <alignment horizontal="center" wrapText="1"/>
    </xf>
    <xf numFmtId="0" fontId="17" fillId="3" borderId="23" xfId="0" applyFont="1" applyFill="1" applyBorder="1" applyAlignment="1">
      <alignment wrapText="1"/>
    </xf>
    <xf numFmtId="0" fontId="15" fillId="3" borderId="21" xfId="0" applyFont="1" applyFill="1" applyBorder="1" applyAlignment="1">
      <alignment wrapText="1"/>
    </xf>
    <xf numFmtId="0" fontId="17" fillId="3" borderId="21" xfId="0" applyFont="1" applyFill="1" applyBorder="1" applyAlignment="1">
      <alignment wrapText="1"/>
    </xf>
    <xf numFmtId="0" fontId="15" fillId="3" borderId="24" xfId="0" applyFont="1" applyFill="1" applyBorder="1" applyAlignment="1">
      <alignment wrapText="1"/>
    </xf>
    <xf numFmtId="0" fontId="15" fillId="0" borderId="0" xfId="0" applyFont="1" applyFill="1" applyBorder="1" applyAlignment="1">
      <alignment wrapText="1"/>
    </xf>
    <xf numFmtId="0" fontId="0" fillId="0" borderId="0" xfId="0" applyAlignment="1">
      <alignment wrapText="1"/>
    </xf>
    <xf numFmtId="0" fontId="0" fillId="5" borderId="19" xfId="0" applyFill="1" applyBorder="1"/>
    <xf numFmtId="0" fontId="0" fillId="5" borderId="20" xfId="0" applyFill="1" applyBorder="1"/>
    <xf numFmtId="0" fontId="0" fillId="5" borderId="21" xfId="0" applyFill="1" applyBorder="1"/>
    <xf numFmtId="0" fontId="0" fillId="6" borderId="22" xfId="0" applyFill="1" applyBorder="1"/>
    <xf numFmtId="0" fontId="0" fillId="5" borderId="23" xfId="0" applyFill="1" applyBorder="1"/>
    <xf numFmtId="0" fontId="0" fillId="5" borderId="24" xfId="0" applyFill="1" applyBorder="1"/>
    <xf numFmtId="0" fontId="0" fillId="0" borderId="0" xfId="0" applyFill="1" applyBorder="1"/>
    <xf numFmtId="0" fontId="0" fillId="0" borderId="19" xfId="0" applyBorder="1"/>
    <xf numFmtId="0" fontId="0" fillId="4" borderId="20" xfId="0" applyFill="1" applyBorder="1"/>
    <xf numFmtId="0" fontId="0" fillId="4" borderId="21" xfId="0" applyFill="1" applyBorder="1"/>
    <xf numFmtId="0" fontId="0" fillId="0" borderId="21" xfId="0" applyBorder="1"/>
    <xf numFmtId="0" fontId="0" fillId="4" borderId="23" xfId="0" applyFill="1" applyBorder="1"/>
    <xf numFmtId="0" fontId="0" fillId="4" borderId="24" xfId="0" applyFill="1" applyBorder="1"/>
    <xf numFmtId="0" fontId="21" fillId="4" borderId="20" xfId="0" applyFont="1" applyFill="1" applyBorder="1"/>
    <xf numFmtId="0" fontId="21" fillId="4" borderId="21" xfId="0" applyFont="1" applyFill="1" applyBorder="1"/>
    <xf numFmtId="0" fontId="21" fillId="7" borderId="22" xfId="0" applyFont="1" applyFill="1" applyBorder="1"/>
    <xf numFmtId="0" fontId="21" fillId="4" borderId="23" xfId="0" applyFont="1" applyFill="1" applyBorder="1"/>
    <xf numFmtId="0" fontId="21" fillId="4" borderId="24" xfId="0" applyFont="1" applyFill="1" applyBorder="1"/>
    <xf numFmtId="0" fontId="0" fillId="0" borderId="20" xfId="0" applyBorder="1"/>
    <xf numFmtId="0" fontId="0" fillId="0" borderId="23" xfId="0" applyBorder="1"/>
    <xf numFmtId="0" fontId="0" fillId="2" borderId="24" xfId="0" applyFill="1" applyBorder="1"/>
    <xf numFmtId="0" fontId="0" fillId="0" borderId="19" xfId="0" applyFill="1" applyBorder="1"/>
    <xf numFmtId="0" fontId="13" fillId="6" borderId="29" xfId="0" applyFont="1" applyFill="1" applyBorder="1" applyAlignment="1">
      <alignment horizontal="right"/>
    </xf>
    <xf numFmtId="0" fontId="0" fillId="6" borderId="30" xfId="0" applyFill="1" applyBorder="1"/>
    <xf numFmtId="0" fontId="0" fillId="6" borderId="31" xfId="0" applyFill="1" applyBorder="1"/>
    <xf numFmtId="0" fontId="0" fillId="6" borderId="32" xfId="0" applyFill="1" applyBorder="1"/>
    <xf numFmtId="0" fontId="0" fillId="6" borderId="33" xfId="0" applyFill="1" applyBorder="1"/>
    <xf numFmtId="0" fontId="0" fillId="6" borderId="34" xfId="0" applyFill="1" applyBorder="1"/>
    <xf numFmtId="0" fontId="0" fillId="6" borderId="35" xfId="0" applyFill="1" applyBorder="1"/>
    <xf numFmtId="0" fontId="0" fillId="0" borderId="0" xfId="0" applyFill="1" applyBorder="1" applyAlignment="1">
      <alignment wrapText="1"/>
    </xf>
    <xf numFmtId="0" fontId="13" fillId="0" borderId="0" xfId="0" applyFont="1" applyAlignment="1">
      <alignment horizontal="right"/>
    </xf>
    <xf numFmtId="0" fontId="13" fillId="3" borderId="36" xfId="0" applyFont="1" applyFill="1" applyBorder="1" applyAlignment="1">
      <alignment horizontal="centerContinuous" wrapText="1"/>
    </xf>
    <xf numFmtId="0" fontId="12" fillId="3" borderId="25" xfId="0" applyFont="1" applyFill="1" applyBorder="1" applyAlignment="1">
      <alignment wrapText="1"/>
    </xf>
    <xf numFmtId="0" fontId="15" fillId="3" borderId="22" xfId="0" applyFont="1" applyFill="1" applyBorder="1" applyAlignment="1">
      <alignment wrapText="1"/>
    </xf>
    <xf numFmtId="0" fontId="15" fillId="3" borderId="23" xfId="0" applyFont="1" applyFill="1" applyBorder="1" applyAlignment="1">
      <alignment horizontal="center" wrapText="1"/>
    </xf>
    <xf numFmtId="0" fontId="16" fillId="3" borderId="24" xfId="0" applyFont="1" applyFill="1" applyBorder="1" applyAlignment="1">
      <alignment horizontal="center" wrapText="1"/>
    </xf>
    <xf numFmtId="0" fontId="0" fillId="5" borderId="22" xfId="0" applyFill="1" applyBorder="1"/>
    <xf numFmtId="0" fontId="0" fillId="6" borderId="24" xfId="0" applyFill="1" applyBorder="1"/>
    <xf numFmtId="0" fontId="0" fillId="0" borderId="22" xfId="0" applyBorder="1"/>
    <xf numFmtId="0" fontId="21" fillId="4" borderId="0" xfId="0" applyFont="1" applyFill="1"/>
    <xf numFmtId="0" fontId="0" fillId="0" borderId="22" xfId="0" applyFill="1" applyBorder="1"/>
    <xf numFmtId="0" fontId="13" fillId="6" borderId="32" xfId="0" applyFont="1" applyFill="1" applyBorder="1" applyAlignment="1">
      <alignment horizontal="right"/>
    </xf>
    <xf numFmtId="0" fontId="0" fillId="0" borderId="0" xfId="0" applyAlignment="1">
      <alignment vertical="center" wrapText="1"/>
    </xf>
    <xf numFmtId="0" fontId="11" fillId="8" borderId="0" xfId="0" applyFont="1" applyFill="1"/>
    <xf numFmtId="0" fontId="0" fillId="8" borderId="0" xfId="0" applyFill="1"/>
    <xf numFmtId="0" fontId="0" fillId="0" borderId="0" xfId="0" applyFill="1"/>
    <xf numFmtId="0" fontId="12" fillId="8" borderId="9" xfId="0" applyFont="1" applyFill="1" applyBorder="1"/>
    <xf numFmtId="0" fontId="12" fillId="8" borderId="10" xfId="0" applyFont="1" applyFill="1" applyBorder="1" applyAlignment="1">
      <alignment horizontal="center" wrapText="1"/>
    </xf>
    <xf numFmtId="0" fontId="15" fillId="8" borderId="11" xfId="0" applyFont="1" applyFill="1" applyBorder="1"/>
    <xf numFmtId="0" fontId="15" fillId="8" borderId="39" xfId="0" applyFont="1" applyFill="1" applyBorder="1" applyAlignment="1">
      <alignment horizontal="center" wrapText="1"/>
    </xf>
    <xf numFmtId="0" fontId="15" fillId="8" borderId="36" xfId="0" applyFont="1" applyFill="1" applyBorder="1" applyAlignment="1">
      <alignment horizontal="center" wrapText="1"/>
    </xf>
    <xf numFmtId="0" fontId="15" fillId="4" borderId="40" xfId="0" applyFont="1" applyFill="1" applyBorder="1" applyAlignment="1">
      <alignment wrapText="1"/>
    </xf>
    <xf numFmtId="0" fontId="24" fillId="5" borderId="19" xfId="0" applyFont="1" applyFill="1" applyBorder="1"/>
    <xf numFmtId="0" fontId="0" fillId="0" borderId="40" xfId="0" applyBorder="1"/>
    <xf numFmtId="0" fontId="24" fillId="0" borderId="19" xfId="0" applyFont="1" applyBorder="1"/>
    <xf numFmtId="0" fontId="0" fillId="4" borderId="20" xfId="0" applyFont="1" applyFill="1" applyBorder="1"/>
    <xf numFmtId="0" fontId="0" fillId="4" borderId="22" xfId="0" applyFont="1" applyFill="1" applyBorder="1"/>
    <xf numFmtId="0" fontId="20" fillId="4" borderId="0" xfId="0" applyFont="1" applyFill="1"/>
    <xf numFmtId="0" fontId="0" fillId="4" borderId="40" xfId="0" applyFill="1" applyBorder="1"/>
    <xf numFmtId="0" fontId="15" fillId="0" borderId="41"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3" fillId="0" borderId="0" xfId="0" applyFont="1" applyFill="1" applyBorder="1" applyAlignment="1">
      <alignment horizontal="right"/>
    </xf>
    <xf numFmtId="0" fontId="12" fillId="8" borderId="14" xfId="0" applyFont="1" applyFill="1" applyBorder="1"/>
    <xf numFmtId="0" fontId="15" fillId="8" borderId="11" xfId="0" applyFont="1" applyFill="1" applyBorder="1" applyAlignment="1">
      <alignment horizontal="left"/>
    </xf>
    <xf numFmtId="0" fontId="15" fillId="8" borderId="15" xfId="0" applyFont="1" applyFill="1" applyBorder="1" applyAlignment="1">
      <alignment horizontal="center" wrapText="1"/>
    </xf>
    <xf numFmtId="0" fontId="15" fillId="8" borderId="16" xfId="0" applyFont="1" applyFill="1" applyBorder="1" applyAlignment="1">
      <alignment horizontal="center" wrapText="1"/>
    </xf>
    <xf numFmtId="0" fontId="15" fillId="5" borderId="19" xfId="0" applyFont="1" applyFill="1" applyBorder="1"/>
    <xf numFmtId="0" fontId="0" fillId="0" borderId="24" xfId="0" applyBorder="1"/>
    <xf numFmtId="0" fontId="0" fillId="0" borderId="44" xfId="0" applyBorder="1"/>
    <xf numFmtId="0" fontId="12" fillId="8" borderId="10" xfId="0" applyFont="1" applyFill="1" applyBorder="1" applyAlignment="1">
      <alignment wrapText="1"/>
    </xf>
    <xf numFmtId="0" fontId="27" fillId="8" borderId="48" xfId="0" applyFont="1" applyFill="1" applyBorder="1" applyAlignment="1">
      <alignment horizontal="centerContinuous" wrapText="1"/>
    </xf>
    <xf numFmtId="0" fontId="26" fillId="8" borderId="13" xfId="0" applyFont="1" applyFill="1" applyBorder="1" applyAlignment="1">
      <alignment horizontal="centerContinuous" wrapText="1"/>
    </xf>
    <xf numFmtId="0" fontId="26" fillId="8" borderId="38" xfId="0" applyFont="1" applyFill="1" applyBorder="1" applyAlignment="1">
      <alignment horizontal="centerContinuous" wrapText="1"/>
    </xf>
    <xf numFmtId="0" fontId="12" fillId="8" borderId="49" xfId="0" applyFont="1" applyFill="1" applyBorder="1" applyAlignment="1">
      <alignment horizontal="center" wrapText="1"/>
    </xf>
    <xf numFmtId="0" fontId="28" fillId="8" borderId="52" xfId="0" applyFont="1" applyFill="1" applyBorder="1" applyAlignment="1">
      <alignment wrapText="1"/>
    </xf>
    <xf numFmtId="0" fontId="26" fillId="8" borderId="53" xfId="0" applyFont="1" applyFill="1" applyBorder="1" applyAlignment="1">
      <alignment wrapText="1"/>
    </xf>
    <xf numFmtId="0" fontId="26" fillId="8" borderId="54" xfId="0" applyFont="1" applyFill="1" applyBorder="1" applyAlignment="1">
      <alignment wrapText="1"/>
    </xf>
    <xf numFmtId="0" fontId="28" fillId="8" borderId="54" xfId="0" applyFont="1" applyFill="1" applyBorder="1" applyAlignment="1">
      <alignment wrapText="1"/>
    </xf>
    <xf numFmtId="0" fontId="26" fillId="8" borderId="55" xfId="0" applyFont="1" applyFill="1" applyBorder="1" applyAlignment="1">
      <alignment wrapText="1"/>
    </xf>
    <xf numFmtId="0" fontId="0" fillId="0" borderId="56" xfId="0" applyBorder="1"/>
    <xf numFmtId="0" fontId="30" fillId="5" borderId="19" xfId="0" applyFont="1" applyFill="1" applyBorder="1"/>
    <xf numFmtId="0" fontId="30" fillId="5" borderId="21" xfId="0" applyFont="1" applyFill="1" applyBorder="1"/>
    <xf numFmtId="0" fontId="0" fillId="5" borderId="52" xfId="0" applyFill="1" applyBorder="1"/>
    <xf numFmtId="0" fontId="0" fillId="5" borderId="53" xfId="0" applyFill="1" applyBorder="1"/>
    <xf numFmtId="0" fontId="30" fillId="0" borderId="19" xfId="0" applyFont="1" applyBorder="1"/>
    <xf numFmtId="0" fontId="30" fillId="0" borderId="21" xfId="0" applyFont="1" applyBorder="1"/>
    <xf numFmtId="0" fontId="0" fillId="0" borderId="57" xfId="0" applyBorder="1"/>
    <xf numFmtId="0" fontId="30" fillId="4" borderId="21" xfId="0" applyFont="1" applyFill="1" applyBorder="1"/>
    <xf numFmtId="0" fontId="0" fillId="4" borderId="57" xfId="0" applyFill="1" applyBorder="1"/>
    <xf numFmtId="0" fontId="0" fillId="4" borderId="0" xfId="0" applyFill="1" applyBorder="1"/>
    <xf numFmtId="0" fontId="31" fillId="9" borderId="29" xfId="0" applyFont="1" applyFill="1" applyBorder="1" applyAlignment="1">
      <alignment horizontal="right"/>
    </xf>
    <xf numFmtId="0" fontId="0" fillId="9" borderId="31" xfId="0" applyFont="1" applyFill="1" applyBorder="1" applyAlignment="1">
      <alignment horizontal="right"/>
    </xf>
    <xf numFmtId="0" fontId="0" fillId="9" borderId="34" xfId="0" applyFill="1" applyBorder="1"/>
    <xf numFmtId="0" fontId="0" fillId="9" borderId="31" xfId="0" applyFill="1" applyBorder="1"/>
    <xf numFmtId="0" fontId="0" fillId="9" borderId="35" xfId="0" applyFill="1" applyBorder="1"/>
    <xf numFmtId="0" fontId="0" fillId="0" borderId="0" xfId="0" applyBorder="1" applyAlignment="1"/>
    <xf numFmtId="0" fontId="15" fillId="0" borderId="0" xfId="0" applyFont="1" applyBorder="1" applyAlignment="1">
      <alignment horizontal="center" vertical="center" wrapText="1"/>
    </xf>
    <xf numFmtId="0" fontId="13" fillId="4" borderId="0" xfId="0" applyFont="1" applyFill="1" applyBorder="1" applyAlignment="1">
      <alignment horizontal="right" wrapText="1"/>
    </xf>
    <xf numFmtId="0" fontId="0" fillId="4" borderId="0" xfId="0" applyFont="1" applyFill="1" applyBorder="1" applyAlignment="1">
      <alignment horizontal="right" wrapText="1"/>
    </xf>
    <xf numFmtId="0" fontId="0" fillId="4" borderId="0" xfId="0" applyFill="1" applyBorder="1" applyAlignment="1">
      <alignment wrapText="1"/>
    </xf>
    <xf numFmtId="0" fontId="15" fillId="8" borderId="15" xfId="0" applyFont="1" applyFill="1" applyBorder="1" applyAlignment="1">
      <alignment wrapText="1"/>
    </xf>
    <xf numFmtId="0" fontId="15" fillId="8" borderId="11" xfId="0" applyFont="1" applyFill="1" applyBorder="1" applyAlignment="1">
      <alignment wrapText="1"/>
    </xf>
    <xf numFmtId="0" fontId="16" fillId="8" borderId="58" xfId="0" applyFont="1" applyFill="1" applyBorder="1" applyAlignment="1">
      <alignment wrapText="1"/>
    </xf>
    <xf numFmtId="0" fontId="28" fillId="8" borderId="59" xfId="0" applyFont="1" applyFill="1" applyBorder="1" applyAlignment="1">
      <alignment wrapText="1"/>
    </xf>
    <xf numFmtId="0" fontId="26" fillId="8" borderId="15" xfId="0" applyFont="1" applyFill="1" applyBorder="1" applyAlignment="1">
      <alignment wrapText="1"/>
    </xf>
    <xf numFmtId="0" fontId="26" fillId="8" borderId="60" xfId="0" applyFont="1" applyFill="1" applyBorder="1" applyAlignment="1">
      <alignment wrapText="1"/>
    </xf>
    <xf numFmtId="0" fontId="28" fillId="8" borderId="60" xfId="0" applyFont="1" applyFill="1" applyBorder="1" applyAlignment="1">
      <alignment wrapText="1"/>
    </xf>
    <xf numFmtId="0" fontId="26" fillId="8" borderId="61" xfId="0" applyFont="1" applyFill="1" applyBorder="1" applyAlignment="1">
      <alignment wrapText="1"/>
    </xf>
    <xf numFmtId="0" fontId="24" fillId="5" borderId="21" xfId="0" applyFont="1" applyFill="1" applyBorder="1"/>
    <xf numFmtId="0" fontId="0" fillId="9" borderId="62" xfId="0" applyFill="1" applyBorder="1"/>
    <xf numFmtId="0" fontId="0" fillId="5" borderId="54" xfId="0" applyFill="1" applyBorder="1"/>
    <xf numFmtId="0" fontId="0" fillId="5" borderId="55" xfId="0" applyFill="1" applyBorder="1"/>
    <xf numFmtId="0" fontId="24" fillId="4" borderId="21" xfId="0" applyFont="1" applyFill="1" applyBorder="1"/>
    <xf numFmtId="0" fontId="32" fillId="4" borderId="21" xfId="0" applyFont="1" applyFill="1" applyBorder="1"/>
    <xf numFmtId="0" fontId="21" fillId="9" borderId="62" xfId="0" applyFont="1" applyFill="1" applyBorder="1"/>
    <xf numFmtId="0" fontId="24" fillId="0" borderId="21" xfId="0" applyFont="1" applyBorder="1"/>
    <xf numFmtId="0" fontId="13" fillId="9" borderId="29" xfId="0" applyFont="1" applyFill="1" applyBorder="1" applyAlignment="1">
      <alignment horizontal="right"/>
    </xf>
    <xf numFmtId="0" fontId="13" fillId="9" borderId="32" xfId="0" applyFont="1" applyFill="1" applyBorder="1" applyAlignment="1">
      <alignment horizontal="right"/>
    </xf>
    <xf numFmtId="0" fontId="13" fillId="9" borderId="34" xfId="0" applyFont="1" applyFill="1" applyBorder="1" applyAlignment="1">
      <alignment horizontal="right"/>
    </xf>
    <xf numFmtId="0" fontId="0" fillId="9" borderId="30" xfId="0" applyFill="1" applyBorder="1"/>
    <xf numFmtId="0" fontId="18" fillId="0" borderId="0" xfId="0" applyFont="1" applyBorder="1" applyAlignment="1"/>
    <xf numFmtId="0" fontId="13" fillId="4" borderId="0" xfId="0" applyFont="1" applyFill="1" applyBorder="1" applyAlignment="1">
      <alignment horizontal="right"/>
    </xf>
    <xf numFmtId="0" fontId="13" fillId="4" borderId="0" xfId="0" applyFont="1" applyFill="1" applyBorder="1"/>
    <xf numFmtId="0" fontId="11" fillId="10" borderId="0" xfId="0" applyFont="1" applyFill="1"/>
    <xf numFmtId="0" fontId="33" fillId="10" borderId="0" xfId="0" applyFont="1" applyFill="1"/>
    <xf numFmtId="0" fontId="33" fillId="0" borderId="0" xfId="0" applyFont="1" applyFill="1"/>
    <xf numFmtId="0" fontId="13" fillId="0" borderId="0" xfId="0" applyFont="1"/>
    <xf numFmtId="0" fontId="12" fillId="10" borderId="9" xfId="0" applyFont="1" applyFill="1" applyBorder="1" applyAlignment="1">
      <alignment wrapText="1"/>
    </xf>
    <xf numFmtId="0" fontId="34" fillId="10" borderId="10" xfId="0" applyFont="1" applyFill="1" applyBorder="1" applyAlignment="1">
      <alignment horizontal="center" wrapText="1"/>
    </xf>
    <xf numFmtId="0" fontId="15" fillId="10" borderId="11" xfId="0" applyFont="1" applyFill="1" applyBorder="1" applyAlignment="1">
      <alignment wrapText="1"/>
    </xf>
    <xf numFmtId="0" fontId="16" fillId="10" borderId="58" xfId="0" applyFont="1" applyFill="1" applyBorder="1" applyAlignment="1">
      <alignment wrapText="1"/>
    </xf>
    <xf numFmtId="0" fontId="15" fillId="10" borderId="63" xfId="0" applyFont="1" applyFill="1" applyBorder="1" applyAlignment="1">
      <alignment wrapText="1"/>
    </xf>
    <xf numFmtId="0" fontId="15" fillId="10" borderId="15" xfId="0" applyFont="1" applyFill="1" applyBorder="1" applyAlignment="1">
      <alignment wrapText="1"/>
    </xf>
    <xf numFmtId="0" fontId="15" fillId="10" borderId="16" xfId="0" applyFont="1" applyFill="1" applyBorder="1" applyAlignment="1">
      <alignment wrapText="1"/>
    </xf>
    <xf numFmtId="0" fontId="0" fillId="5" borderId="62" xfId="0" applyFill="1" applyBorder="1"/>
    <xf numFmtId="0" fontId="0" fillId="5" borderId="57" xfId="0" applyFill="1" applyBorder="1"/>
    <xf numFmtId="0" fontId="0" fillId="0" borderId="62" xfId="0" applyBorder="1"/>
    <xf numFmtId="0" fontId="13" fillId="9" borderId="64" xfId="0" applyFont="1" applyFill="1" applyBorder="1"/>
    <xf numFmtId="0" fontId="11" fillId="11" borderId="0" xfId="0" applyFont="1" applyFill="1"/>
    <xf numFmtId="0" fontId="0" fillId="11" borderId="0" xfId="0" applyFill="1"/>
    <xf numFmtId="0" fontId="0" fillId="4" borderId="0" xfId="0" applyFill="1"/>
    <xf numFmtId="0" fontId="11" fillId="0" borderId="0" xfId="0" applyFont="1" applyFill="1"/>
    <xf numFmtId="0" fontId="27" fillId="12" borderId="48" xfId="0" applyFont="1" applyFill="1" applyBorder="1" applyAlignment="1">
      <alignment horizontal="centerContinuous" wrapText="1"/>
    </xf>
    <xf numFmtId="0" fontId="27" fillId="12" borderId="13" xfId="0" applyFont="1" applyFill="1" applyBorder="1" applyAlignment="1">
      <alignment horizontal="centerContinuous" wrapText="1"/>
    </xf>
    <xf numFmtId="0" fontId="27" fillId="12" borderId="38" xfId="0" applyFont="1" applyFill="1" applyBorder="1" applyAlignment="1">
      <alignment horizontal="centerContinuous" wrapText="1"/>
    </xf>
    <xf numFmtId="0" fontId="0" fillId="4" borderId="0" xfId="0" applyFont="1" applyFill="1" applyBorder="1"/>
    <xf numFmtId="0" fontId="26" fillId="12" borderId="20" xfId="0" applyFont="1" applyFill="1" applyBorder="1" applyAlignment="1">
      <alignment wrapText="1"/>
    </xf>
    <xf numFmtId="0" fontId="26" fillId="12" borderId="21" xfId="0" applyFont="1" applyFill="1" applyBorder="1" applyAlignment="1">
      <alignment wrapText="1"/>
    </xf>
    <xf numFmtId="0" fontId="28" fillId="12" borderId="52" xfId="0" applyFont="1" applyFill="1" applyBorder="1" applyAlignment="1">
      <alignment wrapText="1"/>
    </xf>
    <xf numFmtId="0" fontId="37" fillId="12" borderId="53" xfId="0" applyFont="1" applyFill="1" applyBorder="1" applyAlignment="1">
      <alignment wrapText="1"/>
    </xf>
    <xf numFmtId="0" fontId="26" fillId="12" borderId="53" xfId="0" applyFont="1" applyFill="1" applyBorder="1" applyAlignment="1">
      <alignment wrapText="1"/>
    </xf>
    <xf numFmtId="0" fontId="26" fillId="12" borderId="54" xfId="0" applyFont="1" applyFill="1" applyBorder="1" applyAlignment="1">
      <alignment wrapText="1"/>
    </xf>
    <xf numFmtId="0" fontId="28" fillId="12" borderId="54" xfId="0" applyFont="1" applyFill="1" applyBorder="1" applyAlignment="1">
      <alignment wrapText="1"/>
    </xf>
    <xf numFmtId="0" fontId="26" fillId="12" borderId="55" xfId="0" applyFont="1" applyFill="1" applyBorder="1" applyAlignment="1">
      <alignment wrapText="1"/>
    </xf>
    <xf numFmtId="0" fontId="0" fillId="5" borderId="57" xfId="0" applyFont="1" applyFill="1" applyBorder="1"/>
    <xf numFmtId="0" fontId="0" fillId="5" borderId="21" xfId="0" applyFont="1" applyFill="1" applyBorder="1"/>
    <xf numFmtId="0" fontId="0" fillId="5" borderId="24" xfId="0" applyFont="1" applyFill="1" applyBorder="1"/>
    <xf numFmtId="0" fontId="0" fillId="0" borderId="57" xfId="0" applyFont="1" applyBorder="1"/>
    <xf numFmtId="0" fontId="0" fillId="0" borderId="21" xfId="0" applyFont="1" applyBorder="1"/>
    <xf numFmtId="0" fontId="20" fillId="0" borderId="24" xfId="0" applyFont="1" applyBorder="1"/>
    <xf numFmtId="0" fontId="21" fillId="0" borderId="24" xfId="0" applyFont="1" applyBorder="1"/>
    <xf numFmtId="0" fontId="0" fillId="0" borderId="24" xfId="0" applyFont="1" applyBorder="1"/>
    <xf numFmtId="0" fontId="0" fillId="9" borderId="34" xfId="0" applyFont="1" applyFill="1" applyBorder="1"/>
    <xf numFmtId="0" fontId="0" fillId="9" borderId="31" xfId="0" applyFont="1" applyFill="1" applyBorder="1"/>
    <xf numFmtId="0" fontId="0" fillId="9" borderId="35" xfId="0" applyFont="1" applyFill="1" applyBorder="1"/>
    <xf numFmtId="0" fontId="0" fillId="0" borderId="0" xfId="0" applyBorder="1" applyAlignment="1">
      <alignment horizontal="left" vertical="center" wrapText="1"/>
    </xf>
    <xf numFmtId="0" fontId="13" fillId="0" borderId="0" xfId="0" applyFont="1" applyBorder="1" applyAlignment="1">
      <alignment horizontal="right"/>
    </xf>
    <xf numFmtId="0" fontId="0" fillId="0" borderId="0" xfId="0" applyFont="1" applyBorder="1"/>
    <xf numFmtId="0" fontId="39" fillId="0" borderId="0" xfId="0" applyFont="1" applyFill="1"/>
    <xf numFmtId="0" fontId="27" fillId="0" borderId="0" xfId="0" applyFont="1" applyFill="1"/>
    <xf numFmtId="0" fontId="26" fillId="12" borderId="46" xfId="0" applyFont="1" applyFill="1" applyBorder="1" applyAlignment="1">
      <alignment horizontal="center" wrapText="1"/>
    </xf>
    <xf numFmtId="0" fontId="26" fillId="12" borderId="12" xfId="0" applyFont="1" applyFill="1" applyBorder="1" applyAlignment="1">
      <alignment horizontal="centerContinuous" wrapText="1"/>
    </xf>
    <xf numFmtId="0" fontId="26" fillId="12" borderId="13" xfId="0" applyFont="1" applyFill="1" applyBorder="1" applyAlignment="1">
      <alignment horizontal="centerContinuous" wrapText="1"/>
    </xf>
    <xf numFmtId="0" fontId="26" fillId="12" borderId="58" xfId="0" applyFont="1" applyFill="1" applyBorder="1" applyAlignment="1">
      <alignment horizontal="centerContinuous" wrapText="1"/>
    </xf>
    <xf numFmtId="0" fontId="26" fillId="12" borderId="50" xfId="0" applyFont="1" applyFill="1" applyBorder="1" applyAlignment="1">
      <alignment horizontal="center" wrapText="1"/>
    </xf>
    <xf numFmtId="0" fontId="15" fillId="12" borderId="21" xfId="0" applyFont="1" applyFill="1" applyBorder="1" applyAlignment="1">
      <alignment wrapText="1"/>
    </xf>
    <xf numFmtId="0" fontId="27" fillId="12" borderId="66" xfId="0" applyFont="1" applyFill="1" applyBorder="1" applyAlignment="1">
      <alignment wrapText="1"/>
    </xf>
    <xf numFmtId="0" fontId="0" fillId="9" borderId="66" xfId="0" applyFont="1" applyFill="1" applyBorder="1"/>
    <xf numFmtId="0" fontId="31" fillId="9" borderId="67" xfId="0" applyFont="1" applyFill="1" applyBorder="1"/>
    <xf numFmtId="0" fontId="15" fillId="0" borderId="0" xfId="0" applyFont="1" applyFill="1" applyBorder="1" applyAlignment="1">
      <alignment horizontal="left" vertical="center" wrapText="1"/>
    </xf>
    <xf numFmtId="0" fontId="13" fillId="0" borderId="0" xfId="0" applyFont="1" applyFill="1" applyBorder="1"/>
    <xf numFmtId="0" fontId="0" fillId="0" borderId="0" xfId="0" applyFont="1" applyFill="1" applyBorder="1"/>
    <xf numFmtId="0" fontId="11" fillId="13" borderId="0" xfId="0" applyFont="1" applyFill="1"/>
    <xf numFmtId="0" fontId="0" fillId="13" borderId="0" xfId="0" applyFill="1"/>
    <xf numFmtId="0" fontId="15" fillId="0" borderId="0" xfId="0" applyFont="1" applyBorder="1" applyAlignment="1">
      <alignment horizontal="left"/>
    </xf>
    <xf numFmtId="0" fontId="26" fillId="13" borderId="68" xfId="0" applyFont="1" applyFill="1" applyBorder="1" applyAlignment="1">
      <alignment horizontal="centerContinuous" wrapText="1"/>
    </xf>
    <xf numFmtId="0" fontId="26" fillId="13" borderId="69" xfId="0" applyFont="1" applyFill="1" applyBorder="1" applyAlignment="1">
      <alignment horizontal="centerContinuous" wrapText="1"/>
    </xf>
    <xf numFmtId="0" fontId="26" fillId="13" borderId="70" xfId="0" applyFont="1" applyFill="1" applyBorder="1" applyAlignment="1">
      <alignment horizontal="centerContinuous" wrapText="1"/>
    </xf>
    <xf numFmtId="0" fontId="27" fillId="13" borderId="54" xfId="0" applyFont="1" applyFill="1" applyBorder="1" applyAlignment="1">
      <alignment wrapText="1"/>
    </xf>
    <xf numFmtId="0" fontId="28" fillId="13" borderId="54" xfId="0" applyFont="1" applyFill="1" applyBorder="1" applyAlignment="1">
      <alignment wrapText="1"/>
    </xf>
    <xf numFmtId="0" fontId="27" fillId="13" borderId="53" xfId="0" applyFont="1" applyFill="1" applyBorder="1" applyAlignment="1">
      <alignment wrapText="1"/>
    </xf>
    <xf numFmtId="0" fontId="27" fillId="13" borderId="50" xfId="0" applyFont="1" applyFill="1" applyBorder="1" applyAlignment="1">
      <alignment wrapText="1"/>
    </xf>
    <xf numFmtId="0" fontId="26" fillId="13" borderId="54" xfId="0" applyFont="1" applyFill="1" applyBorder="1" applyAlignment="1">
      <alignment wrapText="1"/>
    </xf>
    <xf numFmtId="0" fontId="37" fillId="13" borderId="50" xfId="0" applyFont="1" applyFill="1" applyBorder="1" applyAlignment="1">
      <alignment wrapText="1"/>
    </xf>
    <xf numFmtId="0" fontId="26" fillId="13" borderId="72" xfId="0" applyFont="1" applyFill="1" applyBorder="1" applyAlignment="1">
      <alignment wrapText="1"/>
    </xf>
    <xf numFmtId="0" fontId="0" fillId="9" borderId="19" xfId="0" applyFont="1" applyFill="1" applyBorder="1"/>
    <xf numFmtId="0" fontId="0" fillId="5" borderId="20" xfId="0" applyFont="1" applyFill="1" applyBorder="1"/>
    <xf numFmtId="0" fontId="0" fillId="5" borderId="19" xfId="0" applyFont="1" applyFill="1" applyBorder="1"/>
    <xf numFmtId="0" fontId="0" fillId="5" borderId="62" xfId="0" applyFont="1" applyFill="1" applyBorder="1"/>
    <xf numFmtId="0" fontId="0" fillId="0" borderId="20" xfId="0" applyFont="1" applyBorder="1"/>
    <xf numFmtId="0" fontId="0" fillId="0" borderId="19" xfId="0" applyFont="1" applyBorder="1"/>
    <xf numFmtId="0" fontId="0" fillId="0" borderId="62" xfId="0" applyFont="1" applyBorder="1"/>
    <xf numFmtId="0" fontId="0" fillId="9" borderId="29" xfId="0" applyFill="1" applyBorder="1"/>
    <xf numFmtId="0" fontId="0" fillId="9" borderId="30" xfId="0" applyFont="1" applyFill="1" applyBorder="1"/>
    <xf numFmtId="0" fontId="0" fillId="9" borderId="29" xfId="0" applyFont="1" applyFill="1" applyBorder="1"/>
    <xf numFmtId="0" fontId="0" fillId="9" borderId="64" xfId="0" applyFont="1" applyFill="1" applyBorder="1"/>
    <xf numFmtId="0" fontId="26" fillId="0" borderId="0" xfId="0" applyFont="1"/>
    <xf numFmtId="0" fontId="26" fillId="13" borderId="13" xfId="0" applyFont="1" applyFill="1" applyBorder="1" applyAlignment="1">
      <alignment horizontal="centerContinuous" wrapText="1"/>
    </xf>
    <xf numFmtId="0" fontId="26" fillId="13" borderId="74" xfId="0" applyFont="1" applyFill="1" applyBorder="1" applyAlignment="1">
      <alignment horizontal="centerContinuous" wrapText="1"/>
    </xf>
    <xf numFmtId="0" fontId="26" fillId="13" borderId="38" xfId="0" applyFont="1" applyFill="1" applyBorder="1" applyAlignment="1">
      <alignment horizontal="centerContinuous" wrapText="1"/>
    </xf>
    <xf numFmtId="0" fontId="26" fillId="13" borderId="20" xfId="0" applyFont="1" applyFill="1" applyBorder="1" applyAlignment="1">
      <alignment wrapText="1"/>
    </xf>
    <xf numFmtId="0" fontId="26" fillId="13" borderId="21" xfId="0" applyFont="1" applyFill="1" applyBorder="1" applyAlignment="1">
      <alignment wrapText="1"/>
    </xf>
    <xf numFmtId="0" fontId="26" fillId="13" borderId="22" xfId="0" applyFont="1" applyFill="1" applyBorder="1" applyAlignment="1">
      <alignment wrapText="1"/>
    </xf>
    <xf numFmtId="0" fontId="27" fillId="13" borderId="19" xfId="0" applyFont="1" applyFill="1" applyBorder="1" applyAlignment="1">
      <alignment wrapText="1"/>
    </xf>
    <xf numFmtId="0" fontId="26" fillId="13" borderId="24" xfId="0" applyFont="1" applyFill="1" applyBorder="1" applyAlignment="1">
      <alignment wrapText="1"/>
    </xf>
    <xf numFmtId="0" fontId="30" fillId="5" borderId="66" xfId="0" applyFont="1" applyFill="1" applyBorder="1"/>
    <xf numFmtId="0" fontId="30" fillId="0" borderId="66" xfId="0" applyFont="1" applyBorder="1"/>
    <xf numFmtId="0" fontId="31" fillId="9" borderId="67" xfId="0" applyFont="1" applyFill="1" applyBorder="1" applyAlignment="1">
      <alignment horizontal="right"/>
    </xf>
    <xf numFmtId="0" fontId="31" fillId="9" borderId="35" xfId="0" applyFont="1" applyFill="1" applyBorder="1"/>
    <xf numFmtId="0" fontId="26" fillId="0" borderId="0" xfId="0" applyFont="1" applyBorder="1" applyAlignment="1">
      <alignment horizontal="left"/>
    </xf>
    <xf numFmtId="0" fontId="26" fillId="0" borderId="0" xfId="0" applyFont="1" applyBorder="1" applyAlignment="1">
      <alignment horizontal="center" vertical="center" wrapText="1"/>
    </xf>
    <xf numFmtId="0" fontId="31" fillId="4" borderId="56" xfId="0" applyFont="1" applyFill="1" applyBorder="1" applyAlignment="1">
      <alignment horizontal="right"/>
    </xf>
    <xf numFmtId="0" fontId="0" fillId="4" borderId="41" xfId="0" applyFont="1" applyFill="1" applyBorder="1"/>
    <xf numFmtId="0" fontId="31" fillId="4" borderId="0" xfId="0" applyFont="1" applyFill="1" applyBorder="1"/>
    <xf numFmtId="0" fontId="0" fillId="0" borderId="76" xfId="0" applyBorder="1"/>
    <xf numFmtId="0" fontId="40" fillId="13" borderId="37" xfId="0" applyFont="1" applyFill="1" applyBorder="1" applyAlignment="1">
      <alignment horizontal="left" wrapText="1"/>
    </xf>
    <xf numFmtId="0" fontId="29" fillId="13" borderId="15" xfId="0" applyFont="1" applyFill="1" applyBorder="1" applyAlignment="1">
      <alignment horizontal="center" vertical="center" wrapText="1"/>
    </xf>
    <xf numFmtId="0" fontId="31" fillId="13" borderId="77" xfId="0" applyFont="1" applyFill="1" applyBorder="1" applyAlignment="1">
      <alignment horizontal="right"/>
    </xf>
    <xf numFmtId="0" fontId="0" fillId="13" borderId="15" xfId="0" applyFont="1" applyFill="1" applyBorder="1" applyAlignment="1">
      <alignment wrapText="1"/>
    </xf>
    <xf numFmtId="0" fontId="0" fillId="13" borderId="13" xfId="0" applyFont="1" applyFill="1" applyBorder="1" applyAlignment="1">
      <alignment wrapText="1"/>
    </xf>
    <xf numFmtId="0" fontId="0" fillId="13" borderId="16" xfId="0" applyFont="1" applyFill="1" applyBorder="1" applyAlignment="1">
      <alignment wrapText="1"/>
    </xf>
    <xf numFmtId="0" fontId="31" fillId="13" borderId="78" xfId="0" applyFont="1" applyFill="1" applyBorder="1" applyAlignment="1">
      <alignment wrapText="1"/>
    </xf>
    <xf numFmtId="0" fontId="0" fillId="0" borderId="25" xfId="0" applyBorder="1"/>
    <xf numFmtId="0" fontId="31" fillId="5" borderId="20" xfId="0" applyFont="1" applyFill="1" applyBorder="1" applyAlignment="1">
      <alignment horizontal="right"/>
    </xf>
    <xf numFmtId="0" fontId="31" fillId="5" borderId="80" xfId="0" applyFont="1" applyFill="1" applyBorder="1"/>
    <xf numFmtId="0" fontId="0" fillId="5" borderId="81" xfId="0" applyFill="1" applyBorder="1"/>
    <xf numFmtId="0" fontId="31" fillId="4" borderId="20" xfId="0" applyFont="1" applyFill="1" applyBorder="1" applyAlignment="1">
      <alignment horizontal="right"/>
    </xf>
    <xf numFmtId="0" fontId="0" fillId="4" borderId="21" xfId="0" applyFont="1" applyFill="1" applyBorder="1"/>
    <xf numFmtId="0" fontId="0" fillId="4" borderId="24" xfId="0" applyFont="1" applyFill="1" applyBorder="1"/>
    <xf numFmtId="0" fontId="31" fillId="9" borderId="80" xfId="0" applyFont="1" applyFill="1" applyBorder="1"/>
    <xf numFmtId="0" fontId="0" fillId="9" borderId="81" xfId="0" applyFill="1" applyBorder="1"/>
    <xf numFmtId="0" fontId="31" fillId="4" borderId="82" xfId="0" applyFont="1" applyFill="1" applyBorder="1" applyAlignment="1">
      <alignment horizontal="right"/>
    </xf>
    <xf numFmtId="0" fontId="0" fillId="4" borderId="82" xfId="0" applyFont="1" applyFill="1" applyBorder="1"/>
    <xf numFmtId="0" fontId="31" fillId="9" borderId="84" xfId="0" applyFont="1" applyFill="1" applyBorder="1" applyAlignment="1">
      <alignment horizontal="right"/>
    </xf>
    <xf numFmtId="0" fontId="0" fillId="9" borderId="32" xfId="0" applyFont="1" applyFill="1" applyBorder="1"/>
    <xf numFmtId="0" fontId="0" fillId="9" borderId="85" xfId="0" applyFont="1" applyFill="1" applyBorder="1"/>
    <xf numFmtId="0" fontId="15" fillId="0" borderId="0" xfId="0" applyFont="1" applyFill="1" applyBorder="1" applyAlignment="1">
      <alignment horizontal="left"/>
    </xf>
    <xf numFmtId="0" fontId="11" fillId="14" borderId="0" xfId="0" applyFont="1" applyFill="1"/>
    <xf numFmtId="0" fontId="0" fillId="14" borderId="0" xfId="0" applyFill="1"/>
    <xf numFmtId="0" fontId="11" fillId="0" borderId="0" xfId="0" applyFont="1"/>
    <xf numFmtId="0" fontId="26" fillId="14" borderId="12" xfId="0" applyFont="1" applyFill="1" applyBorder="1" applyAlignment="1">
      <alignment horizontal="centerContinuous" wrapText="1"/>
    </xf>
    <xf numFmtId="0" fontId="26" fillId="14" borderId="13" xfId="0" applyFont="1" applyFill="1" applyBorder="1" applyAlignment="1">
      <alignment horizontal="centerContinuous" wrapText="1"/>
    </xf>
    <xf numFmtId="0" fontId="26" fillId="14" borderId="74" xfId="0" applyFont="1" applyFill="1" applyBorder="1" applyAlignment="1">
      <alignment horizontal="centerContinuous" wrapText="1"/>
    </xf>
    <xf numFmtId="0" fontId="26" fillId="14" borderId="58" xfId="0" applyFont="1" applyFill="1" applyBorder="1" applyAlignment="1">
      <alignment wrapText="1"/>
    </xf>
    <xf numFmtId="0" fontId="26" fillId="14" borderId="54" xfId="0" applyFont="1" applyFill="1" applyBorder="1" applyAlignment="1">
      <alignment wrapText="1"/>
    </xf>
    <xf numFmtId="0" fontId="26" fillId="14" borderId="53" xfId="0" applyFont="1" applyFill="1" applyBorder="1" applyAlignment="1">
      <alignment wrapText="1"/>
    </xf>
    <xf numFmtId="0" fontId="27" fillId="14" borderId="19" xfId="0" applyFont="1" applyFill="1" applyBorder="1" applyAlignment="1">
      <alignment wrapText="1"/>
    </xf>
    <xf numFmtId="0" fontId="16" fillId="14" borderId="72" xfId="0" applyFont="1" applyFill="1" applyBorder="1" applyAlignment="1">
      <alignment wrapText="1"/>
    </xf>
    <xf numFmtId="0" fontId="15" fillId="14" borderId="63" xfId="0" applyFont="1" applyFill="1" applyBorder="1" applyAlignment="1">
      <alignment wrapText="1"/>
    </xf>
    <xf numFmtId="0" fontId="15" fillId="14" borderId="15" xfId="0" applyFont="1" applyFill="1" applyBorder="1" applyAlignment="1">
      <alignment wrapText="1"/>
    </xf>
    <xf numFmtId="0" fontId="15" fillId="14" borderId="16" xfId="0" applyFont="1" applyFill="1" applyBorder="1" applyAlignment="1">
      <alignment wrapText="1"/>
    </xf>
    <xf numFmtId="0" fontId="0" fillId="9" borderId="19" xfId="0" applyFill="1" applyBorder="1"/>
    <xf numFmtId="0" fontId="0" fillId="0" borderId="62" xfId="0" applyFill="1" applyBorder="1"/>
    <xf numFmtId="0" fontId="0" fillId="9" borderId="64" xfId="0" applyFill="1" applyBorder="1"/>
    <xf numFmtId="0" fontId="15" fillId="14" borderId="21" xfId="0" applyFont="1" applyFill="1" applyBorder="1" applyAlignment="1">
      <alignment wrapText="1"/>
    </xf>
    <xf numFmtId="0" fontId="16" fillId="14" borderId="66" xfId="0" applyFont="1" applyFill="1" applyBorder="1" applyAlignment="1">
      <alignment wrapText="1"/>
    </xf>
    <xf numFmtId="0" fontId="15" fillId="14" borderId="20" xfId="0" applyFont="1" applyFill="1" applyBorder="1" applyAlignment="1">
      <alignment wrapText="1"/>
    </xf>
    <xf numFmtId="0" fontId="15" fillId="14" borderId="24" xfId="0" applyFont="1" applyFill="1" applyBorder="1" applyAlignment="1">
      <alignment wrapText="1"/>
    </xf>
    <xf numFmtId="0" fontId="24" fillId="5" borderId="87" xfId="0" applyFont="1" applyFill="1" applyBorder="1"/>
    <xf numFmtId="0" fontId="0" fillId="9" borderId="75" xfId="0" applyFill="1" applyBorder="1"/>
    <xf numFmtId="0" fontId="24" fillId="0" borderId="89" xfId="0" applyFont="1" applyBorder="1"/>
    <xf numFmtId="0" fontId="13" fillId="9" borderId="91" xfId="0" applyFont="1" applyFill="1" applyBorder="1" applyAlignment="1">
      <alignment horizontal="right"/>
    </xf>
    <xf numFmtId="0" fontId="0" fillId="9" borderId="67" xfId="0" applyFill="1" applyBorder="1"/>
    <xf numFmtId="0" fontId="11" fillId="15" borderId="0" xfId="0" applyFont="1" applyFill="1"/>
    <xf numFmtId="0" fontId="0" fillId="15" borderId="0" xfId="0" applyFill="1"/>
    <xf numFmtId="0" fontId="13" fillId="15" borderId="0" xfId="0" applyFont="1" applyFill="1"/>
    <xf numFmtId="0" fontId="12" fillId="15" borderId="9" xfId="0" applyFont="1" applyFill="1" applyBorder="1" applyAlignment="1">
      <alignment wrapText="1"/>
    </xf>
    <xf numFmtId="0" fontId="12" fillId="15" borderId="15" xfId="0" applyFont="1" applyFill="1" applyBorder="1" applyAlignment="1">
      <alignment horizontal="center" wrapText="1"/>
    </xf>
    <xf numFmtId="0" fontId="15" fillId="15" borderId="11" xfId="0" applyFont="1" applyFill="1" applyBorder="1" applyAlignment="1">
      <alignment wrapText="1"/>
    </xf>
    <xf numFmtId="0" fontId="15" fillId="15" borderId="39" xfId="0" applyFont="1" applyFill="1" applyBorder="1" applyAlignment="1">
      <alignment wrapText="1"/>
    </xf>
    <xf numFmtId="0" fontId="15" fillId="15" borderId="15" xfId="0" applyFont="1" applyFill="1" applyBorder="1" applyAlignment="1">
      <alignment wrapText="1"/>
    </xf>
    <xf numFmtId="0" fontId="15" fillId="15" borderId="13" xfId="0" applyFont="1" applyFill="1" applyBorder="1" applyAlignment="1">
      <alignment wrapText="1"/>
    </xf>
    <xf numFmtId="0" fontId="15" fillId="15" borderId="92" xfId="0" applyFont="1" applyFill="1" applyBorder="1" applyAlignment="1">
      <alignment wrapText="1"/>
    </xf>
    <xf numFmtId="0" fontId="15" fillId="15" borderId="93" xfId="0" applyFont="1" applyFill="1" applyBorder="1" applyAlignment="1">
      <alignment wrapText="1"/>
    </xf>
    <xf numFmtId="0" fontId="15" fillId="15" borderId="16" xfId="0" applyFont="1" applyFill="1" applyBorder="1" applyAlignment="1">
      <alignment wrapText="1"/>
    </xf>
    <xf numFmtId="0" fontId="0" fillId="5" borderId="94" xfId="0" applyFill="1" applyBorder="1"/>
    <xf numFmtId="0" fontId="0" fillId="5" borderId="95" xfId="0" applyFill="1" applyBorder="1"/>
    <xf numFmtId="0" fontId="0" fillId="5" borderId="96" xfId="0" applyFill="1" applyBorder="1"/>
    <xf numFmtId="0" fontId="0" fillId="0" borderId="94" xfId="0" applyBorder="1"/>
    <xf numFmtId="0" fontId="0" fillId="0" borderId="95" xfId="0" applyBorder="1"/>
    <xf numFmtId="0" fontId="0" fillId="0" borderId="96" xfId="0" applyBorder="1"/>
    <xf numFmtId="0" fontId="0" fillId="0" borderId="43" xfId="0" applyBorder="1"/>
    <xf numFmtId="0" fontId="0" fillId="0" borderId="49" xfId="0" applyBorder="1"/>
    <xf numFmtId="0" fontId="0" fillId="0" borderId="97" xfId="0" applyBorder="1"/>
    <xf numFmtId="0" fontId="0" fillId="0" borderId="82" xfId="0" applyBorder="1"/>
    <xf numFmtId="0" fontId="0" fillId="0" borderId="98" xfId="0" applyBorder="1"/>
    <xf numFmtId="0" fontId="0" fillId="0" borderId="99" xfId="0" applyBorder="1"/>
    <xf numFmtId="0" fontId="0" fillId="0" borderId="100" xfId="0" applyBorder="1"/>
    <xf numFmtId="0" fontId="12" fillId="12" borderId="9" xfId="0" applyFont="1" applyFill="1" applyBorder="1" applyAlignment="1">
      <alignment horizontal="left" vertical="center" wrapText="1"/>
    </xf>
    <xf numFmtId="0" fontId="42" fillId="12" borderId="15" xfId="0" applyFont="1" applyFill="1" applyBorder="1" applyAlignment="1">
      <alignment wrapText="1"/>
    </xf>
    <xf numFmtId="0" fontId="15" fillId="12" borderId="11" xfId="0" applyFont="1" applyFill="1" applyBorder="1" applyAlignment="1">
      <alignment wrapText="1"/>
    </xf>
    <xf numFmtId="0" fontId="15" fillId="12" borderId="15" xfId="0" applyFont="1" applyFill="1" applyBorder="1" applyAlignment="1">
      <alignment wrapText="1"/>
    </xf>
    <xf numFmtId="0" fontId="15" fillId="12" borderId="16" xfId="0" applyFont="1" applyFill="1" applyBorder="1" applyAlignment="1">
      <alignment wrapText="1"/>
    </xf>
    <xf numFmtId="0" fontId="24" fillId="0" borderId="24" xfId="0" applyFont="1" applyBorder="1"/>
    <xf numFmtId="0" fontId="0" fillId="0" borderId="28" xfId="0" applyBorder="1"/>
    <xf numFmtId="0" fontId="13" fillId="6" borderId="31" xfId="0" applyFont="1" applyFill="1" applyBorder="1" applyAlignment="1">
      <alignment horizontal="right"/>
    </xf>
    <xf numFmtId="0" fontId="43" fillId="6" borderId="31" xfId="0" applyFont="1" applyFill="1" applyBorder="1" applyAlignment="1">
      <alignment horizontal="right"/>
    </xf>
    <xf numFmtId="0" fontId="26" fillId="12" borderId="50" xfId="0" applyFont="1" applyFill="1" applyBorder="1" applyAlignment="1">
      <alignment horizontal="center" wrapText="1"/>
    </xf>
    <xf numFmtId="0" fontId="30" fillId="0" borderId="19" xfId="0" applyFont="1" applyFill="1" applyBorder="1"/>
    <xf numFmtId="0" fontId="20" fillId="0" borderId="20" xfId="0" applyFont="1" applyFill="1" applyBorder="1"/>
    <xf numFmtId="0" fontId="0" fillId="0" borderId="21" xfId="0" applyFill="1" applyBorder="1"/>
    <xf numFmtId="0" fontId="26" fillId="12" borderId="50" xfId="0" applyFont="1" applyFill="1" applyBorder="1" applyAlignment="1">
      <alignment horizontal="center" wrapText="1"/>
    </xf>
    <xf numFmtId="0" fontId="5" fillId="2" borderId="101" xfId="0" applyFont="1" applyFill="1" applyBorder="1" applyAlignment="1">
      <alignment horizontal="centerContinuous"/>
    </xf>
    <xf numFmtId="0" fontId="0" fillId="2" borderId="102" xfId="0" applyFill="1" applyBorder="1" applyAlignment="1">
      <alignment horizontal="centerContinuous"/>
    </xf>
    <xf numFmtId="3" fontId="0" fillId="0" borderId="23" xfId="0" applyNumberFormat="1" applyBorder="1"/>
    <xf numFmtId="3" fontId="0" fillId="0" borderId="21" xfId="0" applyNumberFormat="1" applyBorder="1"/>
    <xf numFmtId="3" fontId="0" fillId="6" borderId="24" xfId="0" applyNumberFormat="1" applyFill="1" applyBorder="1"/>
    <xf numFmtId="3" fontId="0" fillId="6" borderId="33" xfId="0" applyNumberFormat="1" applyFill="1" applyBorder="1"/>
    <xf numFmtId="3" fontId="0" fillId="6" borderId="31" xfId="0" applyNumberFormat="1" applyFill="1" applyBorder="1"/>
    <xf numFmtId="3" fontId="0" fillId="6" borderId="35" xfId="0" applyNumberFormat="1" applyFill="1" applyBorder="1"/>
    <xf numFmtId="0" fontId="15" fillId="8" borderId="11" xfId="0" applyFont="1" applyFill="1" applyBorder="1" applyAlignment="1">
      <alignment horizontal="center" wrapText="1"/>
    </xf>
    <xf numFmtId="0" fontId="15" fillId="4" borderId="0" xfId="0" applyFont="1" applyFill="1" applyBorder="1" applyAlignment="1">
      <alignment wrapText="1"/>
    </xf>
    <xf numFmtId="3" fontId="0" fillId="0" borderId="20" xfId="0" applyNumberFormat="1" applyBorder="1"/>
    <xf numFmtId="3" fontId="0" fillId="0" borderId="19" xfId="0" applyNumberFormat="1" applyBorder="1"/>
    <xf numFmtId="3" fontId="0" fillId="6" borderId="30" xfId="0" applyNumberFormat="1" applyFill="1" applyBorder="1"/>
    <xf numFmtId="3" fontId="0" fillId="6" borderId="29" xfId="0" applyNumberFormat="1" applyFill="1" applyBorder="1"/>
    <xf numFmtId="3" fontId="0" fillId="0" borderId="24" xfId="0" applyNumberFormat="1" applyBorder="1"/>
    <xf numFmtId="0" fontId="27" fillId="8" borderId="105" xfId="0" applyFont="1" applyFill="1" applyBorder="1" applyAlignment="1">
      <alignment horizontal="centerContinuous" wrapText="1"/>
    </xf>
    <xf numFmtId="0" fontId="26" fillId="8" borderId="106" xfId="0" applyFont="1" applyFill="1" applyBorder="1" applyAlignment="1">
      <alignment horizontal="centerContinuous" wrapText="1"/>
    </xf>
    <xf numFmtId="0" fontId="26" fillId="8" borderId="107" xfId="0" applyFont="1" applyFill="1" applyBorder="1" applyAlignment="1">
      <alignment horizontal="centerContinuous" wrapText="1"/>
    </xf>
    <xf numFmtId="0" fontId="12" fillId="8" borderId="108" xfId="0" applyFont="1" applyFill="1" applyBorder="1"/>
    <xf numFmtId="0" fontId="12" fillId="8" borderId="109" xfId="0" applyFont="1" applyFill="1" applyBorder="1" applyAlignment="1">
      <alignment horizontal="center" wrapText="1"/>
    </xf>
    <xf numFmtId="0" fontId="16" fillId="8" borderId="110" xfId="0" applyFont="1" applyFill="1" applyBorder="1" applyAlignment="1">
      <alignment wrapText="1"/>
    </xf>
    <xf numFmtId="0" fontId="32" fillId="0" borderId="21" xfId="0" applyFont="1" applyBorder="1"/>
    <xf numFmtId="0" fontId="12" fillId="10" borderId="108" xfId="0" applyFont="1" applyFill="1" applyBorder="1" applyAlignment="1">
      <alignment wrapText="1"/>
    </xf>
    <xf numFmtId="0" fontId="34" fillId="10" borderId="109" xfId="0" applyFont="1" applyFill="1" applyBorder="1" applyAlignment="1">
      <alignment horizontal="center" wrapText="1"/>
    </xf>
    <xf numFmtId="0" fontId="16" fillId="10" borderId="110" xfId="0" applyFont="1" applyFill="1" applyBorder="1" applyAlignment="1">
      <alignment wrapText="1"/>
    </xf>
    <xf numFmtId="0" fontId="27" fillId="12" borderId="105" xfId="0" applyFont="1" applyFill="1" applyBorder="1" applyAlignment="1">
      <alignment horizontal="centerContinuous" wrapText="1"/>
    </xf>
    <xf numFmtId="0" fontId="27" fillId="12" borderId="106" xfId="0" applyFont="1" applyFill="1" applyBorder="1" applyAlignment="1">
      <alignment horizontal="centerContinuous" wrapText="1"/>
    </xf>
    <xf numFmtId="0" fontId="27" fillId="12" borderId="107" xfId="0" applyFont="1" applyFill="1" applyBorder="1" applyAlignment="1">
      <alignment horizontal="centerContinuous" wrapText="1"/>
    </xf>
    <xf numFmtId="0" fontId="26" fillId="12" borderId="112" xfId="0" applyFont="1" applyFill="1" applyBorder="1" applyAlignment="1">
      <alignment horizontal="center" wrapText="1"/>
    </xf>
    <xf numFmtId="0" fontId="26" fillId="12" borderId="113" xfId="0" applyFont="1" applyFill="1" applyBorder="1" applyAlignment="1">
      <alignment horizontal="centerContinuous" wrapText="1"/>
    </xf>
    <xf numFmtId="0" fontId="26" fillId="12" borderId="106" xfId="0" applyFont="1" applyFill="1" applyBorder="1" applyAlignment="1">
      <alignment horizontal="centerContinuous" wrapText="1"/>
    </xf>
    <xf numFmtId="0" fontId="26" fillId="12" borderId="110" xfId="0" applyFont="1" applyFill="1" applyBorder="1" applyAlignment="1">
      <alignment horizontal="centerContinuous" wrapText="1"/>
    </xf>
    <xf numFmtId="0" fontId="26" fillId="13" borderId="114" xfId="0" applyFont="1" applyFill="1" applyBorder="1" applyAlignment="1">
      <alignment horizontal="centerContinuous" wrapText="1"/>
    </xf>
    <xf numFmtId="0" fontId="26" fillId="13" borderId="115" xfId="0" applyFont="1" applyFill="1" applyBorder="1" applyAlignment="1">
      <alignment horizontal="centerContinuous" wrapText="1"/>
    </xf>
    <xf numFmtId="0" fontId="26" fillId="13" borderId="116" xfId="0" applyFont="1" applyFill="1" applyBorder="1" applyAlignment="1">
      <alignment horizontal="centerContinuous" wrapText="1"/>
    </xf>
    <xf numFmtId="0" fontId="26" fillId="13" borderId="106" xfId="0" applyFont="1" applyFill="1" applyBorder="1" applyAlignment="1">
      <alignment horizontal="centerContinuous" wrapText="1"/>
    </xf>
    <xf numFmtId="0" fontId="26" fillId="13" borderId="119" xfId="0" applyFont="1" applyFill="1" applyBorder="1" applyAlignment="1">
      <alignment horizontal="centerContinuous" wrapText="1"/>
    </xf>
    <xf numFmtId="0" fontId="26" fillId="13" borderId="107" xfId="0" applyFont="1" applyFill="1" applyBorder="1" applyAlignment="1">
      <alignment horizontal="centerContinuous" wrapText="1"/>
    </xf>
    <xf numFmtId="0" fontId="0" fillId="4" borderId="120" xfId="0" applyFont="1" applyFill="1" applyBorder="1"/>
    <xf numFmtId="0" fontId="40" fillId="13" borderId="121" xfId="0" applyFont="1" applyFill="1" applyBorder="1" applyAlignment="1">
      <alignment horizontal="left" wrapText="1"/>
    </xf>
    <xf numFmtId="0" fontId="31" fillId="13" borderId="122" xfId="0" applyFont="1" applyFill="1" applyBorder="1" applyAlignment="1">
      <alignment horizontal="right"/>
    </xf>
    <xf numFmtId="0" fontId="0" fillId="13" borderId="106" xfId="0" applyFont="1" applyFill="1" applyBorder="1" applyAlignment="1">
      <alignment wrapText="1"/>
    </xf>
    <xf numFmtId="0" fontId="31" fillId="13" borderId="123" xfId="0" applyFont="1" applyFill="1" applyBorder="1" applyAlignment="1">
      <alignment wrapText="1"/>
    </xf>
    <xf numFmtId="0" fontId="26" fillId="14" borderId="113" xfId="0" applyFont="1" applyFill="1" applyBorder="1" applyAlignment="1">
      <alignment horizontal="centerContinuous" wrapText="1"/>
    </xf>
    <xf numFmtId="0" fontId="26" fillId="14" borderId="106" xfId="0" applyFont="1" applyFill="1" applyBorder="1" applyAlignment="1">
      <alignment horizontal="centerContinuous" wrapText="1"/>
    </xf>
    <xf numFmtId="0" fontId="26" fillId="14" borderId="119" xfId="0" applyFont="1" applyFill="1" applyBorder="1" applyAlignment="1">
      <alignment horizontal="centerContinuous" wrapText="1"/>
    </xf>
    <xf numFmtId="0" fontId="26" fillId="14" borderId="110" xfId="0" applyFont="1" applyFill="1" applyBorder="1" applyAlignment="1">
      <alignment wrapText="1"/>
    </xf>
    <xf numFmtId="0" fontId="15" fillId="14" borderId="0" xfId="0" applyFont="1" applyFill="1" applyBorder="1" applyAlignment="1">
      <alignment wrapText="1"/>
    </xf>
    <xf numFmtId="0" fontId="24" fillId="5" borderId="50" xfId="0" applyFont="1" applyFill="1" applyBorder="1"/>
    <xf numFmtId="3" fontId="0" fillId="9" borderId="75" xfId="0" applyNumberFormat="1" applyFill="1" applyBorder="1"/>
    <xf numFmtId="3" fontId="0" fillId="9" borderId="30" xfId="0" applyNumberFormat="1" applyFill="1" applyBorder="1"/>
    <xf numFmtId="3" fontId="0" fillId="9" borderId="31" xfId="0" applyNumberFormat="1" applyFill="1" applyBorder="1"/>
    <xf numFmtId="3" fontId="0" fillId="9" borderId="67" xfId="0" applyNumberFormat="1" applyFill="1" applyBorder="1"/>
    <xf numFmtId="0" fontId="12" fillId="15" borderId="108" xfId="0" applyFont="1" applyFill="1" applyBorder="1" applyAlignment="1">
      <alignment wrapText="1"/>
    </xf>
    <xf numFmtId="0" fontId="15" fillId="15" borderId="125" xfId="0" applyFont="1" applyFill="1" applyBorder="1" applyAlignment="1">
      <alignment wrapText="1"/>
    </xf>
    <xf numFmtId="0" fontId="15" fillId="15" borderId="106" xfId="0" applyFont="1" applyFill="1" applyBorder="1" applyAlignment="1">
      <alignment wrapText="1"/>
    </xf>
    <xf numFmtId="0" fontId="15" fillId="15" borderId="126" xfId="0" applyFont="1" applyFill="1" applyBorder="1" applyAlignment="1">
      <alignment wrapText="1"/>
    </xf>
    <xf numFmtId="0" fontId="15" fillId="15" borderId="127" xfId="0" applyFont="1" applyFill="1" applyBorder="1" applyAlignment="1">
      <alignment wrapText="1"/>
    </xf>
    <xf numFmtId="0" fontId="12" fillId="12" borderId="108" xfId="0" applyFont="1" applyFill="1" applyBorder="1" applyAlignment="1">
      <alignment horizontal="left" vertical="center" wrapText="1"/>
    </xf>
    <xf numFmtId="4" fontId="24" fillId="0" borderId="21" xfId="0" applyNumberFormat="1" applyFont="1" applyBorder="1"/>
    <xf numFmtId="0" fontId="45" fillId="0" borderId="21" xfId="0" applyFont="1" applyBorder="1"/>
    <xf numFmtId="4" fontId="13" fillId="6" borderId="31" xfId="0" applyNumberFormat="1" applyFont="1" applyFill="1" applyBorder="1" applyAlignment="1">
      <alignment horizontal="right"/>
    </xf>
    <xf numFmtId="0" fontId="46" fillId="6" borderId="31" xfId="0" applyFont="1" applyFill="1" applyBorder="1" applyAlignment="1">
      <alignment horizontal="right"/>
    </xf>
    <xf numFmtId="4" fontId="24" fillId="0" borderId="0" xfId="0" applyNumberFormat="1" applyFont="1" applyFill="1" applyBorder="1"/>
    <xf numFmtId="4" fontId="0" fillId="0" borderId="0" xfId="0" applyNumberFormat="1"/>
    <xf numFmtId="0" fontId="2" fillId="0" borderId="0" xfId="0" applyFont="1" applyBorder="1"/>
    <xf numFmtId="0" fontId="5" fillId="2" borderId="128" xfId="0" applyFont="1" applyFill="1" applyBorder="1" applyAlignment="1">
      <alignment horizontal="centerContinuous"/>
    </xf>
    <xf numFmtId="0" fontId="0" fillId="2" borderId="129" xfId="0" applyFill="1" applyBorder="1" applyAlignment="1">
      <alignment horizontal="centerContinuous"/>
    </xf>
    <xf numFmtId="0" fontId="11" fillId="3" borderId="0" xfId="0" applyFont="1" applyFill="1" applyBorder="1"/>
    <xf numFmtId="0" fontId="12" fillId="3" borderId="131" xfId="0" applyFont="1" applyFill="1" applyBorder="1" applyAlignment="1">
      <alignment wrapText="1"/>
    </xf>
    <xf numFmtId="0" fontId="12" fillId="3" borderId="109" xfId="0" applyFont="1" applyFill="1" applyBorder="1" applyAlignment="1">
      <alignment wrapText="1"/>
    </xf>
    <xf numFmtId="0" fontId="0" fillId="0" borderId="0" xfId="0" applyBorder="1" applyAlignment="1">
      <alignment vertical="center" wrapText="1"/>
    </xf>
    <xf numFmtId="0" fontId="11" fillId="8" borderId="0" xfId="0" applyFont="1" applyFill="1" applyBorder="1"/>
    <xf numFmtId="0" fontId="12" fillId="8" borderId="131" xfId="0" applyFont="1" applyFill="1" applyBorder="1"/>
    <xf numFmtId="0" fontId="15" fillId="8" borderId="125" xfId="0" applyFont="1" applyFill="1" applyBorder="1" applyAlignment="1">
      <alignment horizontal="center" wrapText="1"/>
    </xf>
    <xf numFmtId="0" fontId="0" fillId="6" borderId="29" xfId="0" applyFill="1" applyBorder="1"/>
    <xf numFmtId="0" fontId="15" fillId="0" borderId="120" xfId="0" applyFont="1" applyFill="1" applyBorder="1" applyAlignment="1">
      <alignment horizontal="left" vertical="center" wrapText="1"/>
    </xf>
    <xf numFmtId="0" fontId="12" fillId="8" borderId="109" xfId="0" applyFont="1" applyFill="1" applyBorder="1" applyAlignment="1">
      <alignment wrapText="1"/>
    </xf>
    <xf numFmtId="0" fontId="24" fillId="0" borderId="21" xfId="0" applyNumberFormat="1" applyFont="1" applyBorder="1"/>
    <xf numFmtId="0" fontId="11" fillId="10" borderId="0" xfId="0" applyFont="1" applyFill="1" applyBorder="1"/>
    <xf numFmtId="0" fontId="13" fillId="0" borderId="0" xfId="0" applyFont="1" applyBorder="1"/>
    <xf numFmtId="0" fontId="12" fillId="10" borderId="131" xfId="0" applyFont="1" applyFill="1" applyBorder="1" applyAlignment="1">
      <alignment wrapText="1"/>
    </xf>
    <xf numFmtId="0" fontId="11" fillId="11" borderId="0" xfId="0" applyFont="1" applyFill="1" applyBorder="1"/>
    <xf numFmtId="0" fontId="11" fillId="0" borderId="0" xfId="0" applyFont="1" applyFill="1" applyBorder="1"/>
    <xf numFmtId="0" fontId="39" fillId="0" borderId="0" xfId="0" applyFont="1" applyFill="1" applyBorder="1"/>
    <xf numFmtId="0" fontId="11" fillId="13" borderId="0" xfId="0" applyFont="1" applyFill="1" applyBorder="1"/>
    <xf numFmtId="0" fontId="31" fillId="13" borderId="133" xfId="0" applyFont="1" applyFill="1" applyBorder="1" applyAlignment="1">
      <alignment horizontal="right"/>
    </xf>
    <xf numFmtId="0" fontId="11" fillId="14" borderId="0" xfId="0" applyFont="1" applyFill="1" applyBorder="1"/>
    <xf numFmtId="0" fontId="11" fillId="0" borderId="0" xfId="0" applyFont="1" applyBorder="1"/>
    <xf numFmtId="0" fontId="11" fillId="15" borderId="0" xfId="0" applyFont="1" applyFill="1" applyBorder="1"/>
    <xf numFmtId="0" fontId="13" fillId="15" borderId="0" xfId="0" applyFont="1" applyFill="1" applyBorder="1"/>
    <xf numFmtId="0" fontId="12" fillId="15" borderId="131" xfId="0" applyFont="1" applyFill="1" applyBorder="1" applyAlignment="1">
      <alignment wrapText="1"/>
    </xf>
    <xf numFmtId="0" fontId="12" fillId="12" borderId="131" xfId="0" applyFont="1" applyFill="1" applyBorder="1" applyAlignment="1">
      <alignment horizontal="left" vertical="center" wrapText="1"/>
    </xf>
    <xf numFmtId="2" fontId="24" fillId="0" borderId="21" xfId="0" applyNumberFormat="1" applyFont="1" applyBorder="1"/>
    <xf numFmtId="4" fontId="24" fillId="0" borderId="21" xfId="0" applyNumberFormat="1" applyFont="1" applyBorder="1" applyAlignment="1">
      <alignment horizontal="right" vertical="center"/>
    </xf>
    <xf numFmtId="0" fontId="24" fillId="0" borderId="21" xfId="0" applyFont="1" applyBorder="1" applyAlignment="1">
      <alignment horizontal="right" vertical="center"/>
    </xf>
    <xf numFmtId="0" fontId="44" fillId="0" borderId="0" xfId="0" applyFont="1"/>
    <xf numFmtId="0" fontId="5" fillId="2" borderId="134" xfId="0" applyFont="1" applyFill="1" applyBorder="1" applyAlignment="1">
      <alignment horizontal="centerContinuous"/>
    </xf>
    <xf numFmtId="0" fontId="0" fillId="2" borderId="135" xfId="0" applyFill="1" applyBorder="1" applyAlignment="1">
      <alignment horizontal="centerContinuous"/>
    </xf>
    <xf numFmtId="0" fontId="15" fillId="0" borderId="139" xfId="0" applyFont="1" applyFill="1" applyBorder="1" applyAlignment="1">
      <alignment horizontal="left" vertical="center" wrapText="1"/>
    </xf>
    <xf numFmtId="0" fontId="12" fillId="8" borderId="140" xfId="0" applyFont="1" applyFill="1" applyBorder="1" applyAlignment="1">
      <alignment horizontal="center" wrapText="1"/>
    </xf>
    <xf numFmtId="0" fontId="12" fillId="8" borderId="140" xfId="0" applyFont="1" applyFill="1" applyBorder="1" applyAlignment="1">
      <alignment wrapText="1"/>
    </xf>
    <xf numFmtId="0" fontId="26" fillId="8" borderId="137" xfId="0" applyFont="1" applyFill="1" applyBorder="1" applyAlignment="1">
      <alignment horizontal="centerContinuous" wrapText="1"/>
    </xf>
    <xf numFmtId="0" fontId="26" fillId="8" borderId="138" xfId="0" applyFont="1" applyFill="1" applyBorder="1" applyAlignment="1">
      <alignment horizontal="centerContinuous" wrapText="1"/>
    </xf>
    <xf numFmtId="0" fontId="12" fillId="8" borderId="143" xfId="0" applyFont="1" applyFill="1" applyBorder="1"/>
    <xf numFmtId="0" fontId="12" fillId="10" borderId="143" xfId="0" applyFont="1" applyFill="1" applyBorder="1" applyAlignment="1">
      <alignment wrapText="1"/>
    </xf>
    <xf numFmtId="0" fontId="34" fillId="10" borderId="140" xfId="0" applyFont="1" applyFill="1" applyBorder="1" applyAlignment="1">
      <alignment horizontal="center" wrapText="1"/>
    </xf>
    <xf numFmtId="0" fontId="27" fillId="12" borderId="137" xfId="0" applyFont="1" applyFill="1" applyBorder="1" applyAlignment="1">
      <alignment horizontal="centerContinuous" wrapText="1"/>
    </xf>
    <xf numFmtId="0" fontId="27" fillId="12" borderId="138" xfId="0" applyFont="1" applyFill="1" applyBorder="1" applyAlignment="1">
      <alignment horizontal="centerContinuous" wrapText="1"/>
    </xf>
    <xf numFmtId="0" fontId="26" fillId="12" borderId="142" xfId="0" applyFont="1" applyFill="1" applyBorder="1" applyAlignment="1">
      <alignment horizontal="center" wrapText="1"/>
    </xf>
    <xf numFmtId="0" fontId="26" fillId="12" borderId="137" xfId="0" applyFont="1" applyFill="1" applyBorder="1" applyAlignment="1">
      <alignment horizontal="centerContinuous" wrapText="1"/>
    </xf>
    <xf numFmtId="0" fontId="26" fillId="13" borderId="144" xfId="0" applyFont="1" applyFill="1" applyBorder="1" applyAlignment="1">
      <alignment horizontal="centerContinuous" wrapText="1"/>
    </xf>
    <xf numFmtId="0" fontId="26" fillId="13" borderId="145" xfId="0" applyFont="1" applyFill="1" applyBorder="1" applyAlignment="1">
      <alignment horizontal="centerContinuous" wrapText="1"/>
    </xf>
    <xf numFmtId="0" fontId="26" fillId="13" borderId="146" xfId="0" applyFont="1" applyFill="1" applyBorder="1" applyAlignment="1">
      <alignment horizontal="centerContinuous" wrapText="1"/>
    </xf>
    <xf numFmtId="0" fontId="26" fillId="13" borderId="137" xfId="0" applyFont="1" applyFill="1" applyBorder="1" applyAlignment="1">
      <alignment horizontal="centerContinuous" wrapText="1"/>
    </xf>
    <xf numFmtId="0" fontId="26" fillId="13" borderId="149" xfId="0" applyFont="1" applyFill="1" applyBorder="1" applyAlignment="1">
      <alignment horizontal="centerContinuous" wrapText="1"/>
    </xf>
    <xf numFmtId="0" fontId="26" fillId="13" borderId="138" xfId="0" applyFont="1" applyFill="1" applyBorder="1" applyAlignment="1">
      <alignment horizontal="centerContinuous" wrapText="1"/>
    </xf>
    <xf numFmtId="0" fontId="0" fillId="4" borderId="139" xfId="0" applyFont="1" applyFill="1" applyBorder="1"/>
    <xf numFmtId="0" fontId="0" fillId="13" borderId="137" xfId="0" applyFont="1" applyFill="1" applyBorder="1" applyAlignment="1">
      <alignment wrapText="1"/>
    </xf>
    <xf numFmtId="0" fontId="26" fillId="14" borderId="137" xfId="0" applyFont="1" applyFill="1" applyBorder="1" applyAlignment="1">
      <alignment horizontal="centerContinuous" wrapText="1"/>
    </xf>
    <xf numFmtId="0" fontId="26" fillId="14" borderId="149" xfId="0" applyFont="1" applyFill="1" applyBorder="1" applyAlignment="1">
      <alignment horizontal="centerContinuous" wrapText="1"/>
    </xf>
    <xf numFmtId="0" fontId="12" fillId="15" borderId="143" xfId="0" applyFont="1" applyFill="1" applyBorder="1" applyAlignment="1">
      <alignment wrapText="1"/>
    </xf>
    <xf numFmtId="0" fontId="15" fillId="15" borderId="137" xfId="0" applyFont="1" applyFill="1" applyBorder="1" applyAlignment="1">
      <alignment wrapText="1"/>
    </xf>
    <xf numFmtId="0" fontId="12" fillId="12" borderId="143" xfId="0" applyFont="1" applyFill="1" applyBorder="1" applyAlignment="1">
      <alignment horizontal="left" vertical="center" wrapText="1"/>
    </xf>
    <xf numFmtId="0" fontId="48" fillId="0" borderId="21" xfId="0" applyFont="1" applyBorder="1"/>
    <xf numFmtId="0" fontId="26" fillId="0" borderId="27" xfId="0" applyFont="1" applyBorder="1" applyAlignment="1"/>
    <xf numFmtId="0" fontId="26" fillId="12" borderId="50" xfId="0" applyFont="1" applyFill="1" applyBorder="1" applyAlignment="1">
      <alignment horizontal="center" wrapText="1"/>
    </xf>
    <xf numFmtId="0" fontId="0" fillId="0" borderId="25" xfId="0" applyBorder="1"/>
    <xf numFmtId="0" fontId="0" fillId="0" borderId="28" xfId="0" applyBorder="1"/>
    <xf numFmtId="0" fontId="0" fillId="0" borderId="43" xfId="0" applyBorder="1"/>
    <xf numFmtId="0" fontId="5" fillId="2" borderId="150" xfId="0" applyFont="1" applyFill="1" applyBorder="1" applyAlignment="1">
      <alignment horizontal="centerContinuous"/>
    </xf>
    <xf numFmtId="0" fontId="0" fillId="2" borderId="151" xfId="0" applyFill="1" applyBorder="1" applyAlignment="1">
      <alignment horizontal="centerContinuous"/>
    </xf>
    <xf numFmtId="0" fontId="12" fillId="3" borderId="153" xfId="0" applyFont="1" applyFill="1" applyBorder="1" applyAlignment="1">
      <alignment wrapText="1"/>
    </xf>
    <xf numFmtId="0" fontId="12" fillId="3" borderId="154" xfId="0" applyFont="1" applyFill="1" applyBorder="1" applyAlignment="1">
      <alignment wrapText="1"/>
    </xf>
    <xf numFmtId="0" fontId="12" fillId="8" borderId="153" xfId="0" applyFont="1" applyFill="1" applyBorder="1"/>
    <xf numFmtId="0" fontId="12" fillId="8" borderId="154" xfId="0" applyFont="1" applyFill="1" applyBorder="1" applyAlignment="1">
      <alignment horizontal="center" wrapText="1"/>
    </xf>
    <xf numFmtId="0" fontId="0" fillId="4" borderId="19" xfId="0" applyFill="1" applyBorder="1"/>
    <xf numFmtId="0" fontId="15" fillId="0" borderId="157" xfId="0" applyFont="1" applyFill="1" applyBorder="1" applyAlignment="1">
      <alignment horizontal="left" vertical="center" wrapText="1"/>
    </xf>
    <xf numFmtId="0" fontId="12" fillId="8" borderId="154" xfId="0" applyFont="1" applyFill="1" applyBorder="1" applyAlignment="1">
      <alignment wrapText="1"/>
    </xf>
    <xf numFmtId="0" fontId="27" fillId="8" borderId="161" xfId="0" applyFont="1" applyFill="1" applyBorder="1" applyAlignment="1">
      <alignment horizontal="centerContinuous" wrapText="1"/>
    </xf>
    <xf numFmtId="0" fontId="26" fillId="8" borderId="162" xfId="0" applyFont="1" applyFill="1" applyBorder="1" applyAlignment="1">
      <alignment horizontal="centerContinuous" wrapText="1"/>
    </xf>
    <xf numFmtId="0" fontId="26" fillId="8" borderId="163" xfId="0" applyFont="1" applyFill="1" applyBorder="1" applyAlignment="1">
      <alignment horizontal="centerContinuous" wrapText="1"/>
    </xf>
    <xf numFmtId="0" fontId="12" fillId="8" borderId="164" xfId="0" applyFont="1" applyFill="1" applyBorder="1"/>
    <xf numFmtId="0" fontId="12" fillId="8" borderId="165" xfId="0" applyFont="1" applyFill="1" applyBorder="1" applyAlignment="1">
      <alignment horizontal="center" wrapText="1"/>
    </xf>
    <xf numFmtId="0" fontId="16" fillId="8" borderId="166" xfId="0" applyFont="1" applyFill="1" applyBorder="1" applyAlignment="1">
      <alignment wrapText="1"/>
    </xf>
    <xf numFmtId="0" fontId="12" fillId="10" borderId="164" xfId="0" applyFont="1" applyFill="1" applyBorder="1" applyAlignment="1">
      <alignment wrapText="1"/>
    </xf>
    <xf numFmtId="0" fontId="34" fillId="10" borderId="165" xfId="0" applyFont="1" applyFill="1" applyBorder="1" applyAlignment="1">
      <alignment horizontal="center" wrapText="1"/>
    </xf>
    <xf numFmtId="0" fontId="16" fillId="10" borderId="166" xfId="0" applyFont="1" applyFill="1" applyBorder="1" applyAlignment="1">
      <alignment wrapText="1"/>
    </xf>
    <xf numFmtId="0" fontId="27" fillId="12" borderId="161" xfId="0" applyFont="1" applyFill="1" applyBorder="1" applyAlignment="1">
      <alignment horizontal="centerContinuous" wrapText="1"/>
    </xf>
    <xf numFmtId="0" fontId="27" fillId="12" borderId="162" xfId="0" applyFont="1" applyFill="1" applyBorder="1" applyAlignment="1">
      <alignment horizontal="centerContinuous" wrapText="1"/>
    </xf>
    <xf numFmtId="0" fontId="27" fillId="12" borderId="163" xfId="0" applyFont="1" applyFill="1" applyBorder="1" applyAlignment="1">
      <alignment horizontal="centerContinuous" wrapText="1"/>
    </xf>
    <xf numFmtId="0" fontId="26" fillId="12" borderId="168" xfId="0" applyFont="1" applyFill="1" applyBorder="1" applyAlignment="1">
      <alignment horizontal="center" wrapText="1"/>
    </xf>
    <xf numFmtId="0" fontId="26" fillId="12" borderId="169" xfId="0" applyFont="1" applyFill="1" applyBorder="1" applyAlignment="1">
      <alignment horizontal="centerContinuous" wrapText="1"/>
    </xf>
    <xf numFmtId="0" fontId="26" fillId="12" borderId="162" xfId="0" applyFont="1" applyFill="1" applyBorder="1" applyAlignment="1">
      <alignment horizontal="centerContinuous" wrapText="1"/>
    </xf>
    <xf numFmtId="0" fontId="26" fillId="12" borderId="166" xfId="0" applyFont="1" applyFill="1" applyBorder="1" applyAlignment="1">
      <alignment horizontal="centerContinuous" wrapText="1"/>
    </xf>
    <xf numFmtId="0" fontId="26" fillId="13" borderId="170" xfId="0" applyFont="1" applyFill="1" applyBorder="1" applyAlignment="1">
      <alignment horizontal="centerContinuous" wrapText="1"/>
    </xf>
    <xf numFmtId="0" fontId="26" fillId="13" borderId="171" xfId="0" applyFont="1" applyFill="1" applyBorder="1" applyAlignment="1">
      <alignment horizontal="centerContinuous" wrapText="1"/>
    </xf>
    <xf numFmtId="0" fontId="26" fillId="13" borderId="172" xfId="0" applyFont="1" applyFill="1" applyBorder="1" applyAlignment="1">
      <alignment horizontal="centerContinuous" wrapText="1"/>
    </xf>
    <xf numFmtId="0" fontId="26" fillId="13" borderId="162" xfId="0" applyFont="1" applyFill="1" applyBorder="1" applyAlignment="1">
      <alignment horizontal="centerContinuous" wrapText="1"/>
    </xf>
    <xf numFmtId="0" fontId="26" fillId="13" borderId="175" xfId="0" applyFont="1" applyFill="1" applyBorder="1" applyAlignment="1">
      <alignment horizontal="centerContinuous" wrapText="1"/>
    </xf>
    <xf numFmtId="0" fontId="26" fillId="13" borderId="163" xfId="0" applyFont="1" applyFill="1" applyBorder="1" applyAlignment="1">
      <alignment horizontal="centerContinuous" wrapText="1"/>
    </xf>
    <xf numFmtId="0" fontId="0" fillId="4" borderId="176" xfId="0" applyFont="1" applyFill="1" applyBorder="1"/>
    <xf numFmtId="0" fontId="40" fillId="13" borderId="177" xfId="0" applyFont="1" applyFill="1" applyBorder="1" applyAlignment="1">
      <alignment horizontal="left" wrapText="1"/>
    </xf>
    <xf numFmtId="0" fontId="31" fillId="13" borderId="178" xfId="0" applyFont="1" applyFill="1" applyBorder="1" applyAlignment="1">
      <alignment horizontal="right"/>
    </xf>
    <xf numFmtId="0" fontId="0" fillId="13" borderId="162" xfId="0" applyFont="1" applyFill="1" applyBorder="1" applyAlignment="1">
      <alignment wrapText="1"/>
    </xf>
    <xf numFmtId="0" fontId="31" fillId="13" borderId="179" xfId="0" applyFont="1" applyFill="1" applyBorder="1" applyAlignment="1">
      <alignment wrapText="1"/>
    </xf>
    <xf numFmtId="0" fontId="26" fillId="14" borderId="169" xfId="0" applyFont="1" applyFill="1" applyBorder="1" applyAlignment="1">
      <alignment horizontal="centerContinuous" wrapText="1"/>
    </xf>
    <xf numFmtId="0" fontId="26" fillId="14" borderId="162" xfId="0" applyFont="1" applyFill="1" applyBorder="1" applyAlignment="1">
      <alignment horizontal="centerContinuous" wrapText="1"/>
    </xf>
    <xf numFmtId="0" fontId="26" fillId="14" borderId="175" xfId="0" applyFont="1" applyFill="1" applyBorder="1" applyAlignment="1">
      <alignment horizontal="centerContinuous" wrapText="1"/>
    </xf>
    <xf numFmtId="0" fontId="26" fillId="14" borderId="166" xfId="0" applyFont="1" applyFill="1" applyBorder="1" applyAlignment="1">
      <alignment wrapText="1"/>
    </xf>
    <xf numFmtId="0" fontId="12" fillId="15" borderId="164" xfId="0" applyFont="1" applyFill="1" applyBorder="1" applyAlignment="1">
      <alignment wrapText="1"/>
    </xf>
    <xf numFmtId="0" fontId="15" fillId="15" borderId="181" xfId="0" applyFont="1" applyFill="1" applyBorder="1" applyAlignment="1">
      <alignment wrapText="1"/>
    </xf>
    <xf numFmtId="0" fontId="15" fillId="15" borderId="162" xfId="0" applyFont="1" applyFill="1" applyBorder="1" applyAlignment="1">
      <alignment wrapText="1"/>
    </xf>
    <xf numFmtId="0" fontId="15" fillId="15" borderId="182" xfId="0" applyFont="1" applyFill="1" applyBorder="1" applyAlignment="1">
      <alignment wrapText="1"/>
    </xf>
    <xf numFmtId="0" fontId="15" fillId="15" borderId="183" xfId="0" applyFont="1" applyFill="1" applyBorder="1" applyAlignment="1">
      <alignment wrapText="1"/>
    </xf>
    <xf numFmtId="0" fontId="12" fillId="12" borderId="164" xfId="0" applyFont="1" applyFill="1" applyBorder="1" applyAlignment="1">
      <alignment horizontal="left" vertical="center" wrapText="1"/>
    </xf>
    <xf numFmtId="0" fontId="14" fillId="0" borderId="21" xfId="0" applyFont="1" applyBorder="1"/>
    <xf numFmtId="0" fontId="0" fillId="0" borderId="0" xfId="0" applyAlignment="1">
      <alignment horizontal="center"/>
    </xf>
    <xf numFmtId="0" fontId="5" fillId="2" borderId="184" xfId="0" applyFont="1" applyFill="1" applyBorder="1" applyAlignment="1">
      <alignment horizontal="centerContinuous"/>
    </xf>
    <xf numFmtId="0" fontId="0" fillId="2" borderId="185" xfId="0" applyFill="1" applyBorder="1" applyAlignment="1">
      <alignment horizontal="centerContinuous"/>
    </xf>
    <xf numFmtId="0" fontId="12" fillId="3" borderId="164" xfId="0" applyFont="1" applyFill="1" applyBorder="1" applyAlignment="1">
      <alignment wrapText="1"/>
    </xf>
    <xf numFmtId="0" fontId="12" fillId="3" borderId="165" xfId="0" applyFont="1" applyFill="1" applyBorder="1" applyAlignment="1">
      <alignment wrapText="1"/>
    </xf>
    <xf numFmtId="0" fontId="13" fillId="3" borderId="180" xfId="0" applyFont="1" applyFill="1" applyBorder="1" applyAlignment="1">
      <alignment horizontal="centerContinuous" wrapText="1"/>
    </xf>
    <xf numFmtId="4" fontId="0" fillId="5" borderId="20" xfId="0" applyNumberFormat="1" applyFill="1" applyBorder="1"/>
    <xf numFmtId="4" fontId="0" fillId="5" borderId="21" xfId="0" applyNumberFormat="1" applyFill="1" applyBorder="1"/>
    <xf numFmtId="1" fontId="0" fillId="6" borderId="22" xfId="0" applyNumberFormat="1" applyFill="1" applyBorder="1"/>
    <xf numFmtId="4" fontId="0" fillId="5" borderId="23" xfId="0" applyNumberFormat="1" applyFill="1" applyBorder="1"/>
    <xf numFmtId="4" fontId="0" fillId="5" borderId="24" xfId="0" applyNumberFormat="1" applyFill="1" applyBorder="1"/>
    <xf numFmtId="0" fontId="0" fillId="0" borderId="20" xfId="0" applyNumberFormat="1" applyFill="1" applyBorder="1"/>
    <xf numFmtId="0" fontId="0" fillId="0" borderId="21" xfId="0" applyNumberFormat="1" applyFill="1" applyBorder="1"/>
    <xf numFmtId="3" fontId="0" fillId="0" borderId="23" xfId="0" applyNumberFormat="1" applyFill="1" applyBorder="1"/>
    <xf numFmtId="3" fontId="0" fillId="0" borderId="21" xfId="0" applyNumberFormat="1" applyFill="1" applyBorder="1"/>
    <xf numFmtId="3" fontId="0" fillId="0" borderId="24" xfId="0" applyNumberFormat="1" applyFill="1" applyBorder="1"/>
    <xf numFmtId="1" fontId="0" fillId="0" borderId="20" xfId="0" applyNumberFormat="1" applyBorder="1"/>
    <xf numFmtId="1" fontId="0" fillId="0" borderId="21" xfId="0" applyNumberFormat="1" applyBorder="1"/>
    <xf numFmtId="3" fontId="0" fillId="2" borderId="24" xfId="0" applyNumberFormat="1" applyFill="1" applyBorder="1"/>
    <xf numFmtId="1" fontId="0" fillId="6" borderId="30" xfId="0" applyNumberFormat="1" applyFill="1" applyBorder="1"/>
    <xf numFmtId="1" fontId="0" fillId="6" borderId="31" xfId="0" applyNumberFormat="1" applyFill="1" applyBorder="1"/>
    <xf numFmtId="1" fontId="0" fillId="6" borderId="32" xfId="0" applyNumberFormat="1" applyFill="1" applyBorder="1"/>
    <xf numFmtId="3" fontId="0" fillId="6" borderId="34" xfId="0" applyNumberFormat="1" applyFill="1" applyBorder="1"/>
    <xf numFmtId="0" fontId="22" fillId="0" borderId="0" xfId="0" applyFont="1" applyFill="1" applyBorder="1"/>
    <xf numFmtId="0" fontId="22" fillId="0" borderId="0" xfId="0" applyFont="1" applyBorder="1"/>
    <xf numFmtId="0" fontId="15" fillId="8" borderId="181" xfId="0" applyFont="1" applyFill="1" applyBorder="1" applyAlignment="1">
      <alignment horizontal="center" wrapText="1"/>
    </xf>
    <xf numFmtId="3" fontId="0" fillId="4" borderId="20" xfId="0" applyNumberFormat="1" applyFill="1" applyBorder="1"/>
    <xf numFmtId="3" fontId="0" fillId="4" borderId="19" xfId="0" applyNumberFormat="1" applyFill="1" applyBorder="1"/>
    <xf numFmtId="0" fontId="15" fillId="0" borderId="176" xfId="0" applyFont="1" applyFill="1" applyBorder="1" applyAlignment="1">
      <alignment horizontal="left" vertical="center" wrapText="1"/>
    </xf>
    <xf numFmtId="0" fontId="12" fillId="8" borderId="180" xfId="0" applyFont="1" applyFill="1" applyBorder="1"/>
    <xf numFmtId="0" fontId="12" fillId="8" borderId="165" xfId="0" applyFont="1" applyFill="1" applyBorder="1" applyAlignment="1">
      <alignment wrapText="1"/>
    </xf>
    <xf numFmtId="1" fontId="0" fillId="0" borderId="24" xfId="0" applyNumberFormat="1" applyBorder="1"/>
    <xf numFmtId="1" fontId="0" fillId="9" borderId="30" xfId="0" applyNumberFormat="1" applyFill="1" applyBorder="1"/>
    <xf numFmtId="1" fontId="0" fillId="9" borderId="31" xfId="0" applyNumberFormat="1" applyFill="1" applyBorder="1"/>
    <xf numFmtId="1" fontId="0" fillId="9" borderId="35" xfId="0" applyNumberFormat="1" applyFill="1" applyBorder="1"/>
    <xf numFmtId="0" fontId="0" fillId="0" borderId="24" xfId="0" applyFont="1" applyFill="1" applyBorder="1"/>
    <xf numFmtId="0" fontId="0" fillId="0" borderId="20" xfId="0" applyFill="1" applyBorder="1"/>
    <xf numFmtId="0" fontId="26" fillId="0" borderId="25" xfId="0" applyFont="1" applyBorder="1" applyAlignment="1">
      <alignment vertical="center" wrapText="1"/>
    </xf>
    <xf numFmtId="0" fontId="16" fillId="0" borderId="42" xfId="0" applyFont="1" applyBorder="1" applyAlignment="1">
      <alignment vertical="center" wrapText="1"/>
    </xf>
    <xf numFmtId="0" fontId="16" fillId="0" borderId="25" xfId="0" applyFont="1" applyBorder="1" applyAlignment="1">
      <alignment vertical="center" wrapText="1"/>
    </xf>
    <xf numFmtId="0" fontId="16" fillId="0" borderId="27" xfId="0" applyFont="1" applyBorder="1" applyAlignment="1">
      <alignment vertical="center" wrapText="1"/>
    </xf>
    <xf numFmtId="4" fontId="24" fillId="0" borderId="21" xfId="0" applyNumberFormat="1" applyFont="1" applyBorder="1" applyAlignment="1">
      <alignment vertical="center"/>
    </xf>
    <xf numFmtId="4" fontId="24" fillId="4" borderId="21" xfId="0" applyNumberFormat="1" applyFont="1" applyFill="1" applyBorder="1" applyAlignment="1">
      <alignment vertical="center"/>
    </xf>
    <xf numFmtId="4" fontId="24" fillId="0" borderId="21" xfId="0" applyNumberFormat="1" applyFont="1" applyBorder="1" applyAlignment="1"/>
    <xf numFmtId="4" fontId="13" fillId="6" borderId="31" xfId="0" applyNumberFormat="1" applyFont="1" applyFill="1" applyBorder="1" applyAlignment="1">
      <alignment horizontal="right" vertical="center"/>
    </xf>
    <xf numFmtId="0" fontId="26" fillId="12" borderId="50" xfId="0" applyFont="1" applyFill="1" applyBorder="1" applyAlignment="1">
      <alignment horizontal="center" wrapText="1"/>
    </xf>
    <xf numFmtId="0" fontId="0" fillId="0" borderId="25" xfId="0" applyBorder="1"/>
    <xf numFmtId="0" fontId="0" fillId="0" borderId="28" xfId="0" applyBorder="1"/>
    <xf numFmtId="0" fontId="0" fillId="0" borderId="43" xfId="0" applyBorder="1"/>
    <xf numFmtId="0" fontId="12" fillId="3" borderId="187" xfId="0" applyFont="1" applyFill="1" applyBorder="1" applyAlignment="1">
      <alignment wrapText="1"/>
    </xf>
    <xf numFmtId="0" fontId="12" fillId="3" borderId="188" xfId="0" applyFont="1" applyFill="1" applyBorder="1" applyAlignment="1">
      <alignment wrapText="1"/>
    </xf>
    <xf numFmtId="0" fontId="22" fillId="0" borderId="23" xfId="0" applyFont="1" applyBorder="1"/>
    <xf numFmtId="0" fontId="21" fillId="0" borderId="21" xfId="0" applyFont="1" applyBorder="1"/>
    <xf numFmtId="0" fontId="21" fillId="2" borderId="24" xfId="0" applyFont="1" applyFill="1" applyBorder="1"/>
    <xf numFmtId="0" fontId="21" fillId="0" borderId="23" xfId="0" applyFont="1" applyBorder="1"/>
    <xf numFmtId="0" fontId="12" fillId="8" borderId="187" xfId="0" applyFont="1" applyFill="1" applyBorder="1"/>
    <xf numFmtId="0" fontId="12" fillId="8" borderId="188" xfId="0" applyFont="1" applyFill="1" applyBorder="1" applyAlignment="1">
      <alignment horizontal="center" wrapText="1"/>
    </xf>
    <xf numFmtId="0" fontId="21" fillId="0" borderId="20" xfId="0" applyFont="1" applyBorder="1"/>
    <xf numFmtId="0" fontId="21" fillId="0" borderId="19" xfId="0" applyFont="1" applyBorder="1"/>
    <xf numFmtId="0" fontId="12" fillId="8" borderId="188" xfId="0" applyFont="1" applyFill="1" applyBorder="1" applyAlignment="1">
      <alignment wrapText="1"/>
    </xf>
    <xf numFmtId="0" fontId="22" fillId="4" borderId="57" xfId="0" applyFont="1" applyFill="1" applyBorder="1"/>
    <xf numFmtId="0" fontId="32" fillId="0" borderId="21" xfId="0" applyFont="1" applyBorder="1" applyAlignment="1">
      <alignment wrapText="1"/>
    </xf>
    <xf numFmtId="0" fontId="12" fillId="10" borderId="187" xfId="0" applyFont="1" applyFill="1" applyBorder="1" applyAlignment="1">
      <alignment wrapText="1"/>
    </xf>
    <xf numFmtId="0" fontId="34" fillId="10" borderId="188" xfId="0" applyFont="1" applyFill="1" applyBorder="1" applyAlignment="1">
      <alignment horizontal="center" wrapText="1"/>
    </xf>
    <xf numFmtId="0" fontId="21" fillId="0" borderId="62" xfId="0" applyFont="1" applyBorder="1"/>
    <xf numFmtId="0" fontId="22" fillId="0" borderId="21" xfId="0" applyFont="1" applyBorder="1"/>
    <xf numFmtId="0" fontId="21" fillId="0" borderId="57" xfId="0" applyFont="1" applyBorder="1"/>
    <xf numFmtId="0" fontId="26" fillId="12" borderId="190" xfId="0" applyFont="1" applyFill="1" applyBorder="1" applyAlignment="1">
      <alignment horizontal="center" wrapText="1"/>
    </xf>
    <xf numFmtId="0" fontId="21" fillId="4" borderId="19" xfId="0" applyFont="1" applyFill="1" applyBorder="1"/>
    <xf numFmtId="0" fontId="26" fillId="13" borderId="191" xfId="0" applyFont="1" applyFill="1" applyBorder="1" applyAlignment="1">
      <alignment horizontal="centerContinuous" wrapText="1"/>
    </xf>
    <xf numFmtId="0" fontId="26" fillId="13" borderId="192" xfId="0" applyFont="1" applyFill="1" applyBorder="1" applyAlignment="1">
      <alignment horizontal="centerContinuous" wrapText="1"/>
    </xf>
    <xf numFmtId="0" fontId="26" fillId="13" borderId="193" xfId="0" applyFont="1" applyFill="1" applyBorder="1" applyAlignment="1">
      <alignment horizontal="centerContinuous" wrapText="1"/>
    </xf>
    <xf numFmtId="0" fontId="31" fillId="13" borderId="196" xfId="0" applyFont="1" applyFill="1" applyBorder="1" applyAlignment="1">
      <alignment horizontal="right"/>
    </xf>
    <xf numFmtId="0" fontId="21" fillId="0" borderId="62" xfId="0" applyFont="1" applyFill="1" applyBorder="1"/>
    <xf numFmtId="0" fontId="22" fillId="0" borderId="24" xfId="0" applyFont="1" applyBorder="1"/>
    <xf numFmtId="0" fontId="12" fillId="15" borderId="187" xfId="0" applyFont="1" applyFill="1" applyBorder="1" applyAlignment="1">
      <alignment wrapText="1"/>
    </xf>
    <xf numFmtId="0" fontId="12" fillId="12" borderId="187" xfId="0" applyFont="1" applyFill="1" applyBorder="1" applyAlignment="1">
      <alignment horizontal="left" vertical="center" wrapText="1"/>
    </xf>
    <xf numFmtId="4" fontId="32" fillId="0" borderId="21" xfId="0" applyNumberFormat="1" applyFont="1" applyBorder="1"/>
    <xf numFmtId="4" fontId="21" fillId="0" borderId="0" xfId="0" applyNumberFormat="1" applyFont="1"/>
    <xf numFmtId="4" fontId="32" fillId="4" borderId="21" xfId="0" applyNumberFormat="1" applyFont="1" applyFill="1" applyBorder="1"/>
    <xf numFmtId="4" fontId="24" fillId="0" borderId="18" xfId="0" applyNumberFormat="1" applyFont="1" applyFill="1" applyBorder="1"/>
    <xf numFmtId="0" fontId="26" fillId="12" borderId="50" xfId="0" applyFont="1" applyFill="1" applyBorder="1" applyAlignment="1">
      <alignment horizontal="center" wrapText="1"/>
    </xf>
    <xf numFmtId="0" fontId="0" fillId="0" borderId="25" xfId="0" applyBorder="1"/>
    <xf numFmtId="0" fontId="0" fillId="0" borderId="28" xfId="0" applyBorder="1"/>
    <xf numFmtId="0" fontId="0" fillId="0" borderId="43" xfId="0" applyBorder="1"/>
    <xf numFmtId="0" fontId="26" fillId="12" borderId="190" xfId="0" applyFont="1" applyFill="1" applyBorder="1" applyAlignment="1">
      <alignment horizontal="center" wrapText="1"/>
    </xf>
    <xf numFmtId="0" fontId="26" fillId="12" borderId="50" xfId="0" applyFont="1" applyFill="1" applyBorder="1" applyAlignment="1">
      <alignment horizontal="center" wrapText="1"/>
    </xf>
    <xf numFmtId="0" fontId="0" fillId="0" borderId="25" xfId="0" applyBorder="1"/>
    <xf numFmtId="0" fontId="0" fillId="0" borderId="28" xfId="0" applyBorder="1"/>
    <xf numFmtId="0" fontId="0" fillId="0" borderId="43" xfId="0" applyBorder="1"/>
    <xf numFmtId="0" fontId="26" fillId="12" borderId="190" xfId="0" applyFont="1" applyFill="1" applyBorder="1" applyAlignment="1">
      <alignment horizontal="center" wrapText="1"/>
    </xf>
    <xf numFmtId="0" fontId="0" fillId="0" borderId="57" xfId="0" applyFill="1" applyBorder="1"/>
    <xf numFmtId="0" fontId="31" fillId="0" borderId="29" xfId="0" applyFont="1" applyFill="1" applyBorder="1" applyAlignment="1">
      <alignment horizontal="right"/>
    </xf>
    <xf numFmtId="0" fontId="0" fillId="0" borderId="30" xfId="0" applyFill="1" applyBorder="1"/>
    <xf numFmtId="0" fontId="31" fillId="13" borderId="197" xfId="0" applyFont="1" applyFill="1" applyBorder="1" applyAlignment="1">
      <alignment horizontal="right"/>
    </xf>
    <xf numFmtId="0" fontId="0" fillId="0" borderId="24" xfId="0" applyFill="1" applyBorder="1"/>
    <xf numFmtId="4" fontId="14" fillId="0" borderId="21" xfId="0" applyNumberFormat="1" applyFont="1" applyFill="1" applyBorder="1"/>
    <xf numFmtId="4" fontId="24" fillId="0" borderId="21" xfId="0" applyNumberFormat="1" applyFont="1" applyFill="1" applyBorder="1"/>
    <xf numFmtId="0" fontId="58" fillId="0" borderId="0" xfId="0" applyFont="1"/>
    <xf numFmtId="0" fontId="60" fillId="2" borderId="184" xfId="0" applyFont="1" applyFill="1" applyBorder="1" applyAlignment="1">
      <alignment horizontal="centerContinuous"/>
    </xf>
    <xf numFmtId="0" fontId="59" fillId="2" borderId="185" xfId="0" applyFont="1" applyFill="1" applyBorder="1" applyAlignment="1">
      <alignment horizontal="centerContinuous"/>
    </xf>
    <xf numFmtId="0" fontId="58" fillId="0" borderId="0" xfId="0" applyFont="1" applyBorder="1"/>
    <xf numFmtId="0" fontId="58" fillId="3" borderId="0" xfId="0" applyFont="1" applyFill="1"/>
    <xf numFmtId="0" fontId="59" fillId="3" borderId="0" xfId="0" applyFont="1" applyFill="1"/>
    <xf numFmtId="0" fontId="59" fillId="0" borderId="0" xfId="0" applyFont="1"/>
    <xf numFmtId="0" fontId="59" fillId="0" borderId="0" xfId="0" applyFont="1" applyBorder="1"/>
    <xf numFmtId="0" fontId="58" fillId="3" borderId="187" xfId="0" applyFont="1" applyFill="1" applyBorder="1" applyAlignment="1">
      <alignment wrapText="1"/>
    </xf>
    <xf numFmtId="0" fontId="58" fillId="3" borderId="188" xfId="0" applyFont="1" applyFill="1" applyBorder="1" applyAlignment="1">
      <alignment wrapText="1"/>
    </xf>
    <xf numFmtId="0" fontId="58" fillId="3" borderId="11" xfId="0" applyFont="1" applyFill="1" applyBorder="1" applyAlignment="1">
      <alignment horizontal="centerContinuous" wrapText="1"/>
    </xf>
    <xf numFmtId="0" fontId="58" fillId="3" borderId="14" xfId="0" applyFont="1" applyFill="1" applyBorder="1" applyAlignment="1">
      <alignment horizontal="centerContinuous" wrapText="1"/>
    </xf>
    <xf numFmtId="0" fontId="58" fillId="3" borderId="15" xfId="0" applyFont="1" applyFill="1" applyBorder="1" applyAlignment="1">
      <alignment horizontal="center" vertical="center"/>
    </xf>
    <xf numFmtId="0" fontId="59" fillId="3" borderId="15" xfId="0" applyFont="1" applyFill="1" applyBorder="1" applyAlignment="1">
      <alignment horizontal="centerContinuous" wrapText="1"/>
    </xf>
    <xf numFmtId="0" fontId="58" fillId="3" borderId="16" xfId="0" applyFont="1" applyFill="1" applyBorder="1" applyAlignment="1">
      <alignment horizontal="centerContinuous" wrapText="1"/>
    </xf>
    <xf numFmtId="0" fontId="58" fillId="0" borderId="0" xfId="0" applyFont="1" applyFill="1" applyBorder="1" applyAlignment="1">
      <alignment horizontal="centerContinuous" wrapText="1"/>
    </xf>
    <xf numFmtId="0" fontId="59" fillId="0" borderId="0" xfId="0" applyFont="1" applyFill="1" applyBorder="1" applyAlignment="1">
      <alignment horizontal="centerContinuous" wrapText="1"/>
    </xf>
    <xf numFmtId="0" fontId="59" fillId="0" borderId="0" xfId="0" applyFont="1" applyBorder="1" applyAlignment="1">
      <alignment wrapText="1"/>
    </xf>
    <xf numFmtId="0" fontId="58" fillId="3" borderId="17" xfId="0" applyFont="1" applyFill="1" applyBorder="1" applyAlignment="1">
      <alignment wrapText="1"/>
    </xf>
    <xf numFmtId="0" fontId="58" fillId="3" borderId="18" xfId="0" applyFont="1" applyFill="1" applyBorder="1" applyAlignment="1">
      <alignment horizontal="center" wrapText="1"/>
    </xf>
    <xf numFmtId="0" fontId="61" fillId="3" borderId="19" xfId="0" applyFont="1" applyFill="1" applyBorder="1" applyAlignment="1">
      <alignment wrapText="1"/>
    </xf>
    <xf numFmtId="0" fontId="61" fillId="3" borderId="20" xfId="0" applyFont="1" applyFill="1" applyBorder="1" applyAlignment="1">
      <alignment horizontal="center" wrapText="1"/>
    </xf>
    <xf numFmtId="0" fontId="61" fillId="3" borderId="21" xfId="0" applyFont="1" applyFill="1" applyBorder="1" applyAlignment="1">
      <alignment horizontal="center" wrapText="1"/>
    </xf>
    <xf numFmtId="0" fontId="58" fillId="3" borderId="22" xfId="0" applyFont="1" applyFill="1" applyBorder="1" applyAlignment="1">
      <alignment horizontal="center" wrapText="1"/>
    </xf>
    <xf numFmtId="0" fontId="62" fillId="3" borderId="23" xfId="0" applyFont="1" applyFill="1" applyBorder="1" applyAlignment="1">
      <alignment wrapText="1"/>
    </xf>
    <xf numFmtId="0" fontId="61" fillId="3" borderId="21" xfId="0" applyFont="1" applyFill="1" applyBorder="1" applyAlignment="1">
      <alignment wrapText="1"/>
    </xf>
    <xf numFmtId="0" fontId="62" fillId="3" borderId="21" xfId="0" applyFont="1" applyFill="1" applyBorder="1" applyAlignment="1">
      <alignment wrapText="1"/>
    </xf>
    <xf numFmtId="0" fontId="61" fillId="3" borderId="24" xfId="0" applyFont="1" applyFill="1" applyBorder="1" applyAlignment="1">
      <alignment wrapText="1"/>
    </xf>
    <xf numFmtId="0" fontId="61" fillId="0" borderId="0" xfId="0" applyFont="1" applyFill="1" applyBorder="1" applyAlignment="1">
      <alignment wrapText="1"/>
    </xf>
    <xf numFmtId="0" fontId="59" fillId="0" borderId="0" xfId="0" applyFont="1" applyAlignment="1">
      <alignment wrapText="1"/>
    </xf>
    <xf numFmtId="0" fontId="59" fillId="5" borderId="19" xfId="0" applyFont="1" applyFill="1" applyBorder="1"/>
    <xf numFmtId="0" fontId="59" fillId="5" borderId="20" xfId="0" applyFont="1" applyFill="1" applyBorder="1"/>
    <xf numFmtId="0" fontId="59" fillId="5" borderId="21" xfId="0" applyFont="1" applyFill="1" applyBorder="1"/>
    <xf numFmtId="0" fontId="59" fillId="6" borderId="22" xfId="0" applyFont="1" applyFill="1" applyBorder="1"/>
    <xf numFmtId="0" fontId="59" fillId="5" borderId="23" xfId="0" applyFont="1" applyFill="1" applyBorder="1"/>
    <xf numFmtId="0" fontId="59" fillId="5" borderId="24" xfId="0" applyFont="1" applyFill="1" applyBorder="1"/>
    <xf numFmtId="0" fontId="59" fillId="0" borderId="0" xfId="0" applyFont="1" applyFill="1" applyBorder="1"/>
    <xf numFmtId="0" fontId="59" fillId="0" borderId="19" xfId="0" applyFont="1" applyBorder="1"/>
    <xf numFmtId="0" fontId="59" fillId="0" borderId="20" xfId="0" applyFont="1" applyBorder="1"/>
    <xf numFmtId="0" fontId="59" fillId="0" borderId="21" xfId="0" applyFont="1" applyBorder="1"/>
    <xf numFmtId="0" fontId="59" fillId="0" borderId="23" xfId="0" applyFont="1" applyBorder="1"/>
    <xf numFmtId="0" fontId="59" fillId="2" borderId="24" xfId="0" applyFont="1" applyFill="1" applyBorder="1"/>
    <xf numFmtId="0" fontId="59" fillId="0" borderId="19" xfId="0" applyFont="1" applyFill="1" applyBorder="1"/>
    <xf numFmtId="0" fontId="58" fillId="6" borderId="29" xfId="0" applyFont="1" applyFill="1" applyBorder="1" applyAlignment="1">
      <alignment horizontal="right"/>
    </xf>
    <xf numFmtId="0" fontId="59" fillId="6" borderId="30" xfId="0" applyFont="1" applyFill="1" applyBorder="1"/>
    <xf numFmtId="0" fontId="59" fillId="6" borderId="31" xfId="0" applyFont="1" applyFill="1" applyBorder="1"/>
    <xf numFmtId="0" fontId="59" fillId="6" borderId="32" xfId="0" applyFont="1" applyFill="1" applyBorder="1"/>
    <xf numFmtId="0" fontId="59" fillId="6" borderId="33" xfId="0" applyFont="1" applyFill="1" applyBorder="1"/>
    <xf numFmtId="0" fontId="59" fillId="6" borderId="34" xfId="0" applyFont="1" applyFill="1" applyBorder="1"/>
    <xf numFmtId="0" fontId="59" fillId="6" borderId="35" xfId="0" applyFont="1" applyFill="1" applyBorder="1"/>
    <xf numFmtId="0" fontId="58" fillId="0" borderId="0" xfId="0" applyFont="1" applyAlignment="1">
      <alignment horizontal="right"/>
    </xf>
    <xf numFmtId="0" fontId="58" fillId="3" borderId="36" xfId="0" applyFont="1" applyFill="1" applyBorder="1" applyAlignment="1">
      <alignment horizontal="centerContinuous" wrapText="1"/>
    </xf>
    <xf numFmtId="0" fontId="58" fillId="3" borderId="25" xfId="0" applyFont="1" applyFill="1" applyBorder="1" applyAlignment="1">
      <alignment wrapText="1"/>
    </xf>
    <xf numFmtId="0" fontId="61" fillId="3" borderId="22" xfId="0" applyFont="1" applyFill="1" applyBorder="1" applyAlignment="1">
      <alignment wrapText="1"/>
    </xf>
    <xf numFmtId="0" fontId="61" fillId="3" borderId="23" xfId="0" applyFont="1" applyFill="1" applyBorder="1" applyAlignment="1">
      <alignment horizontal="center" wrapText="1"/>
    </xf>
    <xf numFmtId="0" fontId="58" fillId="3" borderId="24" xfId="0" applyFont="1" applyFill="1" applyBorder="1" applyAlignment="1">
      <alignment horizontal="center" wrapText="1"/>
    </xf>
    <xf numFmtId="0" fontId="59" fillId="5" borderId="22" xfId="0" applyFont="1" applyFill="1" applyBorder="1"/>
    <xf numFmtId="0" fontId="59" fillId="6" borderId="24" xfId="0" applyFont="1" applyFill="1" applyBorder="1"/>
    <xf numFmtId="0" fontId="59" fillId="0" borderId="22" xfId="0" applyFont="1" applyBorder="1"/>
    <xf numFmtId="0" fontId="59" fillId="0" borderId="22" xfId="0" applyFont="1" applyFill="1" applyBorder="1"/>
    <xf numFmtId="0" fontId="58" fillId="6" borderId="32" xfId="0" applyFont="1" applyFill="1" applyBorder="1" applyAlignment="1">
      <alignment horizontal="right"/>
    </xf>
    <xf numFmtId="0" fontId="59" fillId="0" borderId="0" xfId="0" applyFont="1" applyAlignment="1">
      <alignment vertical="center" wrapText="1"/>
    </xf>
    <xf numFmtId="0" fontId="58" fillId="8" borderId="0" xfId="0" applyFont="1" applyFill="1"/>
    <xf numFmtId="0" fontId="59" fillId="8" borderId="0" xfId="0" applyFont="1" applyFill="1"/>
    <xf numFmtId="0" fontId="59" fillId="0" borderId="0" xfId="0" applyFont="1" applyFill="1"/>
    <xf numFmtId="0" fontId="58" fillId="8" borderId="187" xfId="0" applyFont="1" applyFill="1" applyBorder="1"/>
    <xf numFmtId="0" fontId="58" fillId="8" borderId="188" xfId="0" applyFont="1" applyFill="1" applyBorder="1" applyAlignment="1">
      <alignment horizontal="center" wrapText="1"/>
    </xf>
    <xf numFmtId="0" fontId="61" fillId="8" borderId="11" xfId="0" applyFont="1" applyFill="1" applyBorder="1"/>
    <xf numFmtId="0" fontId="61" fillId="8" borderId="181" xfId="0" applyFont="1" applyFill="1" applyBorder="1" applyAlignment="1">
      <alignment horizontal="center" wrapText="1"/>
    </xf>
    <xf numFmtId="0" fontId="61" fillId="8" borderId="11" xfId="0" applyFont="1" applyFill="1" applyBorder="1" applyAlignment="1">
      <alignment horizontal="center" wrapText="1"/>
    </xf>
    <xf numFmtId="0" fontId="61" fillId="4" borderId="0" xfId="0" applyFont="1" applyFill="1" applyBorder="1" applyAlignment="1">
      <alignment wrapText="1"/>
    </xf>
    <xf numFmtId="0" fontId="61" fillId="5" borderId="19" xfId="0" applyFont="1" applyFill="1" applyBorder="1"/>
    <xf numFmtId="0" fontId="61" fillId="0" borderId="19" xfId="0" applyFont="1" applyBorder="1"/>
    <xf numFmtId="0" fontId="59" fillId="0" borderId="19" xfId="0" applyFont="1" applyBorder="1" applyAlignment="1">
      <alignment horizontal="right"/>
    </xf>
    <xf numFmtId="0" fontId="64" fillId="0" borderId="0" xfId="0" applyFont="1"/>
    <xf numFmtId="0" fontId="59" fillId="0" borderId="89" xfId="0" applyFont="1" applyBorder="1" applyAlignment="1">
      <alignment vertical="center"/>
    </xf>
    <xf numFmtId="0" fontId="59" fillId="6" borderId="29" xfId="0" applyFont="1" applyFill="1" applyBorder="1"/>
    <xf numFmtId="0" fontId="59" fillId="4" borderId="0" xfId="0" applyFont="1" applyFill="1" applyBorder="1"/>
    <xf numFmtId="0" fontId="61" fillId="0" borderId="176" xfId="0" applyFont="1" applyFill="1" applyBorder="1" applyAlignment="1">
      <alignment horizontal="left" vertical="center" wrapText="1"/>
    </xf>
    <xf numFmtId="0" fontId="61" fillId="0" borderId="0" xfId="0" applyFont="1" applyFill="1" applyBorder="1" applyAlignment="1">
      <alignment horizontal="center" vertical="center" wrapText="1"/>
    </xf>
    <xf numFmtId="0" fontId="58" fillId="0" borderId="0" xfId="0" applyFont="1" applyFill="1" applyBorder="1" applyAlignment="1">
      <alignment horizontal="right"/>
    </xf>
    <xf numFmtId="0" fontId="58" fillId="8" borderId="14" xfId="0" applyFont="1" applyFill="1" applyBorder="1"/>
    <xf numFmtId="0" fontId="61" fillId="8" borderId="11" xfId="0" applyFont="1" applyFill="1" applyBorder="1" applyAlignment="1">
      <alignment horizontal="left"/>
    </xf>
    <xf numFmtId="0" fontId="61" fillId="8" borderId="15" xfId="0" applyFont="1" applyFill="1" applyBorder="1" applyAlignment="1">
      <alignment horizontal="center" wrapText="1"/>
    </xf>
    <xf numFmtId="0" fontId="61" fillId="8" borderId="16" xfId="0" applyFont="1" applyFill="1" applyBorder="1" applyAlignment="1">
      <alignment horizontal="center" wrapText="1"/>
    </xf>
    <xf numFmtId="0" fontId="59" fillId="0" borderId="24" xfId="0" applyFont="1" applyBorder="1"/>
    <xf numFmtId="0" fontId="59" fillId="0" borderId="21" xfId="0" applyFont="1" applyFill="1" applyBorder="1"/>
    <xf numFmtId="0" fontId="59" fillId="0" borderId="44" xfId="0" applyFont="1" applyBorder="1"/>
    <xf numFmtId="0" fontId="58" fillId="8" borderId="188" xfId="0" applyFont="1" applyFill="1" applyBorder="1" applyAlignment="1">
      <alignment wrapText="1"/>
    </xf>
    <xf numFmtId="0" fontId="65" fillId="8" borderId="48" xfId="0" applyFont="1" applyFill="1" applyBorder="1" applyAlignment="1">
      <alignment horizontal="centerContinuous" wrapText="1"/>
    </xf>
    <xf numFmtId="0" fontId="59" fillId="8" borderId="162" xfId="0" applyFont="1" applyFill="1" applyBorder="1" applyAlignment="1">
      <alignment horizontal="centerContinuous" wrapText="1"/>
    </xf>
    <xf numFmtId="0" fontId="59" fillId="8" borderId="163" xfId="0" applyFont="1" applyFill="1" applyBorder="1" applyAlignment="1">
      <alignment horizontal="centerContinuous" wrapText="1"/>
    </xf>
    <xf numFmtId="0" fontId="58" fillId="8" borderId="49" xfId="0" applyFont="1" applyFill="1" applyBorder="1" applyAlignment="1">
      <alignment horizontal="center" wrapText="1"/>
    </xf>
    <xf numFmtId="0" fontId="66" fillId="8" borderId="52" xfId="0" applyFont="1" applyFill="1" applyBorder="1" applyAlignment="1">
      <alignment wrapText="1"/>
    </xf>
    <xf numFmtId="0" fontId="59" fillId="8" borderId="53" xfId="0" applyFont="1" applyFill="1" applyBorder="1" applyAlignment="1">
      <alignment wrapText="1"/>
    </xf>
    <xf numFmtId="0" fontId="59" fillId="8" borderId="54" xfId="0" applyFont="1" applyFill="1" applyBorder="1" applyAlignment="1">
      <alignment wrapText="1"/>
    </xf>
    <xf numFmtId="0" fontId="66" fillId="8" borderId="54" xfId="0" applyFont="1" applyFill="1" applyBorder="1" applyAlignment="1">
      <alignment wrapText="1"/>
    </xf>
    <xf numFmtId="0" fontId="59" fillId="8" borderId="55" xfId="0" applyFont="1" applyFill="1" applyBorder="1" applyAlignment="1">
      <alignment wrapText="1"/>
    </xf>
    <xf numFmtId="0" fontId="59" fillId="0" borderId="56" xfId="0" applyFont="1" applyBorder="1"/>
    <xf numFmtId="0" fontId="67" fillId="5" borderId="19" xfId="0" applyFont="1" applyFill="1" applyBorder="1"/>
    <xf numFmtId="0" fontId="67" fillId="5" borderId="21" xfId="0" applyFont="1" applyFill="1" applyBorder="1"/>
    <xf numFmtId="0" fontId="59" fillId="5" borderId="52" xfId="0" applyFont="1" applyFill="1" applyBorder="1"/>
    <xf numFmtId="0" fontId="59" fillId="5" borderId="53" xfId="0" applyFont="1" applyFill="1" applyBorder="1"/>
    <xf numFmtId="0" fontId="67" fillId="0" borderId="19" xfId="0" applyFont="1" applyBorder="1"/>
    <xf numFmtId="0" fontId="67" fillId="0" borderId="21" xfId="0" applyFont="1" applyBorder="1"/>
    <xf numFmtId="0" fontId="59" fillId="0" borderId="57" xfId="0" applyFont="1" applyBorder="1"/>
    <xf numFmtId="0" fontId="65" fillId="9" borderId="29" xfId="0" applyFont="1" applyFill="1" applyBorder="1" applyAlignment="1">
      <alignment horizontal="right"/>
    </xf>
    <xf numFmtId="0" fontId="59" fillId="9" borderId="31" xfId="0" applyFont="1" applyFill="1" applyBorder="1" applyAlignment="1">
      <alignment horizontal="right"/>
    </xf>
    <xf numFmtId="0" fontId="59" fillId="9" borderId="34" xfId="0" applyFont="1" applyFill="1" applyBorder="1"/>
    <xf numFmtId="0" fontId="59" fillId="9" borderId="31" xfId="0" applyFont="1" applyFill="1" applyBorder="1"/>
    <xf numFmtId="0" fontId="59" fillId="9" borderId="35" xfId="0" applyFont="1" applyFill="1" applyBorder="1"/>
    <xf numFmtId="0" fontId="59" fillId="0" borderId="0" xfId="0" applyFont="1" applyBorder="1" applyAlignment="1"/>
    <xf numFmtId="0" fontId="61" fillId="0" borderId="0" xfId="0" applyFont="1" applyBorder="1" applyAlignment="1">
      <alignment horizontal="center" vertical="center" wrapText="1"/>
    </xf>
    <xf numFmtId="0" fontId="58" fillId="4" borderId="0" xfId="0" applyFont="1" applyFill="1" applyBorder="1" applyAlignment="1">
      <alignment horizontal="right" wrapText="1"/>
    </xf>
    <xf numFmtId="0" fontId="59" fillId="4" borderId="0" xfId="0" applyFont="1" applyFill="1" applyBorder="1" applyAlignment="1">
      <alignment horizontal="right" wrapText="1"/>
    </xf>
    <xf numFmtId="0" fontId="59" fillId="4" borderId="0" xfId="0" applyFont="1" applyFill="1" applyBorder="1" applyAlignment="1">
      <alignment wrapText="1"/>
    </xf>
    <xf numFmtId="0" fontId="61" fillId="8" borderId="15" xfId="0" applyFont="1" applyFill="1" applyBorder="1" applyAlignment="1">
      <alignment wrapText="1"/>
    </xf>
    <xf numFmtId="0" fontId="61" fillId="8" borderId="11" xfId="0" applyFont="1" applyFill="1" applyBorder="1" applyAlignment="1">
      <alignment wrapText="1"/>
    </xf>
    <xf numFmtId="0" fontId="58" fillId="8" borderId="166" xfId="0" applyFont="1" applyFill="1" applyBorder="1" applyAlignment="1">
      <alignment wrapText="1"/>
    </xf>
    <xf numFmtId="0" fontId="66" fillId="8" borderId="59" xfId="0" applyFont="1" applyFill="1" applyBorder="1" applyAlignment="1">
      <alignment wrapText="1"/>
    </xf>
    <xf numFmtId="0" fontId="59" fillId="8" borderId="15" xfId="0" applyFont="1" applyFill="1" applyBorder="1" applyAlignment="1">
      <alignment wrapText="1"/>
    </xf>
    <xf numFmtId="0" fontId="59" fillId="8" borderId="60" xfId="0" applyFont="1" applyFill="1" applyBorder="1" applyAlignment="1">
      <alignment wrapText="1"/>
    </xf>
    <xf numFmtId="0" fontId="66" fillId="8" borderId="60" xfId="0" applyFont="1" applyFill="1" applyBorder="1" applyAlignment="1">
      <alignment wrapText="1"/>
    </xf>
    <xf numFmtId="0" fontId="59" fillId="8" borderId="61" xfId="0" applyFont="1" applyFill="1" applyBorder="1" applyAlignment="1">
      <alignment wrapText="1"/>
    </xf>
    <xf numFmtId="0" fontId="61" fillId="5" borderId="21" xfId="0" applyFont="1" applyFill="1" applyBorder="1"/>
    <xf numFmtId="0" fontId="59" fillId="9" borderId="62" xfId="0" applyFont="1" applyFill="1" applyBorder="1"/>
    <xf numFmtId="0" fontId="59" fillId="5" borderId="54" xfId="0" applyFont="1" applyFill="1" applyBorder="1"/>
    <xf numFmtId="0" fontId="59" fillId="5" borderId="55" xfId="0" applyFont="1" applyFill="1" applyBorder="1"/>
    <xf numFmtId="0" fontId="61" fillId="0" borderId="21" xfId="0" applyFont="1" applyBorder="1"/>
    <xf numFmtId="0" fontId="64" fillId="0" borderId="21" xfId="0" applyFont="1" applyBorder="1"/>
    <xf numFmtId="0" fontId="64" fillId="0" borderId="20" xfId="0" applyFont="1" applyBorder="1"/>
    <xf numFmtId="0" fontId="58" fillId="9" borderId="29" xfId="0" applyFont="1" applyFill="1" applyBorder="1" applyAlignment="1">
      <alignment horizontal="right"/>
    </xf>
    <xf numFmtId="0" fontId="58" fillId="9" borderId="32" xfId="0" applyFont="1" applyFill="1" applyBorder="1" applyAlignment="1">
      <alignment horizontal="right"/>
    </xf>
    <xf numFmtId="0" fontId="58" fillId="9" borderId="34" xfId="0" applyFont="1" applyFill="1" applyBorder="1" applyAlignment="1">
      <alignment horizontal="right"/>
    </xf>
    <xf numFmtId="0" fontId="59" fillId="9" borderId="30" xfId="0" applyFont="1" applyFill="1" applyBorder="1"/>
    <xf numFmtId="0" fontId="64" fillId="0" borderId="0" xfId="0" applyFont="1" applyBorder="1" applyAlignment="1"/>
    <xf numFmtId="0" fontId="58" fillId="4" borderId="0" xfId="0" applyFont="1" applyFill="1" applyBorder="1" applyAlignment="1">
      <alignment horizontal="right"/>
    </xf>
    <xf numFmtId="0" fontId="58" fillId="4" borderId="0" xfId="0" applyFont="1" applyFill="1" applyBorder="1"/>
    <xf numFmtId="0" fontId="58" fillId="10" borderId="0" xfId="0" applyFont="1" applyFill="1"/>
    <xf numFmtId="0" fontId="61" fillId="10" borderId="0" xfId="0" applyFont="1" applyFill="1"/>
    <xf numFmtId="0" fontId="61" fillId="0" borderId="0" xfId="0" applyFont="1" applyFill="1"/>
    <xf numFmtId="0" fontId="58" fillId="10" borderId="187" xfId="0" applyFont="1" applyFill="1" applyBorder="1" applyAlignment="1">
      <alignment wrapText="1"/>
    </xf>
    <xf numFmtId="0" fontId="58" fillId="10" borderId="188" xfId="0" applyFont="1" applyFill="1" applyBorder="1" applyAlignment="1">
      <alignment horizontal="center" wrapText="1"/>
    </xf>
    <xf numFmtId="0" fontId="61" fillId="10" borderId="11" xfId="0" applyFont="1" applyFill="1" applyBorder="1" applyAlignment="1">
      <alignment wrapText="1"/>
    </xf>
    <xf numFmtId="0" fontId="58" fillId="10" borderId="166" xfId="0" applyFont="1" applyFill="1" applyBorder="1" applyAlignment="1">
      <alignment wrapText="1"/>
    </xf>
    <xf numFmtId="0" fontId="61" fillId="10" borderId="63" xfId="0" applyFont="1" applyFill="1" applyBorder="1" applyAlignment="1">
      <alignment wrapText="1"/>
    </xf>
    <xf numFmtId="0" fontId="61" fillId="10" borderId="15" xfId="0" applyFont="1" applyFill="1" applyBorder="1" applyAlignment="1">
      <alignment wrapText="1"/>
    </xf>
    <xf numFmtId="0" fontId="61" fillId="10" borderId="16" xfId="0" applyFont="1" applyFill="1" applyBorder="1" applyAlignment="1">
      <alignment wrapText="1"/>
    </xf>
    <xf numFmtId="0" fontId="59" fillId="5" borderId="62" xfId="0" applyFont="1" applyFill="1" applyBorder="1"/>
    <xf numFmtId="0" fontId="59" fillId="5" borderId="57" xfId="0" applyFont="1" applyFill="1" applyBorder="1"/>
    <xf numFmtId="0" fontId="59" fillId="0" borderId="62" xfId="0" applyFont="1" applyBorder="1"/>
    <xf numFmtId="0" fontId="58" fillId="9" borderId="64" xfId="0" applyFont="1" applyFill="1" applyBorder="1"/>
    <xf numFmtId="0" fontId="58" fillId="11" borderId="0" xfId="0" applyFont="1" applyFill="1"/>
    <xf numFmtId="0" fontId="59" fillId="11" borderId="0" xfId="0" applyFont="1" applyFill="1"/>
    <xf numFmtId="0" fontId="59" fillId="4" borderId="0" xfId="0" applyFont="1" applyFill="1"/>
    <xf numFmtId="0" fontId="58" fillId="0" borderId="0" xfId="0" applyFont="1" applyFill="1"/>
    <xf numFmtId="0" fontId="65" fillId="12" borderId="48" xfId="0" applyFont="1" applyFill="1" applyBorder="1" applyAlignment="1">
      <alignment horizontal="centerContinuous" wrapText="1"/>
    </xf>
    <xf numFmtId="0" fontId="65" fillId="12" borderId="162" xfId="0" applyFont="1" applyFill="1" applyBorder="1" applyAlignment="1">
      <alignment horizontal="centerContinuous" wrapText="1"/>
    </xf>
    <xf numFmtId="0" fontId="65" fillId="12" borderId="163" xfId="0" applyFont="1" applyFill="1" applyBorder="1" applyAlignment="1">
      <alignment horizontal="centerContinuous" wrapText="1"/>
    </xf>
    <xf numFmtId="0" fontId="59" fillId="12" borderId="20" xfId="0" applyFont="1" applyFill="1" applyBorder="1" applyAlignment="1">
      <alignment wrapText="1"/>
    </xf>
    <xf numFmtId="0" fontId="59" fillId="12" borderId="21" xfId="0" applyFont="1" applyFill="1" applyBorder="1" applyAlignment="1">
      <alignment wrapText="1"/>
    </xf>
    <xf numFmtId="0" fontId="66" fillId="12" borderId="52" xfId="0" applyFont="1" applyFill="1" applyBorder="1" applyAlignment="1">
      <alignment wrapText="1"/>
    </xf>
    <xf numFmtId="0" fontId="59" fillId="12" borderId="53" xfId="0" applyFont="1" applyFill="1" applyBorder="1" applyAlignment="1">
      <alignment wrapText="1"/>
    </xf>
    <xf numFmtId="0" fontId="59" fillId="12" borderId="54" xfId="0" applyFont="1" applyFill="1" applyBorder="1" applyAlignment="1">
      <alignment wrapText="1"/>
    </xf>
    <xf numFmtId="0" fontId="66" fillId="12" borderId="54" xfId="0" applyFont="1" applyFill="1" applyBorder="1" applyAlignment="1">
      <alignment wrapText="1"/>
    </xf>
    <xf numFmtId="0" fontId="59" fillId="12" borderId="55" xfId="0" applyFont="1" applyFill="1" applyBorder="1" applyAlignment="1">
      <alignment wrapText="1"/>
    </xf>
    <xf numFmtId="0" fontId="59" fillId="0" borderId="0" xfId="0" applyFont="1" applyBorder="1" applyAlignment="1">
      <alignment horizontal="left" vertical="center" wrapText="1"/>
    </xf>
    <xf numFmtId="0" fontId="58" fillId="0" borderId="0" xfId="0" applyFont="1" applyBorder="1" applyAlignment="1">
      <alignment horizontal="right"/>
    </xf>
    <xf numFmtId="0" fontId="65" fillId="0" borderId="0" xfId="0" applyFont="1" applyFill="1"/>
    <xf numFmtId="0" fontId="59" fillId="12" borderId="190" xfId="0" applyFont="1" applyFill="1" applyBorder="1" applyAlignment="1">
      <alignment horizontal="center" wrapText="1"/>
    </xf>
    <xf numFmtId="0" fontId="59" fillId="12" borderId="169" xfId="0" applyFont="1" applyFill="1" applyBorder="1" applyAlignment="1">
      <alignment horizontal="centerContinuous" wrapText="1"/>
    </xf>
    <xf numFmtId="0" fontId="59" fillId="12" borderId="162" xfId="0" applyFont="1" applyFill="1" applyBorder="1" applyAlignment="1">
      <alignment horizontal="centerContinuous" wrapText="1"/>
    </xf>
    <xf numFmtId="0" fontId="59" fillId="12" borderId="166" xfId="0" applyFont="1" applyFill="1" applyBorder="1" applyAlignment="1">
      <alignment horizontal="centerContinuous" wrapText="1"/>
    </xf>
    <xf numFmtId="0" fontId="59" fillId="12" borderId="50" xfId="0" applyFont="1" applyFill="1" applyBorder="1" applyAlignment="1">
      <alignment horizontal="center" wrapText="1"/>
    </xf>
    <xf numFmtId="0" fontId="61" fillId="12" borderId="21" xfId="0" applyFont="1" applyFill="1" applyBorder="1" applyAlignment="1">
      <alignment wrapText="1"/>
    </xf>
    <xf numFmtId="0" fontId="65" fillId="12" borderId="66" xfId="0" applyFont="1" applyFill="1" applyBorder="1" applyAlignment="1">
      <alignment wrapText="1"/>
    </xf>
    <xf numFmtId="0" fontId="59" fillId="9" borderId="66" xfId="0" applyFont="1" applyFill="1" applyBorder="1"/>
    <xf numFmtId="0" fontId="65" fillId="9" borderId="67" xfId="0" applyFont="1" applyFill="1" applyBorder="1"/>
    <xf numFmtId="0" fontId="61" fillId="0" borderId="0" xfId="0" applyFont="1" applyFill="1" applyBorder="1" applyAlignment="1">
      <alignment horizontal="left" vertical="center" wrapText="1"/>
    </xf>
    <xf numFmtId="0" fontId="58" fillId="0" borderId="0" xfId="0" applyFont="1" applyFill="1" applyBorder="1"/>
    <xf numFmtId="0" fontId="58" fillId="13" borderId="0" xfId="0" applyFont="1" applyFill="1"/>
    <xf numFmtId="0" fontId="59" fillId="13" borderId="0" xfId="0" applyFont="1" applyFill="1"/>
    <xf numFmtId="0" fontId="61" fillId="0" borderId="0" xfId="0" applyFont="1" applyBorder="1" applyAlignment="1">
      <alignment horizontal="left"/>
    </xf>
    <xf numFmtId="0" fontId="59" fillId="13" borderId="191" xfId="0" applyFont="1" applyFill="1" applyBorder="1" applyAlignment="1">
      <alignment horizontal="centerContinuous" wrapText="1"/>
    </xf>
    <xf numFmtId="0" fontId="59" fillId="13" borderId="192" xfId="0" applyFont="1" applyFill="1" applyBorder="1" applyAlignment="1">
      <alignment horizontal="centerContinuous" wrapText="1"/>
    </xf>
    <xf numFmtId="0" fontId="59" fillId="13" borderId="193" xfId="0" applyFont="1" applyFill="1" applyBorder="1" applyAlignment="1">
      <alignment horizontal="centerContinuous" wrapText="1"/>
    </xf>
    <xf numFmtId="0" fontId="65" fillId="13" borderId="54" xfId="0" applyFont="1" applyFill="1" applyBorder="1" applyAlignment="1">
      <alignment wrapText="1"/>
    </xf>
    <xf numFmtId="0" fontId="66" fillId="13" borderId="54" xfId="0" applyFont="1" applyFill="1" applyBorder="1" applyAlignment="1">
      <alignment wrapText="1"/>
    </xf>
    <xf numFmtId="0" fontId="65" fillId="13" borderId="53" xfId="0" applyFont="1" applyFill="1" applyBorder="1" applyAlignment="1">
      <alignment wrapText="1"/>
    </xf>
    <xf numFmtId="0" fontId="65" fillId="13" borderId="50" xfId="0" applyFont="1" applyFill="1" applyBorder="1" applyAlignment="1">
      <alignment wrapText="1"/>
    </xf>
    <xf numFmtId="0" fontId="59" fillId="13" borderId="54" xfId="0" applyFont="1" applyFill="1" applyBorder="1" applyAlignment="1">
      <alignment wrapText="1"/>
    </xf>
    <xf numFmtId="0" fontId="59" fillId="13" borderId="50" xfId="0" applyFont="1" applyFill="1" applyBorder="1" applyAlignment="1">
      <alignment wrapText="1"/>
    </xf>
    <xf numFmtId="0" fontId="59" fillId="13" borderId="72" xfId="0" applyFont="1" applyFill="1" applyBorder="1" applyAlignment="1">
      <alignment wrapText="1"/>
    </xf>
    <xf numFmtId="0" fontId="59" fillId="9" borderId="19" xfId="0" applyFont="1" applyFill="1" applyBorder="1"/>
    <xf numFmtId="0" fontId="59" fillId="9" borderId="29" xfId="0" applyFont="1" applyFill="1" applyBorder="1"/>
    <xf numFmtId="0" fontId="59" fillId="9" borderId="64" xfId="0" applyFont="1" applyFill="1" applyBorder="1"/>
    <xf numFmtId="0" fontId="59" fillId="13" borderId="162" xfId="0" applyFont="1" applyFill="1" applyBorder="1" applyAlignment="1">
      <alignment horizontal="centerContinuous" wrapText="1"/>
    </xf>
    <xf numFmtId="0" fontId="59" fillId="13" borderId="175" xfId="0" applyFont="1" applyFill="1" applyBorder="1" applyAlignment="1">
      <alignment horizontal="centerContinuous" wrapText="1"/>
    </xf>
    <xf numFmtId="0" fontId="59" fillId="13" borderId="163" xfId="0" applyFont="1" applyFill="1" applyBorder="1" applyAlignment="1">
      <alignment horizontal="centerContinuous" wrapText="1"/>
    </xf>
    <xf numFmtId="0" fontId="59" fillId="13" borderId="20" xfId="0" applyFont="1" applyFill="1" applyBorder="1" applyAlignment="1">
      <alignment wrapText="1"/>
    </xf>
    <xf numFmtId="0" fontId="59" fillId="13" borderId="21" xfId="0" applyFont="1" applyFill="1" applyBorder="1" applyAlignment="1">
      <alignment wrapText="1"/>
    </xf>
    <xf numFmtId="0" fontId="59" fillId="13" borderId="22" xfId="0" applyFont="1" applyFill="1" applyBorder="1" applyAlignment="1">
      <alignment wrapText="1"/>
    </xf>
    <xf numFmtId="0" fontId="65" fillId="13" borderId="19" xfId="0" applyFont="1" applyFill="1" applyBorder="1" applyAlignment="1">
      <alignment wrapText="1"/>
    </xf>
    <xf numFmtId="0" fontId="59" fillId="13" borderId="24" xfId="0" applyFont="1" applyFill="1" applyBorder="1" applyAlignment="1">
      <alignment wrapText="1"/>
    </xf>
    <xf numFmtId="0" fontId="67" fillId="5" borderId="66" xfId="0" applyFont="1" applyFill="1" applyBorder="1"/>
    <xf numFmtId="0" fontId="67" fillId="0" borderId="66" xfId="0" applyFont="1" applyBorder="1"/>
    <xf numFmtId="0" fontId="65" fillId="9" borderId="67" xfId="0" applyFont="1" applyFill="1" applyBorder="1" applyAlignment="1">
      <alignment horizontal="right"/>
    </xf>
    <xf numFmtId="0" fontId="65" fillId="9" borderId="35" xfId="0" applyFont="1" applyFill="1" applyBorder="1"/>
    <xf numFmtId="0" fontId="59" fillId="0" borderId="0" xfId="0" applyFont="1" applyBorder="1" applyAlignment="1">
      <alignment horizontal="left"/>
    </xf>
    <xf numFmtId="0" fontId="59" fillId="0" borderId="0" xfId="0" applyFont="1" applyBorder="1" applyAlignment="1">
      <alignment horizontal="center" vertical="center" wrapText="1"/>
    </xf>
    <xf numFmtId="0" fontId="65" fillId="4" borderId="56" xfId="0" applyFont="1" applyFill="1" applyBorder="1" applyAlignment="1">
      <alignment horizontal="right"/>
    </xf>
    <xf numFmtId="0" fontId="59" fillId="4" borderId="176" xfId="0" applyFont="1" applyFill="1" applyBorder="1"/>
    <xf numFmtId="0" fontId="65" fillId="4" borderId="0" xfId="0" applyFont="1" applyFill="1" applyBorder="1"/>
    <xf numFmtId="0" fontId="59" fillId="0" borderId="76" xfId="0" applyFont="1" applyBorder="1"/>
    <xf numFmtId="0" fontId="65" fillId="13" borderId="177" xfId="0" applyFont="1" applyFill="1" applyBorder="1" applyAlignment="1">
      <alignment horizontal="left" wrapText="1"/>
    </xf>
    <xf numFmtId="0" fontId="59" fillId="13" borderId="15" xfId="0" applyFont="1" applyFill="1" applyBorder="1" applyAlignment="1">
      <alignment horizontal="center" vertical="center" wrapText="1"/>
    </xf>
    <xf numFmtId="0" fontId="65" fillId="13" borderId="198" xfId="0" applyFont="1" applyFill="1" applyBorder="1" applyAlignment="1">
      <alignment horizontal="right"/>
    </xf>
    <xf numFmtId="0" fontId="59" fillId="13" borderId="15" xfId="0" applyFont="1" applyFill="1" applyBorder="1" applyAlignment="1">
      <alignment wrapText="1"/>
    </xf>
    <xf numFmtId="0" fontId="59" fillId="13" borderId="162" xfId="0" applyFont="1" applyFill="1" applyBorder="1" applyAlignment="1">
      <alignment wrapText="1"/>
    </xf>
    <xf numFmtId="0" fontId="59" fillId="13" borderId="16" xfId="0" applyFont="1" applyFill="1" applyBorder="1" applyAlignment="1">
      <alignment wrapText="1"/>
    </xf>
    <xf numFmtId="0" fontId="65" fillId="13" borderId="78" xfId="0" applyFont="1" applyFill="1" applyBorder="1" applyAlignment="1">
      <alignment wrapText="1"/>
    </xf>
    <xf numFmtId="0" fontId="59" fillId="0" borderId="25" xfId="0" applyFont="1" applyBorder="1"/>
    <xf numFmtId="0" fontId="65" fillId="5" borderId="20" xfId="0" applyFont="1" applyFill="1" applyBorder="1" applyAlignment="1">
      <alignment horizontal="right"/>
    </xf>
    <xf numFmtId="0" fontId="65" fillId="5" borderId="80" xfId="0" applyFont="1" applyFill="1" applyBorder="1"/>
    <xf numFmtId="0" fontId="59" fillId="5" borderId="81" xfId="0" applyFont="1" applyFill="1" applyBorder="1"/>
    <xf numFmtId="0" fontId="65" fillId="4" borderId="20" xfId="0" applyFont="1" applyFill="1" applyBorder="1" applyAlignment="1">
      <alignment horizontal="right"/>
    </xf>
    <xf numFmtId="0" fontId="59" fillId="4" borderId="21" xfId="0" applyFont="1" applyFill="1" applyBorder="1"/>
    <xf numFmtId="0" fontId="59" fillId="4" borderId="24" xfId="0" applyFont="1" applyFill="1" applyBorder="1"/>
    <xf numFmtId="0" fontId="65" fillId="9" borderId="80" xfId="0" applyFont="1" applyFill="1" applyBorder="1"/>
    <xf numFmtId="0" fontId="59" fillId="9" borderId="81" xfId="0" applyFont="1" applyFill="1" applyBorder="1"/>
    <xf numFmtId="0" fontId="65" fillId="4" borderId="82" xfId="0" applyFont="1" applyFill="1" applyBorder="1" applyAlignment="1">
      <alignment horizontal="right"/>
    </xf>
    <xf numFmtId="0" fontId="59" fillId="4" borderId="82" xfId="0" applyFont="1" applyFill="1" applyBorder="1"/>
    <xf numFmtId="0" fontId="65" fillId="9" borderId="84" xfId="0" applyFont="1" applyFill="1" applyBorder="1" applyAlignment="1">
      <alignment horizontal="right"/>
    </xf>
    <xf numFmtId="0" fontId="59" fillId="9" borderId="32" xfId="0" applyFont="1" applyFill="1" applyBorder="1"/>
    <xf numFmtId="0" fontId="59" fillId="9" borderId="85" xfId="0" applyFont="1" applyFill="1" applyBorder="1"/>
    <xf numFmtId="0" fontId="61" fillId="0" borderId="0" xfId="0" applyFont="1" applyFill="1" applyBorder="1" applyAlignment="1">
      <alignment horizontal="left"/>
    </xf>
    <xf numFmtId="0" fontId="58" fillId="14" borderId="0" xfId="0" applyFont="1" applyFill="1"/>
    <xf numFmtId="0" fontId="59" fillId="14" borderId="0" xfId="0" applyFont="1" applyFill="1"/>
    <xf numFmtId="0" fontId="59" fillId="14" borderId="169" xfId="0" applyFont="1" applyFill="1" applyBorder="1" applyAlignment="1">
      <alignment horizontal="centerContinuous" wrapText="1"/>
    </xf>
    <xf numFmtId="0" fontId="59" fillId="14" borderId="162" xfId="0" applyFont="1" applyFill="1" applyBorder="1" applyAlignment="1">
      <alignment horizontal="centerContinuous" wrapText="1"/>
    </xf>
    <xf numFmtId="0" fontId="59" fillId="14" borderId="175" xfId="0" applyFont="1" applyFill="1" applyBorder="1" applyAlignment="1">
      <alignment horizontal="centerContinuous" wrapText="1"/>
    </xf>
    <xf numFmtId="0" fontId="59" fillId="14" borderId="166" xfId="0" applyFont="1" applyFill="1" applyBorder="1" applyAlignment="1">
      <alignment wrapText="1"/>
    </xf>
    <xf numFmtId="0" fontId="59" fillId="14" borderId="54" xfId="0" applyFont="1" applyFill="1" applyBorder="1" applyAlignment="1">
      <alignment wrapText="1"/>
    </xf>
    <xf numFmtId="0" fontId="59" fillId="14" borderId="53" xfId="0" applyFont="1" applyFill="1" applyBorder="1" applyAlignment="1">
      <alignment wrapText="1"/>
    </xf>
    <xf numFmtId="0" fontId="65" fillId="14" borderId="19" xfId="0" applyFont="1" applyFill="1" applyBorder="1" applyAlignment="1">
      <alignment wrapText="1"/>
    </xf>
    <xf numFmtId="0" fontId="58" fillId="14" borderId="72" xfId="0" applyFont="1" applyFill="1" applyBorder="1" applyAlignment="1">
      <alignment wrapText="1"/>
    </xf>
    <xf numFmtId="0" fontId="61" fillId="14" borderId="63" xfId="0" applyFont="1" applyFill="1" applyBorder="1" applyAlignment="1">
      <alignment wrapText="1"/>
    </xf>
    <xf numFmtId="0" fontId="61" fillId="14" borderId="15" xfId="0" applyFont="1" applyFill="1" applyBorder="1" applyAlignment="1">
      <alignment wrapText="1"/>
    </xf>
    <xf numFmtId="0" fontId="61" fillId="14" borderId="16" xfId="0" applyFont="1" applyFill="1" applyBorder="1" applyAlignment="1">
      <alignment wrapText="1"/>
    </xf>
    <xf numFmtId="0" fontId="59" fillId="0" borderId="62" xfId="0" applyFont="1" applyFill="1" applyBorder="1"/>
    <xf numFmtId="0" fontId="61" fillId="14" borderId="21" xfId="0" applyFont="1" applyFill="1" applyBorder="1" applyAlignment="1">
      <alignment wrapText="1"/>
    </xf>
    <xf numFmtId="0" fontId="58" fillId="14" borderId="66" xfId="0" applyFont="1" applyFill="1" applyBorder="1" applyAlignment="1">
      <alignment wrapText="1"/>
    </xf>
    <xf numFmtId="0" fontId="61" fillId="14" borderId="20" xfId="0" applyFont="1" applyFill="1" applyBorder="1" applyAlignment="1">
      <alignment wrapText="1"/>
    </xf>
    <xf numFmtId="0" fontId="61" fillId="14" borderId="24" xfId="0" applyFont="1" applyFill="1" applyBorder="1" applyAlignment="1">
      <alignment wrapText="1"/>
    </xf>
    <xf numFmtId="0" fontId="61" fillId="5" borderId="50" xfId="0" applyFont="1" applyFill="1" applyBorder="1"/>
    <xf numFmtId="0" fontId="59" fillId="9" borderId="75" xfId="0" applyFont="1" applyFill="1" applyBorder="1"/>
    <xf numFmtId="0" fontId="59" fillId="9" borderId="67" xfId="0" applyFont="1" applyFill="1" applyBorder="1"/>
    <xf numFmtId="0" fontId="58" fillId="15" borderId="0" xfId="0" applyFont="1" applyFill="1"/>
    <xf numFmtId="0" fontId="59" fillId="15" borderId="0" xfId="0" applyFont="1" applyFill="1"/>
    <xf numFmtId="0" fontId="58" fillId="15" borderId="187" xfId="0" applyFont="1" applyFill="1" applyBorder="1" applyAlignment="1">
      <alignment wrapText="1"/>
    </xf>
    <xf numFmtId="0" fontId="58" fillId="15" borderId="15" xfId="0" applyFont="1" applyFill="1" applyBorder="1" applyAlignment="1">
      <alignment horizontal="center" wrapText="1"/>
    </xf>
    <xf numFmtId="0" fontId="61" fillId="15" borderId="11" xfId="0" applyFont="1" applyFill="1" applyBorder="1" applyAlignment="1">
      <alignment wrapText="1"/>
    </xf>
    <xf numFmtId="0" fontId="61" fillId="15" borderId="181" xfId="0" applyFont="1" applyFill="1" applyBorder="1" applyAlignment="1">
      <alignment wrapText="1"/>
    </xf>
    <xf numFmtId="0" fontId="61" fillId="15" borderId="15" xfId="0" applyFont="1" applyFill="1" applyBorder="1" applyAlignment="1">
      <alignment wrapText="1"/>
    </xf>
    <xf numFmtId="0" fontId="61" fillId="15" borderId="162" xfId="0" applyFont="1" applyFill="1" applyBorder="1" applyAlignment="1">
      <alignment wrapText="1"/>
    </xf>
    <xf numFmtId="0" fontId="61" fillId="15" borderId="182" xfId="0" applyFont="1" applyFill="1" applyBorder="1" applyAlignment="1">
      <alignment wrapText="1"/>
    </xf>
    <xf numFmtId="0" fontId="61" fillId="15" borderId="183" xfId="0" applyFont="1" applyFill="1" applyBorder="1" applyAlignment="1">
      <alignment wrapText="1"/>
    </xf>
    <xf numFmtId="0" fontId="61" fillId="15" borderId="16" xfId="0" applyFont="1" applyFill="1" applyBorder="1" applyAlignment="1">
      <alignment wrapText="1"/>
    </xf>
    <xf numFmtId="0" fontId="59" fillId="5" borderId="94" xfId="0" applyFont="1" applyFill="1" applyBorder="1"/>
    <xf numFmtId="0" fontId="59" fillId="5" borderId="95" xfId="0" applyFont="1" applyFill="1" applyBorder="1"/>
    <xf numFmtId="0" fontId="59" fillId="5" borderId="96" xfId="0" applyFont="1" applyFill="1" applyBorder="1"/>
    <xf numFmtId="0" fontId="59" fillId="0" borderId="94" xfId="0" applyFont="1" applyBorder="1"/>
    <xf numFmtId="0" fontId="59" fillId="0" borderId="95" xfId="0" applyFont="1" applyBorder="1"/>
    <xf numFmtId="0" fontId="59" fillId="0" borderId="96" xfId="0" applyFont="1" applyBorder="1"/>
    <xf numFmtId="0" fontId="59" fillId="0" borderId="43" xfId="0" applyFont="1" applyBorder="1"/>
    <xf numFmtId="0" fontId="59" fillId="0" borderId="49" xfId="0" applyFont="1" applyBorder="1"/>
    <xf numFmtId="0" fontId="59" fillId="0" borderId="97" xfId="0" applyFont="1" applyBorder="1"/>
    <xf numFmtId="0" fontId="59" fillId="0" borderId="82" xfId="0" applyFont="1" applyBorder="1"/>
    <xf numFmtId="0" fontId="59" fillId="0" borderId="98" xfId="0" applyFont="1" applyBorder="1"/>
    <xf numFmtId="0" fontId="59" fillId="0" borderId="99" xfId="0" applyFont="1" applyBorder="1"/>
    <xf numFmtId="0" fontId="59" fillId="0" borderId="100" xfId="0" applyFont="1" applyBorder="1"/>
    <xf numFmtId="0" fontId="58" fillId="12" borderId="187" xfId="0" applyFont="1" applyFill="1" applyBorder="1" applyAlignment="1">
      <alignment horizontal="left" vertical="center" wrapText="1"/>
    </xf>
    <xf numFmtId="0" fontId="58" fillId="12" borderId="15" xfId="0" applyFont="1" applyFill="1" applyBorder="1" applyAlignment="1">
      <alignment wrapText="1"/>
    </xf>
    <xf numFmtId="0" fontId="61" fillId="12" borderId="11" xfId="0" applyFont="1" applyFill="1" applyBorder="1" applyAlignment="1">
      <alignment wrapText="1"/>
    </xf>
    <xf numFmtId="0" fontId="61" fillId="12" borderId="15" xfId="0" applyFont="1" applyFill="1" applyBorder="1" applyAlignment="1">
      <alignment wrapText="1"/>
    </xf>
    <xf numFmtId="0" fontId="61" fillId="12" borderId="16" xfId="0" applyFont="1" applyFill="1" applyBorder="1" applyAlignment="1">
      <alignment wrapText="1"/>
    </xf>
    <xf numFmtId="2" fontId="61" fillId="0" borderId="21" xfId="0" applyNumberFormat="1" applyFont="1" applyBorder="1"/>
    <xf numFmtId="0" fontId="61" fillId="0" borderId="24" xfId="0" applyFont="1" applyBorder="1"/>
    <xf numFmtId="2" fontId="59" fillId="0" borderId="0" xfId="0" applyNumberFormat="1" applyFont="1"/>
    <xf numFmtId="0" fontId="61" fillId="5" borderId="97" xfId="0" applyFont="1" applyFill="1" applyBorder="1"/>
    <xf numFmtId="0" fontId="61" fillId="0" borderId="49" xfId="0" applyFont="1" applyBorder="1"/>
    <xf numFmtId="0" fontId="61" fillId="0" borderId="199" xfId="0" applyFont="1" applyBorder="1"/>
    <xf numFmtId="0" fontId="59" fillId="0" borderId="28" xfId="0" applyFont="1" applyBorder="1"/>
    <xf numFmtId="2" fontId="58" fillId="6" borderId="31" xfId="0" applyNumberFormat="1" applyFont="1" applyFill="1" applyBorder="1" applyAlignment="1">
      <alignment horizontal="right"/>
    </xf>
    <xf numFmtId="0" fontId="58" fillId="6" borderId="31" xfId="0" applyFont="1" applyFill="1" applyBorder="1" applyAlignment="1">
      <alignment horizontal="right"/>
    </xf>
    <xf numFmtId="0" fontId="0" fillId="6" borderId="22" xfId="0" applyFill="1"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6" borderId="22" xfId="0" applyFill="1" applyBorder="1" applyAlignment="1">
      <alignment horizontal="center" vertical="center"/>
    </xf>
    <xf numFmtId="0" fontId="0" fillId="0" borderId="23" xfId="0" applyBorder="1" applyAlignment="1">
      <alignment horizontal="center" vertical="center"/>
    </xf>
    <xf numFmtId="0" fontId="0" fillId="2" borderId="24" xfId="0" applyFill="1" applyBorder="1" applyAlignment="1">
      <alignment horizontal="center" vertical="center"/>
    </xf>
    <xf numFmtId="0" fontId="13" fillId="6" borderId="29" xfId="0" applyFont="1" applyFill="1" applyBorder="1" applyAlignment="1">
      <alignment horizontal="right" vertical="center"/>
    </xf>
    <xf numFmtId="0" fontId="44" fillId="6" borderId="30" xfId="0" applyFont="1" applyFill="1" applyBorder="1" applyAlignment="1">
      <alignment horizontal="center" vertical="center"/>
    </xf>
    <xf numFmtId="0" fontId="44" fillId="6" borderId="31" xfId="0" applyFont="1" applyFill="1" applyBorder="1" applyAlignment="1">
      <alignment horizontal="center" vertical="center"/>
    </xf>
    <xf numFmtId="0" fontId="44" fillId="6" borderId="32" xfId="0" applyFont="1" applyFill="1" applyBorder="1" applyAlignment="1">
      <alignment horizontal="center" vertical="center"/>
    </xf>
    <xf numFmtId="0" fontId="44" fillId="6" borderId="33" xfId="0" applyFont="1" applyFill="1" applyBorder="1" applyAlignment="1">
      <alignment horizontal="center" vertical="center"/>
    </xf>
    <xf numFmtId="0" fontId="44" fillId="6" borderId="34" xfId="0" applyFont="1" applyFill="1" applyBorder="1" applyAlignment="1">
      <alignment horizontal="center" vertical="center"/>
    </xf>
    <xf numFmtId="0" fontId="44" fillId="6" borderId="35" xfId="0" applyFont="1" applyFill="1" applyBorder="1" applyAlignment="1">
      <alignment horizontal="center" vertical="center"/>
    </xf>
    <xf numFmtId="0" fontId="0" fillId="5" borderId="23" xfId="0" applyFill="1" applyBorder="1" applyAlignment="1">
      <alignment horizontal="center"/>
    </xf>
    <xf numFmtId="0" fontId="0" fillId="5" borderId="21" xfId="0" applyFill="1" applyBorder="1" applyAlignment="1">
      <alignment horizontal="center"/>
    </xf>
    <xf numFmtId="0" fontId="0" fillId="6" borderId="24" xfId="0" applyFill="1" applyBorder="1" applyAlignment="1">
      <alignment horizontal="center"/>
    </xf>
    <xf numFmtId="0" fontId="0" fillId="0" borderId="23" xfId="0" applyBorder="1" applyAlignment="1">
      <alignment horizontal="center"/>
    </xf>
    <xf numFmtId="0" fontId="0" fillId="0" borderId="21" xfId="0" applyBorder="1" applyAlignment="1">
      <alignment horizontal="center"/>
    </xf>
    <xf numFmtId="0" fontId="44" fillId="6" borderId="33" xfId="0" applyFont="1" applyFill="1" applyBorder="1" applyAlignment="1">
      <alignment horizontal="center"/>
    </xf>
    <xf numFmtId="0" fontId="44" fillId="6" borderId="31" xfId="0" applyFont="1" applyFill="1" applyBorder="1" applyAlignment="1">
      <alignment horizontal="center"/>
    </xf>
    <xf numFmtId="0" fontId="44" fillId="6" borderId="35" xfId="0" applyFont="1" applyFill="1" applyBorder="1" applyAlignment="1">
      <alignment horizontal="center"/>
    </xf>
    <xf numFmtId="0" fontId="0" fillId="0" borderId="20" xfId="0" applyFill="1" applyBorder="1" applyAlignment="1">
      <alignment horizontal="center"/>
    </xf>
    <xf numFmtId="0" fontId="0" fillId="0" borderId="22" xfId="0" applyFill="1" applyBorder="1" applyAlignment="1">
      <alignment horizont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20" xfId="0" applyBorder="1" applyAlignment="1">
      <alignment horizontal="center"/>
    </xf>
    <xf numFmtId="0" fontId="0" fillId="0" borderId="22" xfId="0" applyBorder="1" applyAlignment="1">
      <alignment horizontal="center"/>
    </xf>
    <xf numFmtId="0" fontId="44" fillId="6" borderId="30" xfId="0" applyFont="1" applyFill="1" applyBorder="1" applyAlignment="1">
      <alignment horizontal="center"/>
    </xf>
    <xf numFmtId="0" fontId="44" fillId="6" borderId="32" xfId="0" applyFont="1" applyFill="1" applyBorder="1" applyAlignment="1">
      <alignment horizont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30" fillId="0" borderId="21" xfId="0" applyFont="1" applyBorder="1" applyAlignment="1">
      <alignment horizontal="center"/>
    </xf>
    <xf numFmtId="0" fontId="0" fillId="0" borderId="57" xfId="0" applyBorder="1" applyAlignment="1">
      <alignment horizontal="center"/>
    </xf>
    <xf numFmtId="0" fontId="0" fillId="0" borderId="24" xfId="0" applyBorder="1" applyAlignment="1">
      <alignment horizontal="center"/>
    </xf>
    <xf numFmtId="0" fontId="44" fillId="9" borderId="31" xfId="0" applyFont="1" applyFill="1" applyBorder="1" applyAlignment="1">
      <alignment horizontal="center"/>
    </xf>
    <xf numFmtId="0" fontId="44" fillId="9" borderId="34" xfId="0" applyFont="1" applyFill="1" applyBorder="1" applyAlignment="1">
      <alignment horizontal="center"/>
    </xf>
    <xf numFmtId="0" fontId="44" fillId="9" borderId="35" xfId="0" applyFont="1" applyFill="1" applyBorder="1" applyAlignment="1">
      <alignment horizontal="center"/>
    </xf>
    <xf numFmtId="0" fontId="24" fillId="0" borderId="21" xfId="0" applyFont="1" applyBorder="1" applyAlignment="1">
      <alignment horizontal="center" vertical="center"/>
    </xf>
    <xf numFmtId="0" fontId="44" fillId="9" borderId="31" xfId="0" applyFont="1" applyFill="1" applyBorder="1" applyAlignment="1">
      <alignment horizontal="center" vertical="center"/>
    </xf>
    <xf numFmtId="0" fontId="14" fillId="9" borderId="32" xfId="0" applyFont="1" applyFill="1" applyBorder="1" applyAlignment="1">
      <alignment horizontal="center" vertical="center"/>
    </xf>
    <xf numFmtId="0" fontId="14" fillId="9" borderId="34" xfId="0" applyFont="1" applyFill="1" applyBorder="1" applyAlignment="1">
      <alignment horizontal="center" vertical="center"/>
    </xf>
    <xf numFmtId="0" fontId="44" fillId="9" borderId="30" xfId="0" applyFont="1" applyFill="1" applyBorder="1" applyAlignment="1">
      <alignment horizontal="center" vertical="center"/>
    </xf>
    <xf numFmtId="0" fontId="44" fillId="9" borderId="35" xfId="0" applyFont="1" applyFill="1" applyBorder="1" applyAlignment="1">
      <alignment horizontal="center" vertical="center"/>
    </xf>
    <xf numFmtId="0" fontId="14" fillId="9" borderId="64" xfId="0" applyFont="1" applyFill="1" applyBorder="1" applyAlignment="1">
      <alignment horizontal="center" vertical="center"/>
    </xf>
    <xf numFmtId="0" fontId="44" fillId="9" borderId="34" xfId="0" applyFont="1" applyFill="1" applyBorder="1" applyAlignment="1">
      <alignment horizontal="center" vertical="center"/>
    </xf>
    <xf numFmtId="0" fontId="0" fillId="0" borderId="57" xfId="0" applyFont="1" applyBorder="1" applyAlignment="1">
      <alignment horizontal="center"/>
    </xf>
    <xf numFmtId="0" fontId="0" fillId="0" borderId="21" xfId="0" applyFont="1" applyBorder="1" applyAlignment="1">
      <alignment horizontal="center"/>
    </xf>
    <xf numFmtId="0" fontId="0" fillId="0" borderId="24" xfId="0" applyFont="1" applyBorder="1" applyAlignment="1">
      <alignment horizontal="center"/>
    </xf>
    <xf numFmtId="0" fontId="0" fillId="9" borderId="66" xfId="0" applyFont="1" applyFill="1" applyBorder="1" applyAlignment="1">
      <alignment horizontal="center" vertical="center"/>
    </xf>
    <xf numFmtId="0" fontId="0" fillId="4" borderId="20" xfId="0" applyFill="1" applyBorder="1" applyAlignment="1">
      <alignment horizontal="center" vertical="center"/>
    </xf>
    <xf numFmtId="0" fontId="44" fillId="9" borderId="67" xfId="0" applyFont="1" applyFill="1" applyBorder="1" applyAlignment="1">
      <alignment horizontal="center" vertical="center"/>
    </xf>
    <xf numFmtId="0" fontId="31" fillId="13" borderId="198" xfId="0" applyFont="1" applyFill="1" applyBorder="1" applyAlignment="1">
      <alignment horizontal="right"/>
    </xf>
    <xf numFmtId="0" fontId="0" fillId="9" borderId="19" xfId="0" applyFill="1" applyBorder="1" applyAlignment="1">
      <alignment horizontal="center"/>
    </xf>
    <xf numFmtId="0" fontId="0" fillId="9" borderId="19" xfId="0" applyFill="1" applyBorder="1" applyAlignment="1">
      <alignment horizontal="center" vertical="center"/>
    </xf>
    <xf numFmtId="0" fontId="0" fillId="0" borderId="62" xfId="0" applyFill="1" applyBorder="1" applyAlignment="1">
      <alignment horizontal="center" vertical="center"/>
    </xf>
    <xf numFmtId="0" fontId="44" fillId="9" borderId="29" xfId="0" applyFont="1" applyFill="1" applyBorder="1" applyAlignment="1">
      <alignment horizontal="center" vertical="center"/>
    </xf>
    <xf numFmtId="0" fontId="44" fillId="9" borderId="64" xfId="0" applyFont="1" applyFill="1" applyBorder="1" applyAlignment="1">
      <alignment horizontal="center" vertical="center"/>
    </xf>
    <xf numFmtId="0" fontId="0" fillId="9" borderId="75" xfId="0" applyFill="1" applyBorder="1" applyAlignment="1">
      <alignment horizontal="center"/>
    </xf>
    <xf numFmtId="0" fontId="44" fillId="9" borderId="30" xfId="0" applyFont="1" applyFill="1" applyBorder="1" applyAlignment="1">
      <alignment horizontal="center"/>
    </xf>
    <xf numFmtId="0" fontId="44" fillId="9" borderId="67" xfId="0" applyFont="1" applyFill="1" applyBorder="1" applyAlignment="1">
      <alignment horizontal="center"/>
    </xf>
    <xf numFmtId="0" fontId="0" fillId="0" borderId="19"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24" xfId="0" applyBorder="1" applyAlignment="1">
      <alignment horizontal="center" vertical="center"/>
    </xf>
    <xf numFmtId="0" fontId="15" fillId="12" borderId="11" xfId="0" applyFont="1" applyFill="1" applyBorder="1" applyAlignment="1">
      <alignment horizontal="center" vertical="center" wrapText="1"/>
    </xf>
    <xf numFmtId="0" fontId="15" fillId="12" borderId="15" xfId="0" applyFont="1" applyFill="1" applyBorder="1" applyAlignment="1">
      <alignment horizontal="center" vertical="center" wrapText="1"/>
    </xf>
    <xf numFmtId="0" fontId="15" fillId="12" borderId="16" xfId="0" applyFont="1" applyFill="1" applyBorder="1" applyAlignment="1">
      <alignment horizontal="center" vertical="center" wrapText="1"/>
    </xf>
    <xf numFmtId="44" fontId="14" fillId="4" borderId="21" xfId="0" applyNumberFormat="1" applyFont="1" applyFill="1" applyBorder="1" applyAlignment="1">
      <alignment horizontal="center" vertical="center"/>
    </xf>
    <xf numFmtId="44" fontId="24" fillId="4" borderId="21" xfId="0" applyNumberFormat="1" applyFont="1" applyFill="1" applyBorder="1" applyAlignment="1">
      <alignment horizontal="center" vertical="center"/>
    </xf>
    <xf numFmtId="44" fontId="24" fillId="0" borderId="21" xfId="1" applyNumberFormat="1" applyFont="1" applyFill="1" applyBorder="1"/>
    <xf numFmtId="44" fontId="24" fillId="0" borderId="21" xfId="1" applyNumberFormat="1" applyFont="1" applyBorder="1"/>
    <xf numFmtId="44" fontId="24" fillId="0" borderId="21" xfId="0" applyNumberFormat="1" applyFont="1" applyFill="1" applyBorder="1" applyAlignment="1">
      <alignment horizontal="center" vertical="center"/>
    </xf>
    <xf numFmtId="44" fontId="13" fillId="6" borderId="31" xfId="0" applyNumberFormat="1" applyFont="1" applyFill="1" applyBorder="1" applyAlignment="1">
      <alignment horizontal="center" vertical="center"/>
    </xf>
    <xf numFmtId="0" fontId="13" fillId="6" borderId="31" xfId="0" applyFont="1" applyFill="1" applyBorder="1" applyAlignment="1">
      <alignment horizontal="center" vertical="center"/>
    </xf>
    <xf numFmtId="2" fontId="0" fillId="0" borderId="0" xfId="0" applyNumberFormat="1"/>
    <xf numFmtId="44" fontId="0" fillId="0" borderId="0" xfId="0" applyNumberFormat="1"/>
    <xf numFmtId="0" fontId="2" fillId="0" borderId="0" xfId="0" applyFont="1" applyAlignment="1"/>
    <xf numFmtId="0" fontId="3" fillId="0" borderId="0" xfId="0" applyFont="1" applyAlignment="1"/>
    <xf numFmtId="0" fontId="13" fillId="3" borderId="200" xfId="0" applyFont="1" applyFill="1" applyBorder="1" applyAlignment="1">
      <alignment horizontal="centerContinuous" wrapText="1"/>
    </xf>
    <xf numFmtId="0" fontId="14" fillId="3" borderId="200" xfId="0" applyFont="1" applyFill="1" applyBorder="1" applyAlignment="1">
      <alignment horizontal="center" vertical="center"/>
    </xf>
    <xf numFmtId="0" fontId="0" fillId="3" borderId="200" xfId="0" applyFill="1" applyBorder="1" applyAlignment="1">
      <alignment horizontal="centerContinuous" wrapText="1"/>
    </xf>
    <xf numFmtId="0" fontId="15" fillId="3" borderId="200" xfId="0" applyFont="1" applyFill="1" applyBorder="1" applyAlignment="1">
      <alignment horizontal="center" wrapText="1"/>
    </xf>
    <xf numFmtId="0" fontId="16" fillId="3" borderId="201" xfId="0" applyFont="1" applyFill="1" applyBorder="1" applyAlignment="1">
      <alignment horizontal="center" wrapText="1"/>
    </xf>
    <xf numFmtId="0" fontId="17" fillId="3" borderId="200" xfId="0" applyFont="1" applyFill="1" applyBorder="1" applyAlignment="1">
      <alignment wrapText="1"/>
    </xf>
    <xf numFmtId="0" fontId="15" fillId="3" borderId="200" xfId="0" applyFont="1" applyFill="1" applyBorder="1" applyAlignment="1">
      <alignment wrapText="1"/>
    </xf>
    <xf numFmtId="0" fontId="0" fillId="5" borderId="200" xfId="0" applyFill="1" applyBorder="1"/>
    <xf numFmtId="0" fontId="0" fillId="6" borderId="200" xfId="0" applyFill="1" applyBorder="1"/>
    <xf numFmtId="0" fontId="0" fillId="0" borderId="200" xfId="0" applyBorder="1"/>
    <xf numFmtId="0" fontId="0" fillId="4" borderId="200" xfId="0" applyFill="1" applyBorder="1"/>
    <xf numFmtId="0" fontId="0" fillId="2" borderId="200" xfId="0" applyFill="1" applyBorder="1"/>
    <xf numFmtId="0" fontId="15" fillId="4" borderId="40" xfId="0" applyFont="1" applyFill="1" applyBorder="1" applyAlignment="1">
      <alignment vertical="center" wrapText="1"/>
    </xf>
    <xf numFmtId="0" fontId="0" fillId="4" borderId="204" xfId="0" applyFill="1" applyBorder="1" applyAlignment="1">
      <alignment vertical="center" wrapText="1"/>
    </xf>
    <xf numFmtId="0" fontId="21" fillId="6" borderId="200" xfId="0" applyFont="1" applyFill="1" applyBorder="1"/>
    <xf numFmtId="0" fontId="23" fillId="4" borderId="40" xfId="0" applyFont="1" applyFill="1" applyBorder="1" applyAlignment="1">
      <alignment vertical="center" wrapText="1"/>
    </xf>
    <xf numFmtId="0" fontId="0" fillId="0" borderId="200" xfId="0" applyFill="1" applyBorder="1"/>
    <xf numFmtId="0" fontId="38" fillId="4" borderId="205" xfId="0" applyFont="1" applyFill="1" applyBorder="1" applyAlignment="1">
      <alignment vertical="center" wrapText="1"/>
    </xf>
    <xf numFmtId="0" fontId="0" fillId="4" borderId="206" xfId="0" applyFill="1" applyBorder="1" applyAlignment="1">
      <alignment vertical="center" wrapText="1"/>
    </xf>
    <xf numFmtId="0" fontId="13" fillId="6" borderId="200" xfId="0" applyFont="1" applyFill="1" applyBorder="1" applyAlignment="1">
      <alignment horizontal="right"/>
    </xf>
    <xf numFmtId="0" fontId="16" fillId="3" borderId="200" xfId="0" applyFont="1" applyFill="1" applyBorder="1" applyAlignment="1">
      <alignment horizontal="center" wrapText="1"/>
    </xf>
    <xf numFmtId="3" fontId="0" fillId="0" borderId="200" xfId="0" applyNumberFormat="1" applyBorder="1"/>
    <xf numFmtId="3" fontId="0" fillId="6" borderId="200" xfId="0" applyNumberFormat="1" applyFill="1" applyBorder="1"/>
    <xf numFmtId="3" fontId="0" fillId="4" borderId="200" xfId="0" applyNumberFormat="1" applyFill="1" applyBorder="1"/>
    <xf numFmtId="0" fontId="12" fillId="8" borderId="200" xfId="0" applyFont="1" applyFill="1" applyBorder="1"/>
    <xf numFmtId="0" fontId="42" fillId="8" borderId="200" xfId="0" applyFont="1" applyFill="1" applyBorder="1" applyAlignment="1">
      <alignment horizontal="center"/>
    </xf>
    <xf numFmtId="0" fontId="15" fillId="8" borderId="200" xfId="0" applyFont="1" applyFill="1" applyBorder="1" applyAlignment="1">
      <alignment horizontal="center" wrapText="1"/>
    </xf>
    <xf numFmtId="0" fontId="24" fillId="5" borderId="200" xfId="0" applyFont="1" applyFill="1" applyBorder="1"/>
    <xf numFmtId="0" fontId="24" fillId="0" borderId="200" xfId="0" applyFont="1" applyBorder="1"/>
    <xf numFmtId="0" fontId="24" fillId="4" borderId="200" xfId="0" applyFont="1" applyFill="1" applyBorder="1"/>
    <xf numFmtId="0" fontId="15" fillId="0" borderId="40" xfId="0" applyFont="1" applyBorder="1" applyAlignment="1">
      <alignment vertical="top" wrapText="1"/>
    </xf>
    <xf numFmtId="0" fontId="0" fillId="0" borderId="204" xfId="0" applyBorder="1" applyAlignment="1">
      <alignment vertical="top" wrapText="1"/>
    </xf>
    <xf numFmtId="0" fontId="15" fillId="0" borderId="205" xfId="0" applyFont="1" applyBorder="1" applyAlignment="1">
      <alignment vertical="top" wrapText="1"/>
    </xf>
    <xf numFmtId="0" fontId="0" fillId="0" borderId="206" xfId="0" applyBorder="1" applyAlignment="1">
      <alignment vertical="top" wrapText="1"/>
    </xf>
    <xf numFmtId="0" fontId="12" fillId="8" borderId="207" xfId="0" applyFont="1" applyFill="1" applyBorder="1"/>
    <xf numFmtId="0" fontId="12" fillId="8" borderId="207" xfId="0" applyFont="1" applyFill="1" applyBorder="1" applyAlignment="1">
      <alignment horizontal="center" wrapText="1"/>
    </xf>
    <xf numFmtId="0" fontId="15" fillId="5" borderId="208" xfId="0" applyFont="1" applyFill="1" applyBorder="1"/>
    <xf numFmtId="0" fontId="24" fillId="0" borderId="208" xfId="0" applyFont="1" applyBorder="1"/>
    <xf numFmtId="0" fontId="21" fillId="0" borderId="200" xfId="0" applyFont="1" applyBorder="1"/>
    <xf numFmtId="0" fontId="13" fillId="6" borderId="208" xfId="0" applyFont="1" applyFill="1" applyBorder="1" applyAlignment="1">
      <alignment horizontal="right"/>
    </xf>
    <xf numFmtId="0" fontId="12" fillId="8" borderId="200" xfId="0" applyFont="1" applyFill="1" applyBorder="1" applyAlignment="1">
      <alignment horizontal="center" wrapText="1"/>
    </xf>
    <xf numFmtId="0" fontId="27" fillId="8" borderId="200" xfId="0" applyFont="1" applyFill="1" applyBorder="1" applyAlignment="1">
      <alignment horizontal="centerContinuous" wrapText="1"/>
    </xf>
    <xf numFmtId="0" fontId="26" fillId="8" borderId="200" xfId="0" applyFont="1" applyFill="1" applyBorder="1" applyAlignment="1">
      <alignment horizontal="centerContinuous" wrapText="1"/>
    </xf>
    <xf numFmtId="0" fontId="28" fillId="8" borderId="200" xfId="0" applyFont="1" applyFill="1" applyBorder="1" applyAlignment="1">
      <alignment wrapText="1"/>
    </xf>
    <xf numFmtId="0" fontId="26" fillId="8" borderId="200" xfId="0" applyFont="1" applyFill="1" applyBorder="1" applyAlignment="1">
      <alignment wrapText="1"/>
    </xf>
    <xf numFmtId="0" fontId="54" fillId="0" borderId="40" xfId="0" applyFont="1" applyBorder="1" applyAlignment="1">
      <alignment horizontal="left" vertical="center" wrapText="1"/>
    </xf>
    <xf numFmtId="0" fontId="0" fillId="0" borderId="0" xfId="0" applyBorder="1" applyAlignment="1">
      <alignment horizontal="left"/>
    </xf>
    <xf numFmtId="0" fontId="30" fillId="5" borderId="200" xfId="0" applyFont="1" applyFill="1" applyBorder="1"/>
    <xf numFmtId="0" fontId="30" fillId="0" borderId="200" xfId="0" applyFont="1" applyBorder="1"/>
    <xf numFmtId="0" fontId="30" fillId="4" borderId="200" xfId="0" applyFont="1" applyFill="1" applyBorder="1"/>
    <xf numFmtId="0" fontId="31" fillId="9" borderId="200" xfId="0" applyFont="1" applyFill="1" applyBorder="1" applyAlignment="1">
      <alignment horizontal="right"/>
    </xf>
    <xf numFmtId="0" fontId="0" fillId="9" borderId="200" xfId="0" applyFont="1" applyFill="1" applyBorder="1" applyAlignment="1">
      <alignment horizontal="right"/>
    </xf>
    <xf numFmtId="0" fontId="0" fillId="9" borderId="200" xfId="0" applyFill="1" applyBorder="1"/>
    <xf numFmtId="0" fontId="15" fillId="8" borderId="200" xfId="0" applyFont="1" applyFill="1" applyBorder="1" applyAlignment="1">
      <alignment wrapText="1"/>
    </xf>
    <xf numFmtId="0" fontId="16" fillId="8" borderId="200" xfId="0" applyFont="1" applyFill="1" applyBorder="1" applyAlignment="1">
      <alignment wrapText="1"/>
    </xf>
    <xf numFmtId="0" fontId="32" fillId="4" borderId="200" xfId="0" applyFont="1" applyFill="1" applyBorder="1"/>
    <xf numFmtId="0" fontId="13" fillId="9" borderId="200" xfId="0" applyFont="1" applyFill="1" applyBorder="1" applyAlignment="1">
      <alignment horizontal="right"/>
    </xf>
    <xf numFmtId="0" fontId="12" fillId="10" borderId="200" xfId="0" applyFont="1" applyFill="1" applyBorder="1" applyAlignment="1">
      <alignment wrapText="1"/>
    </xf>
    <xf numFmtId="0" fontId="34" fillId="10" borderId="200" xfId="0" applyFont="1" applyFill="1" applyBorder="1" applyAlignment="1">
      <alignment horizontal="center" wrapText="1"/>
    </xf>
    <xf numFmtId="0" fontId="42" fillId="10" borderId="200" xfId="0" applyFont="1" applyFill="1" applyBorder="1" applyAlignment="1">
      <alignment horizontal="center" wrapText="1"/>
    </xf>
    <xf numFmtId="0" fontId="16" fillId="10" borderId="200" xfId="0" applyFont="1" applyFill="1" applyBorder="1" applyAlignment="1">
      <alignment wrapText="1"/>
    </xf>
    <xf numFmtId="0" fontId="15" fillId="10" borderId="200" xfId="0" applyFont="1" applyFill="1" applyBorder="1" applyAlignment="1">
      <alignment wrapText="1"/>
    </xf>
    <xf numFmtId="0" fontId="13" fillId="9" borderId="200" xfId="0" applyFont="1" applyFill="1" applyBorder="1"/>
    <xf numFmtId="0" fontId="27" fillId="12" borderId="200" xfId="0" applyFont="1" applyFill="1" applyBorder="1" applyAlignment="1">
      <alignment horizontal="centerContinuous" wrapText="1"/>
    </xf>
    <xf numFmtId="0" fontId="26" fillId="12" borderId="200" xfId="0" applyFont="1" applyFill="1" applyBorder="1" applyAlignment="1">
      <alignment wrapText="1"/>
    </xf>
    <xf numFmtId="0" fontId="28" fillId="12" borderId="200" xfId="0" applyFont="1" applyFill="1" applyBorder="1" applyAlignment="1">
      <alignment wrapText="1"/>
    </xf>
    <xf numFmtId="0" fontId="37" fillId="12" borderId="200" xfId="0" applyFont="1" applyFill="1" applyBorder="1" applyAlignment="1">
      <alignment wrapText="1"/>
    </xf>
    <xf numFmtId="0" fontId="54" fillId="0" borderId="207" xfId="0" applyFont="1" applyBorder="1" applyAlignment="1">
      <alignment vertical="center" wrapText="1"/>
    </xf>
    <xf numFmtId="0" fontId="0" fillId="5" borderId="200" xfId="0" applyFont="1" applyFill="1" applyBorder="1"/>
    <xf numFmtId="0" fontId="26" fillId="0" borderId="209" xfId="0" applyFont="1" applyBorder="1" applyAlignment="1">
      <alignment vertical="center" wrapText="1"/>
    </xf>
    <xf numFmtId="0" fontId="0" fillId="0" borderId="200" xfId="0" applyFont="1" applyBorder="1"/>
    <xf numFmtId="0" fontId="26" fillId="4" borderId="209" xfId="0" applyFont="1" applyFill="1" applyBorder="1" applyAlignment="1">
      <alignment vertical="center" wrapText="1"/>
    </xf>
    <xf numFmtId="0" fontId="54" fillId="4" borderId="209" xfId="0" applyFont="1" applyFill="1" applyBorder="1" applyAlignment="1">
      <alignment vertical="center" wrapText="1"/>
    </xf>
    <xf numFmtId="0" fontId="26" fillId="4" borderId="210" xfId="0" applyFont="1" applyFill="1" applyBorder="1" applyAlignment="1"/>
    <xf numFmtId="0" fontId="0" fillId="9" borderId="200" xfId="0" applyFont="1" applyFill="1" applyBorder="1"/>
    <xf numFmtId="0" fontId="26" fillId="12" borderId="200" xfId="0" applyFont="1" applyFill="1" applyBorder="1" applyAlignment="1">
      <alignment horizontal="centerContinuous" wrapText="1"/>
    </xf>
    <xf numFmtId="0" fontId="15" fillId="12" borderId="200" xfId="0" applyFont="1" applyFill="1" applyBorder="1" applyAlignment="1">
      <alignment wrapText="1"/>
    </xf>
    <xf numFmtId="0" fontId="27" fillId="12" borderId="200" xfId="0" applyFont="1" applyFill="1" applyBorder="1" applyAlignment="1">
      <alignment wrapText="1"/>
    </xf>
    <xf numFmtId="0" fontId="35" fillId="0" borderId="202" xfId="0" applyFont="1" applyBorder="1" applyAlignment="1">
      <alignment vertical="center" wrapText="1"/>
    </xf>
    <xf numFmtId="0" fontId="15" fillId="0" borderId="40" xfId="0" applyFont="1" applyBorder="1" applyAlignment="1">
      <alignment vertical="center" wrapText="1"/>
    </xf>
    <xf numFmtId="0" fontId="15" fillId="0" borderId="205" xfId="0" applyFont="1" applyBorder="1" applyAlignment="1">
      <alignment vertical="center" wrapText="1"/>
    </xf>
    <xf numFmtId="0" fontId="31" fillId="9" borderId="200" xfId="0" applyFont="1" applyFill="1" applyBorder="1"/>
    <xf numFmtId="0" fontId="26" fillId="13" borderId="200" xfId="0" applyFont="1" applyFill="1" applyBorder="1" applyAlignment="1">
      <alignment horizontal="centerContinuous" wrapText="1"/>
    </xf>
    <xf numFmtId="0" fontId="27" fillId="13" borderId="200" xfId="0" applyFont="1" applyFill="1" applyBorder="1" applyAlignment="1">
      <alignment wrapText="1"/>
    </xf>
    <xf numFmtId="0" fontId="28" fillId="13" borderId="200" xfId="0" applyFont="1" applyFill="1" applyBorder="1" applyAlignment="1">
      <alignment wrapText="1"/>
    </xf>
    <xf numFmtId="0" fontId="26" fillId="13" borderId="200" xfId="0" applyFont="1" applyFill="1" applyBorder="1" applyAlignment="1">
      <alignment wrapText="1"/>
    </xf>
    <xf numFmtId="0" fontId="37" fillId="13" borderId="200" xfId="0" applyFont="1" applyFill="1" applyBorder="1" applyAlignment="1">
      <alignment wrapText="1"/>
    </xf>
    <xf numFmtId="0" fontId="40" fillId="13" borderId="200" xfId="0" applyFont="1" applyFill="1" applyBorder="1" applyAlignment="1">
      <alignment horizontal="left" wrapText="1"/>
    </xf>
    <xf numFmtId="0" fontId="29" fillId="13" borderId="200" xfId="0" applyFont="1" applyFill="1" applyBorder="1" applyAlignment="1">
      <alignment horizontal="center" vertical="center" wrapText="1"/>
    </xf>
    <xf numFmtId="0" fontId="31" fillId="13" borderId="200" xfId="0" applyFont="1" applyFill="1" applyBorder="1" applyAlignment="1">
      <alignment horizontal="right"/>
    </xf>
    <xf numFmtId="0" fontId="0" fillId="13" borderId="200" xfId="0" applyFont="1" applyFill="1" applyBorder="1" applyAlignment="1">
      <alignment wrapText="1"/>
    </xf>
    <xf numFmtId="0" fontId="31" fillId="13" borderId="200" xfId="0" applyFont="1" applyFill="1" applyBorder="1" applyAlignment="1">
      <alignment wrapText="1"/>
    </xf>
    <xf numFmtId="0" fontId="31" fillId="5" borderId="200" xfId="0" applyFont="1" applyFill="1" applyBorder="1" applyAlignment="1">
      <alignment horizontal="right"/>
    </xf>
    <xf numFmtId="0" fontId="31" fillId="5" borderId="200" xfId="0" applyFont="1" applyFill="1" applyBorder="1"/>
    <xf numFmtId="0" fontId="31" fillId="4" borderId="200" xfId="0" applyFont="1" applyFill="1" applyBorder="1" applyAlignment="1">
      <alignment horizontal="right"/>
    </xf>
    <xf numFmtId="0" fontId="0" fillId="4" borderId="200" xfId="0" applyFont="1" applyFill="1" applyBorder="1"/>
    <xf numFmtId="0" fontId="26" fillId="14" borderId="200" xfId="0" applyFont="1" applyFill="1" applyBorder="1" applyAlignment="1">
      <alignment horizontal="centerContinuous" wrapText="1"/>
    </xf>
    <xf numFmtId="0" fontId="26" fillId="14" borderId="200" xfId="0" applyFont="1" applyFill="1" applyBorder="1" applyAlignment="1">
      <alignment wrapText="1"/>
    </xf>
    <xf numFmtId="0" fontId="27" fillId="14" borderId="200" xfId="0" applyFont="1" applyFill="1" applyBorder="1" applyAlignment="1">
      <alignment wrapText="1"/>
    </xf>
    <xf numFmtId="0" fontId="16" fillId="14" borderId="200" xfId="0" applyFont="1" applyFill="1" applyBorder="1" applyAlignment="1">
      <alignment wrapText="1"/>
    </xf>
    <xf numFmtId="0" fontId="15" fillId="14" borderId="200" xfId="0" applyFont="1" applyFill="1" applyBorder="1" applyAlignment="1">
      <alignment wrapText="1"/>
    </xf>
    <xf numFmtId="0" fontId="54" fillId="0" borderId="202" xfId="0" applyFont="1" applyBorder="1" applyAlignment="1">
      <alignment vertical="center" wrapText="1"/>
    </xf>
    <xf numFmtId="0" fontId="0" fillId="0" borderId="203" xfId="0" applyBorder="1" applyAlignment="1"/>
    <xf numFmtId="0" fontId="26" fillId="0" borderId="40" xfId="0" applyFont="1" applyBorder="1" applyAlignment="1">
      <alignment vertical="center" wrapText="1"/>
    </xf>
    <xf numFmtId="0" fontId="0" fillId="0" borderId="204" xfId="0" applyBorder="1" applyAlignment="1"/>
    <xf numFmtId="0" fontId="54" fillId="0" borderId="40" xfId="0" applyFont="1" applyBorder="1" applyAlignment="1">
      <alignment vertical="center" wrapText="1"/>
    </xf>
    <xf numFmtId="0" fontId="35" fillId="0" borderId="25" xfId="0" applyFont="1" applyBorder="1" applyAlignment="1">
      <alignment vertical="center" wrapText="1"/>
    </xf>
    <xf numFmtId="0" fontId="23" fillId="0" borderId="25" xfId="0" applyFont="1" applyBorder="1" applyAlignment="1">
      <alignment vertical="center" wrapText="1"/>
    </xf>
    <xf numFmtId="0" fontId="0" fillId="0" borderId="76" xfId="0" applyBorder="1" applyAlignment="1">
      <alignment vertical="center" wrapText="1"/>
    </xf>
    <xf numFmtId="0" fontId="0" fillId="15" borderId="0" xfId="0" applyFill="1" applyBorder="1"/>
    <xf numFmtId="0" fontId="13" fillId="4" borderId="0" xfId="0" applyFont="1" applyFill="1"/>
    <xf numFmtId="0" fontId="12" fillId="15" borderId="200" xfId="0" applyFont="1" applyFill="1" applyBorder="1" applyAlignment="1">
      <alignment wrapText="1"/>
    </xf>
    <xf numFmtId="0" fontId="12" fillId="15" borderId="200" xfId="0" applyFont="1" applyFill="1" applyBorder="1" applyAlignment="1">
      <alignment horizontal="center" wrapText="1"/>
    </xf>
    <xf numFmtId="0" fontId="15" fillId="15" borderId="200" xfId="0" applyFont="1" applyFill="1" applyBorder="1" applyAlignment="1">
      <alignment wrapText="1"/>
    </xf>
    <xf numFmtId="0" fontId="0" fillId="0" borderId="203" xfId="0" applyBorder="1" applyAlignment="1">
      <alignment vertical="center" wrapText="1"/>
    </xf>
    <xf numFmtId="0" fontId="0" fillId="0" borderId="204" xfId="0" applyBorder="1" applyAlignment="1">
      <alignment vertical="center" wrapText="1"/>
    </xf>
    <xf numFmtId="0" fontId="0" fillId="0" borderId="206" xfId="0" applyBorder="1" applyAlignment="1">
      <alignment vertical="center" wrapText="1"/>
    </xf>
    <xf numFmtId="0" fontId="12" fillId="12" borderId="200" xfId="0" applyFont="1" applyFill="1" applyBorder="1" applyAlignment="1">
      <alignment horizontal="left" vertical="center" wrapText="1"/>
    </xf>
    <xf numFmtId="0" fontId="42" fillId="12" borderId="200" xfId="0" applyFont="1" applyFill="1" applyBorder="1" applyAlignment="1">
      <alignment wrapText="1"/>
    </xf>
    <xf numFmtId="0" fontId="1" fillId="4" borderId="200" xfId="0" applyFont="1" applyFill="1" applyBorder="1" applyAlignment="1">
      <alignment vertical="center" wrapText="1"/>
    </xf>
    <xf numFmtId="4" fontId="24" fillId="4" borderId="200" xfId="0" applyNumberFormat="1" applyFont="1" applyFill="1" applyBorder="1"/>
    <xf numFmtId="0" fontId="0" fillId="4" borderId="200" xfId="0" applyFill="1" applyBorder="1" applyAlignment="1">
      <alignment vertical="center" wrapText="1"/>
    </xf>
    <xf numFmtId="4" fontId="24" fillId="0" borderId="200" xfId="0" applyNumberFormat="1" applyFont="1" applyBorder="1"/>
    <xf numFmtId="0" fontId="1" fillId="4" borderId="207" xfId="0" applyFont="1" applyFill="1" applyBorder="1" applyAlignment="1">
      <alignment vertical="center" wrapText="1"/>
    </xf>
    <xf numFmtId="0" fontId="0" fillId="4" borderId="207" xfId="0" applyFill="1" applyBorder="1" applyAlignment="1">
      <alignment vertical="center" wrapText="1"/>
    </xf>
    <xf numFmtId="0" fontId="0" fillId="4" borderId="209" xfId="0" applyFill="1" applyBorder="1" applyAlignment="1">
      <alignment vertical="center" wrapText="1"/>
    </xf>
    <xf numFmtId="0" fontId="0" fillId="4" borderId="210" xfId="0" applyFill="1" applyBorder="1" applyAlignment="1">
      <alignment vertical="center" wrapText="1"/>
    </xf>
    <xf numFmtId="4" fontId="13" fillId="6" borderId="200" xfId="0" applyNumberFormat="1" applyFont="1" applyFill="1" applyBorder="1" applyAlignment="1">
      <alignment horizontal="right"/>
    </xf>
    <xf numFmtId="0" fontId="0" fillId="4" borderId="0" xfId="0" applyFill="1" applyBorder="1" applyAlignment="1">
      <alignment vertical="center" wrapText="1"/>
    </xf>
    <xf numFmtId="0" fontId="12" fillId="3" borderId="207" xfId="0" applyFont="1" applyFill="1" applyBorder="1" applyAlignment="1">
      <alignment wrapText="1"/>
    </xf>
    <xf numFmtId="0" fontId="12" fillId="3" borderId="209" xfId="0" applyFont="1" applyFill="1" applyBorder="1" applyAlignment="1">
      <alignment wrapText="1"/>
    </xf>
    <xf numFmtId="164" fontId="76" fillId="0" borderId="0" xfId="2" applyFont="1"/>
    <xf numFmtId="164" fontId="77" fillId="0" borderId="0" xfId="2" applyFont="1"/>
    <xf numFmtId="164" fontId="77" fillId="0" borderId="0" xfId="2" applyFont="1" applyBorder="1"/>
    <xf numFmtId="164" fontId="75" fillId="0" borderId="0" xfId="2"/>
    <xf numFmtId="164" fontId="83" fillId="17" borderId="0" xfId="2" applyFont="1" applyFill="1"/>
    <xf numFmtId="164" fontId="75" fillId="17" borderId="0" xfId="2" applyFill="1"/>
    <xf numFmtId="164" fontId="75" fillId="0" borderId="0" xfId="2" applyBorder="1"/>
    <xf numFmtId="164" fontId="84" fillId="17" borderId="214" xfId="2" applyFont="1" applyFill="1" applyBorder="1" applyAlignment="1">
      <alignment wrapText="1"/>
    </xf>
    <xf numFmtId="164" fontId="84" fillId="17" borderId="215" xfId="2" applyFont="1" applyFill="1" applyBorder="1" applyAlignment="1">
      <alignment wrapText="1"/>
    </xf>
    <xf numFmtId="164" fontId="85" fillId="17" borderId="216" xfId="2" applyFont="1" applyFill="1" applyBorder="1" applyAlignment="1">
      <alignment horizontal="center" wrapText="1"/>
    </xf>
    <xf numFmtId="164" fontId="85" fillId="17" borderId="216" xfId="2" applyFont="1" applyFill="1" applyBorder="1" applyAlignment="1">
      <alignment horizontal="center" vertical="center"/>
    </xf>
    <xf numFmtId="164" fontId="75" fillId="17" borderId="216" xfId="2" applyFill="1" applyBorder="1" applyAlignment="1">
      <alignment horizontal="center" wrapText="1"/>
    </xf>
    <xf numFmtId="164" fontId="85" fillId="0" borderId="0" xfId="2" applyFont="1" applyFill="1" applyBorder="1" applyAlignment="1">
      <alignment horizontal="center" wrapText="1"/>
    </xf>
    <xf numFmtId="164" fontId="75" fillId="0" borderId="0" xfId="2" applyFill="1" applyBorder="1" applyAlignment="1">
      <alignment horizontal="center" wrapText="1"/>
    </xf>
    <xf numFmtId="164" fontId="75" fillId="0" borderId="0" xfId="2" applyBorder="1" applyAlignment="1">
      <alignment wrapText="1"/>
    </xf>
    <xf numFmtId="164" fontId="84" fillId="17" borderId="218" xfId="2" applyFont="1" applyFill="1" applyBorder="1" applyAlignment="1">
      <alignment wrapText="1"/>
    </xf>
    <xf numFmtId="164" fontId="84" fillId="17" borderId="218" xfId="2" applyFont="1" applyFill="1" applyBorder="1" applyAlignment="1">
      <alignment horizontal="center" wrapText="1"/>
    </xf>
    <xf numFmtId="164" fontId="86" fillId="17" borderId="216" xfId="2" applyFont="1" applyFill="1" applyBorder="1" applyAlignment="1">
      <alignment wrapText="1"/>
    </xf>
    <xf numFmtId="164" fontId="86" fillId="17" borderId="219" xfId="2" applyFont="1" applyFill="1" applyBorder="1" applyAlignment="1">
      <alignment horizontal="center" wrapText="1"/>
    </xf>
    <xf numFmtId="164" fontId="86" fillId="17" borderId="216" xfId="2" applyFont="1" applyFill="1" applyBorder="1" applyAlignment="1">
      <alignment horizontal="center" wrapText="1"/>
    </xf>
    <xf numFmtId="164" fontId="87" fillId="17" borderId="217" xfId="2" applyFont="1" applyFill="1" applyBorder="1" applyAlignment="1">
      <alignment horizontal="center" wrapText="1"/>
    </xf>
    <xf numFmtId="164" fontId="88" fillId="17" borderId="216" xfId="2" applyFont="1" applyFill="1" applyBorder="1" applyAlignment="1">
      <alignment wrapText="1"/>
    </xf>
    <xf numFmtId="164" fontId="86" fillId="0" borderId="0" xfId="2" applyFont="1" applyFill="1" applyBorder="1" applyAlignment="1">
      <alignment wrapText="1"/>
    </xf>
    <xf numFmtId="164" fontId="75" fillId="0" borderId="0" xfId="2" applyAlignment="1">
      <alignment wrapText="1"/>
    </xf>
    <xf numFmtId="164" fontId="75" fillId="18" borderId="216" xfId="2" applyFill="1" applyBorder="1"/>
    <xf numFmtId="164" fontId="75" fillId="18" borderId="219" xfId="2" applyFill="1" applyBorder="1"/>
    <xf numFmtId="164" fontId="75" fillId="19" borderId="217" xfId="2" applyFill="1" applyBorder="1"/>
    <xf numFmtId="164" fontId="75" fillId="0" borderId="0" xfId="2" applyFill="1" applyBorder="1"/>
    <xf numFmtId="164" fontId="75" fillId="0" borderId="216" xfId="2" applyBorder="1"/>
    <xf numFmtId="164" fontId="75" fillId="4" borderId="219" xfId="2" applyFill="1" applyBorder="1"/>
    <xf numFmtId="164" fontId="75" fillId="20" borderId="216" xfId="2" applyFill="1" applyBorder="1"/>
    <xf numFmtId="164" fontId="75" fillId="0" borderId="219" xfId="2" applyBorder="1"/>
    <xf numFmtId="164" fontId="75" fillId="16" borderId="216" xfId="2" applyFill="1" applyBorder="1"/>
    <xf numFmtId="164" fontId="75" fillId="0" borderId="216" xfId="2" applyFill="1" applyBorder="1"/>
    <xf numFmtId="164" fontId="85" fillId="19" borderId="216" xfId="2" applyFont="1" applyFill="1" applyBorder="1" applyAlignment="1">
      <alignment horizontal="right"/>
    </xf>
    <xf numFmtId="164" fontId="75" fillId="19" borderId="219" xfId="2" applyFill="1" applyBorder="1"/>
    <xf numFmtId="164" fontId="75" fillId="19" borderId="216" xfId="2" applyFill="1" applyBorder="1"/>
    <xf numFmtId="164" fontId="75" fillId="19" borderId="224" xfId="2" applyFill="1" applyBorder="1"/>
    <xf numFmtId="164" fontId="85" fillId="0" borderId="0" xfId="2" applyFont="1" applyAlignment="1">
      <alignment horizontal="right"/>
    </xf>
    <xf numFmtId="164" fontId="85" fillId="17" borderId="217" xfId="2" applyFont="1" applyFill="1" applyBorder="1" applyAlignment="1">
      <alignment horizontal="center" wrapText="1"/>
    </xf>
    <xf numFmtId="164" fontId="84" fillId="17" borderId="220" xfId="2" applyFont="1" applyFill="1" applyBorder="1" applyAlignment="1">
      <alignment wrapText="1"/>
    </xf>
    <xf numFmtId="164" fontId="86" fillId="17" borderId="217" xfId="2" applyFont="1" applyFill="1" applyBorder="1" applyAlignment="1">
      <alignment wrapText="1"/>
    </xf>
    <xf numFmtId="164" fontId="87" fillId="17" borderId="216" xfId="2" applyFont="1" applyFill="1" applyBorder="1" applyAlignment="1">
      <alignment horizontal="center" wrapText="1"/>
    </xf>
    <xf numFmtId="164" fontId="75" fillId="18" borderId="217" xfId="2" applyFill="1" applyBorder="1"/>
    <xf numFmtId="164" fontId="75" fillId="0" borderId="217" xfId="2" applyBorder="1"/>
    <xf numFmtId="0" fontId="75" fillId="0" borderId="216" xfId="2" applyNumberFormat="1" applyBorder="1"/>
    <xf numFmtId="0" fontId="75" fillId="19" borderId="216" xfId="2" applyNumberFormat="1" applyFill="1" applyBorder="1"/>
    <xf numFmtId="3" fontId="75" fillId="0" borderId="216" xfId="2" applyNumberFormat="1" applyBorder="1" applyAlignment="1">
      <alignment horizontal="right"/>
    </xf>
    <xf numFmtId="0" fontId="75" fillId="19" borderId="216" xfId="2" applyNumberFormat="1" applyFill="1" applyBorder="1" applyAlignment="1">
      <alignment horizontal="right"/>
    </xf>
    <xf numFmtId="0" fontId="75" fillId="0" borderId="216" xfId="2" applyNumberFormat="1" applyBorder="1" applyAlignment="1">
      <alignment horizontal="right"/>
    </xf>
    <xf numFmtId="164" fontId="75" fillId="0" borderId="217" xfId="2" applyFill="1" applyBorder="1"/>
    <xf numFmtId="164" fontId="85" fillId="19" borderId="217" xfId="2" applyFont="1" applyFill="1" applyBorder="1" applyAlignment="1">
      <alignment horizontal="right"/>
    </xf>
    <xf numFmtId="164" fontId="75" fillId="0" borderId="0" xfId="2" applyAlignment="1">
      <alignment vertical="center" wrapText="1"/>
    </xf>
    <xf numFmtId="164" fontId="83" fillId="21" borderId="0" xfId="2" applyFont="1" applyFill="1"/>
    <xf numFmtId="164" fontId="75" fillId="21" borderId="0" xfId="2" applyFill="1"/>
    <xf numFmtId="164" fontId="75" fillId="0" borderId="0" xfId="2" applyFill="1"/>
    <xf numFmtId="164" fontId="84" fillId="21" borderId="214" xfId="2" applyFont="1" applyFill="1" applyBorder="1"/>
    <xf numFmtId="164" fontId="84" fillId="21" borderId="215" xfId="2" applyFont="1" applyFill="1" applyBorder="1" applyAlignment="1">
      <alignment horizontal="center" wrapText="1"/>
    </xf>
    <xf numFmtId="164" fontId="86" fillId="21" borderId="216" xfId="2" applyFont="1" applyFill="1" applyBorder="1"/>
    <xf numFmtId="164" fontId="86" fillId="21" borderId="219" xfId="2" applyFont="1" applyFill="1" applyBorder="1" applyAlignment="1">
      <alignment horizontal="center" wrapText="1"/>
    </xf>
    <xf numFmtId="164" fontId="86" fillId="21" borderId="216" xfId="2" applyFont="1" applyFill="1" applyBorder="1" applyAlignment="1">
      <alignment horizontal="center" wrapText="1"/>
    </xf>
    <xf numFmtId="164" fontId="86" fillId="16" borderId="0" xfId="2" applyFont="1" applyFill="1" applyBorder="1" applyAlignment="1">
      <alignment wrapText="1"/>
    </xf>
    <xf numFmtId="164" fontId="91" fillId="18" borderId="216" xfId="2" applyFont="1" applyFill="1" applyBorder="1"/>
    <xf numFmtId="164" fontId="91" fillId="0" borderId="216" xfId="2" applyFont="1" applyBorder="1"/>
    <xf numFmtId="0" fontId="75" fillId="0" borderId="219" xfId="2" applyNumberFormat="1" applyBorder="1"/>
    <xf numFmtId="3" fontId="75" fillId="0" borderId="219" xfId="2" applyNumberFormat="1" applyBorder="1"/>
    <xf numFmtId="3" fontId="75" fillId="0" borderId="216" xfId="2" applyNumberFormat="1" applyBorder="1"/>
    <xf numFmtId="164" fontId="75" fillId="16" borderId="0" xfId="2" applyFill="1" applyBorder="1"/>
    <xf numFmtId="164" fontId="86" fillId="0" borderId="226" xfId="2" applyFont="1" applyFill="1" applyBorder="1" applyAlignment="1">
      <alignment horizontal="left" vertical="center" wrapText="1"/>
    </xf>
    <xf numFmtId="164" fontId="86" fillId="0" borderId="0" xfId="2" applyFont="1" applyFill="1" applyBorder="1" applyAlignment="1">
      <alignment horizontal="center" vertical="center" wrapText="1"/>
    </xf>
    <xf numFmtId="164" fontId="85" fillId="0" borderId="0" xfId="2" applyFont="1" applyFill="1" applyBorder="1" applyAlignment="1">
      <alignment horizontal="right"/>
    </xf>
    <xf numFmtId="164" fontId="84" fillId="21" borderId="216" xfId="2" applyFont="1" applyFill="1" applyBorder="1"/>
    <xf numFmtId="164" fontId="86" fillId="21" borderId="216" xfId="2" applyFont="1" applyFill="1" applyBorder="1" applyAlignment="1">
      <alignment horizontal="left"/>
    </xf>
    <xf numFmtId="164" fontId="86" fillId="18" borderId="216" xfId="2" applyFont="1" applyFill="1" applyBorder="1"/>
    <xf numFmtId="164" fontId="75" fillId="0" borderId="218" xfId="2" applyBorder="1"/>
    <xf numFmtId="164" fontId="84" fillId="21" borderId="215" xfId="2" applyFont="1" applyFill="1" applyBorder="1" applyAlignment="1">
      <alignment wrapText="1"/>
    </xf>
    <xf numFmtId="164" fontId="88" fillId="21" borderId="228" xfId="2" applyFont="1" applyFill="1" applyBorder="1" applyAlignment="1">
      <alignment wrapText="1"/>
    </xf>
    <xf numFmtId="164" fontId="86" fillId="21" borderId="225" xfId="2" applyFont="1" applyFill="1" applyBorder="1" applyAlignment="1">
      <alignment wrapText="1"/>
    </xf>
    <xf numFmtId="164" fontId="86" fillId="21" borderId="223" xfId="2" applyFont="1" applyFill="1" applyBorder="1" applyAlignment="1">
      <alignment wrapText="1"/>
    </xf>
    <xf numFmtId="164" fontId="88" fillId="21" borderId="223" xfId="2" applyFont="1" applyFill="1" applyBorder="1" applyAlignment="1">
      <alignment wrapText="1"/>
    </xf>
    <xf numFmtId="164" fontId="75" fillId="0" borderId="220" xfId="2" applyBorder="1"/>
    <xf numFmtId="164" fontId="75" fillId="18" borderId="228" xfId="2" applyFill="1" applyBorder="1"/>
    <xf numFmtId="164" fontId="75" fillId="18" borderId="225" xfId="2" applyFill="1" applyBorder="1"/>
    <xf numFmtId="164" fontId="75" fillId="0" borderId="224" xfId="2" applyBorder="1"/>
    <xf numFmtId="164" fontId="92" fillId="0" borderId="216" xfId="2" applyFont="1" applyBorder="1"/>
    <xf numFmtId="164" fontId="93" fillId="0" borderId="216" xfId="2" applyFont="1" applyBorder="1"/>
    <xf numFmtId="164" fontId="85" fillId="22" borderId="216" xfId="2" applyFont="1" applyFill="1" applyBorder="1" applyAlignment="1">
      <alignment horizontal="right"/>
    </xf>
    <xf numFmtId="164" fontId="91" fillId="22" borderId="216" xfId="2" applyFont="1" applyFill="1" applyBorder="1" applyAlignment="1">
      <alignment horizontal="right"/>
    </xf>
    <xf numFmtId="164" fontId="75" fillId="22" borderId="224" xfId="2" applyFill="1" applyBorder="1"/>
    <xf numFmtId="164" fontId="75" fillId="22" borderId="216" xfId="2" applyFill="1" applyBorder="1"/>
    <xf numFmtId="164" fontId="75" fillId="0" borderId="0" xfId="2" applyBorder="1" applyAlignment="1"/>
    <xf numFmtId="164" fontId="86" fillId="0" borderId="0" xfId="2" applyFont="1" applyBorder="1" applyAlignment="1">
      <alignment horizontal="center" vertical="center" wrapText="1"/>
    </xf>
    <xf numFmtId="164" fontId="85" fillId="16" borderId="0" xfId="2" applyFont="1" applyFill="1" applyBorder="1" applyAlignment="1">
      <alignment horizontal="right" wrapText="1"/>
    </xf>
    <xf numFmtId="164" fontId="91" fillId="16" borderId="0" xfId="2" applyFont="1" applyFill="1" applyBorder="1" applyAlignment="1">
      <alignment horizontal="right" wrapText="1"/>
    </xf>
    <xf numFmtId="164" fontId="75" fillId="16" borderId="0" xfId="2" applyFill="1" applyBorder="1" applyAlignment="1">
      <alignment wrapText="1"/>
    </xf>
    <xf numFmtId="164" fontId="86" fillId="21" borderId="216" xfId="2" applyFont="1" applyFill="1" applyBorder="1" applyAlignment="1">
      <alignment wrapText="1"/>
    </xf>
    <xf numFmtId="164" fontId="87" fillId="21" borderId="229" xfId="2" applyFont="1" applyFill="1" applyBorder="1" applyAlignment="1">
      <alignment wrapText="1"/>
    </xf>
    <xf numFmtId="164" fontId="88" fillId="21" borderId="224" xfId="2" applyFont="1" applyFill="1" applyBorder="1" applyAlignment="1">
      <alignment wrapText="1"/>
    </xf>
    <xf numFmtId="164" fontId="88" fillId="21" borderId="216" xfId="2" applyFont="1" applyFill="1" applyBorder="1" applyAlignment="1">
      <alignment wrapText="1"/>
    </xf>
    <xf numFmtId="164" fontId="75" fillId="22" borderId="229" xfId="2" applyFill="1" applyBorder="1"/>
    <xf numFmtId="164" fontId="75" fillId="18" borderId="223" xfId="2" applyFill="1" applyBorder="1"/>
    <xf numFmtId="164" fontId="85" fillId="22" borderId="217" xfId="2" applyFont="1" applyFill="1" applyBorder="1" applyAlignment="1">
      <alignment horizontal="right"/>
    </xf>
    <xf numFmtId="164" fontId="85" fillId="22" borderId="224" xfId="2" applyFont="1" applyFill="1" applyBorder="1" applyAlignment="1">
      <alignment horizontal="right"/>
    </xf>
    <xf numFmtId="164" fontId="75" fillId="22" borderId="219" xfId="2" applyFill="1" applyBorder="1"/>
    <xf numFmtId="164" fontId="86" fillId="0" borderId="0" xfId="2" applyFont="1" applyBorder="1" applyAlignment="1"/>
    <xf numFmtId="164" fontId="85" fillId="16" borderId="0" xfId="2" applyFont="1" applyFill="1" applyBorder="1" applyAlignment="1">
      <alignment horizontal="right"/>
    </xf>
    <xf numFmtId="164" fontId="85" fillId="16" borderId="0" xfId="2" applyFont="1" applyFill="1" applyBorder="1"/>
    <xf numFmtId="164" fontId="83" fillId="23" borderId="0" xfId="2" applyFont="1" applyFill="1"/>
    <xf numFmtId="164" fontId="94" fillId="23" borderId="0" xfId="2" applyFont="1" applyFill="1"/>
    <xf numFmtId="164" fontId="94" fillId="0" borderId="0" xfId="2" applyFont="1" applyFill="1"/>
    <xf numFmtId="164" fontId="85" fillId="0" borderId="0" xfId="2" applyFont="1"/>
    <xf numFmtId="164" fontId="84" fillId="23" borderId="214" xfId="2" applyFont="1" applyFill="1" applyBorder="1" applyAlignment="1">
      <alignment wrapText="1"/>
    </xf>
    <xf numFmtId="164" fontId="82" fillId="23" borderId="215" xfId="2" applyFont="1" applyFill="1" applyBorder="1" applyAlignment="1">
      <alignment horizontal="center" wrapText="1"/>
    </xf>
    <xf numFmtId="164" fontId="86" fillId="23" borderId="216" xfId="2" applyFont="1" applyFill="1" applyBorder="1" applyAlignment="1">
      <alignment wrapText="1"/>
    </xf>
    <xf numFmtId="164" fontId="87" fillId="23" borderId="229" xfId="2" applyFont="1" applyFill="1" applyBorder="1" applyAlignment="1">
      <alignment wrapText="1"/>
    </xf>
    <xf numFmtId="164" fontId="86" fillId="23" borderId="224" xfId="2" applyFont="1" applyFill="1" applyBorder="1" applyAlignment="1">
      <alignment wrapText="1"/>
    </xf>
    <xf numFmtId="164" fontId="75" fillId="18" borderId="229" xfId="2" applyFill="1" applyBorder="1"/>
    <xf numFmtId="164" fontId="75" fillId="18" borderId="224" xfId="2" applyFill="1" applyBorder="1"/>
    <xf numFmtId="164" fontId="75" fillId="0" borderId="229" xfId="2" applyBorder="1"/>
    <xf numFmtId="164" fontId="93" fillId="0" borderId="224" xfId="2" applyFont="1" applyBorder="1"/>
    <xf numFmtId="164" fontId="85" fillId="22" borderId="229" xfId="2" applyFont="1" applyFill="1" applyBorder="1"/>
    <xf numFmtId="164" fontId="83" fillId="24" borderId="0" xfId="2" applyFont="1" applyFill="1"/>
    <xf numFmtId="164" fontId="75" fillId="24" borderId="0" xfId="2" applyFill="1"/>
    <xf numFmtId="164" fontId="75" fillId="16" borderId="0" xfId="2" applyFill="1"/>
    <xf numFmtId="164" fontId="83" fillId="0" borderId="0" xfId="2" applyFont="1" applyFill="1"/>
    <xf numFmtId="164" fontId="91" fillId="16" borderId="0" xfId="2" applyFont="1" applyFill="1" applyBorder="1"/>
    <xf numFmtId="164" fontId="86" fillId="25" borderId="219" xfId="2" applyFont="1" applyFill="1" applyBorder="1" applyAlignment="1">
      <alignment wrapText="1"/>
    </xf>
    <xf numFmtId="164" fontId="86" fillId="25" borderId="216" xfId="2" applyFont="1" applyFill="1" applyBorder="1" applyAlignment="1">
      <alignment wrapText="1"/>
    </xf>
    <xf numFmtId="164" fontId="88" fillId="25" borderId="228" xfId="2" applyFont="1" applyFill="1" applyBorder="1" applyAlignment="1">
      <alignment wrapText="1"/>
    </xf>
    <xf numFmtId="164" fontId="97" fillId="25" borderId="225" xfId="2" applyFont="1" applyFill="1" applyBorder="1" applyAlignment="1">
      <alignment wrapText="1"/>
    </xf>
    <xf numFmtId="164" fontId="86" fillId="25" borderId="225" xfId="2" applyFont="1" applyFill="1" applyBorder="1" applyAlignment="1">
      <alignment wrapText="1"/>
    </xf>
    <xf numFmtId="164" fontId="86" fillId="25" borderId="223" xfId="2" applyFont="1" applyFill="1" applyBorder="1" applyAlignment="1">
      <alignment wrapText="1"/>
    </xf>
    <xf numFmtId="164" fontId="88" fillId="25" borderId="223" xfId="2" applyFont="1" applyFill="1" applyBorder="1" applyAlignment="1">
      <alignment wrapText="1"/>
    </xf>
    <xf numFmtId="164" fontId="91" fillId="18" borderId="224" xfId="2" applyFont="1" applyFill="1" applyBorder="1"/>
    <xf numFmtId="164" fontId="75" fillId="4" borderId="216" xfId="2" applyFill="1" applyBorder="1"/>
    <xf numFmtId="164" fontId="91" fillId="0" borderId="224" xfId="2" applyFont="1" applyBorder="1"/>
    <xf numFmtId="164" fontId="91" fillId="22" borderId="224" xfId="2" applyFont="1" applyFill="1" applyBorder="1"/>
    <xf numFmtId="164" fontId="91" fillId="22" borderId="216" xfId="2" applyFont="1" applyFill="1" applyBorder="1"/>
    <xf numFmtId="164" fontId="75" fillId="0" borderId="0" xfId="2" applyBorder="1" applyAlignment="1">
      <alignment horizontal="left" vertical="center" wrapText="1"/>
    </xf>
    <xf numFmtId="164" fontId="85" fillId="0" borderId="0" xfId="2" applyFont="1" applyBorder="1" applyAlignment="1">
      <alignment horizontal="right"/>
    </xf>
    <xf numFmtId="164" fontId="91" fillId="0" borderId="0" xfId="2" applyFont="1" applyBorder="1"/>
    <xf numFmtId="164" fontId="87" fillId="0" borderId="0" xfId="2" applyFont="1" applyFill="1"/>
    <xf numFmtId="164" fontId="86" fillId="25" borderId="215" xfId="2" applyFont="1" applyFill="1" applyBorder="1" applyAlignment="1">
      <alignment horizontal="center" wrapText="1"/>
    </xf>
    <xf numFmtId="164" fontId="86" fillId="25" borderId="225" xfId="2" applyFont="1" applyFill="1" applyBorder="1" applyAlignment="1">
      <alignment horizontal="center" wrapText="1"/>
    </xf>
    <xf numFmtId="164" fontId="87" fillId="25" borderId="227" xfId="2" applyFont="1" applyFill="1" applyBorder="1" applyAlignment="1">
      <alignment wrapText="1"/>
    </xf>
    <xf numFmtId="164" fontId="75" fillId="26" borderId="219" xfId="2" applyFill="1" applyBorder="1"/>
    <xf numFmtId="164" fontId="75" fillId="26" borderId="216" xfId="2" applyFill="1" applyBorder="1"/>
    <xf numFmtId="164" fontId="91" fillId="27" borderId="227" xfId="2" applyFont="1" applyFill="1" applyBorder="1"/>
    <xf numFmtId="164" fontId="91" fillId="22" borderId="227" xfId="2" applyFont="1" applyFill="1" applyBorder="1"/>
    <xf numFmtId="164" fontId="85" fillId="22" borderId="227" xfId="2" applyFont="1" applyFill="1" applyBorder="1"/>
    <xf numFmtId="164" fontId="86" fillId="0" borderId="0" xfId="2" applyFont="1" applyFill="1" applyBorder="1" applyAlignment="1">
      <alignment horizontal="left" vertical="center" wrapText="1"/>
    </xf>
    <xf numFmtId="164" fontId="85" fillId="0" borderId="0" xfId="2" applyFont="1" applyFill="1" applyBorder="1"/>
    <xf numFmtId="164" fontId="91" fillId="0" borderId="0" xfId="2" applyFont="1" applyFill="1" applyBorder="1"/>
    <xf numFmtId="164" fontId="83" fillId="28" borderId="0" xfId="2" applyFont="1" applyFill="1"/>
    <xf numFmtId="164" fontId="75" fillId="28" borderId="0" xfId="2" applyFill="1"/>
    <xf numFmtId="164" fontId="86" fillId="0" borderId="0" xfId="2" applyFont="1" applyBorder="1" applyAlignment="1">
      <alignment horizontal="left"/>
    </xf>
    <xf numFmtId="164" fontId="87" fillId="28" borderId="223" xfId="2" applyFont="1" applyFill="1" applyBorder="1" applyAlignment="1">
      <alignment wrapText="1"/>
    </xf>
    <xf numFmtId="164" fontId="88" fillId="28" borderId="223" xfId="2" applyFont="1" applyFill="1" applyBorder="1" applyAlignment="1">
      <alignment wrapText="1"/>
    </xf>
    <xf numFmtId="164" fontId="87" fillId="28" borderId="225" xfId="2" applyFont="1" applyFill="1" applyBorder="1" applyAlignment="1">
      <alignment wrapText="1"/>
    </xf>
    <xf numFmtId="164" fontId="86" fillId="28" borderId="223" xfId="2" applyFont="1" applyFill="1" applyBorder="1" applyAlignment="1">
      <alignment wrapText="1"/>
    </xf>
    <xf numFmtId="164" fontId="97" fillId="28" borderId="225" xfId="2" applyFont="1" applyFill="1" applyBorder="1" applyAlignment="1">
      <alignment wrapText="1"/>
    </xf>
    <xf numFmtId="164" fontId="86" fillId="28" borderId="230" xfId="2" applyFont="1" applyFill="1" applyBorder="1" applyAlignment="1">
      <alignment wrapText="1"/>
    </xf>
    <xf numFmtId="164" fontId="91" fillId="18" borderId="219" xfId="2" applyFont="1" applyFill="1" applyBorder="1"/>
    <xf numFmtId="164" fontId="91" fillId="18" borderId="229" xfId="2" applyFont="1" applyFill="1" applyBorder="1"/>
    <xf numFmtId="164" fontId="91" fillId="0" borderId="219" xfId="2" applyFont="1" applyBorder="1"/>
    <xf numFmtId="164" fontId="91" fillId="0" borderId="229" xfId="2" applyFont="1" applyBorder="1"/>
    <xf numFmtId="164" fontId="91" fillId="22" borderId="219" xfId="2" applyFont="1" applyFill="1" applyBorder="1"/>
    <xf numFmtId="164" fontId="91" fillId="22" borderId="229" xfId="2" applyFont="1" applyFill="1" applyBorder="1"/>
    <xf numFmtId="164" fontId="86" fillId="0" borderId="0" xfId="2" applyFont="1"/>
    <xf numFmtId="164" fontId="86" fillId="28" borderId="219" xfId="2" applyFont="1" applyFill="1" applyBorder="1" applyAlignment="1">
      <alignment wrapText="1"/>
    </xf>
    <xf numFmtId="164" fontId="86" fillId="28" borderId="216" xfId="2" applyFont="1" applyFill="1" applyBorder="1" applyAlignment="1">
      <alignment wrapText="1"/>
    </xf>
    <xf numFmtId="164" fontId="86" fillId="28" borderId="217" xfId="2" applyFont="1" applyFill="1" applyBorder="1" applyAlignment="1">
      <alignment wrapText="1"/>
    </xf>
    <xf numFmtId="164" fontId="87" fillId="28" borderId="216" xfId="2" applyFont="1" applyFill="1" applyBorder="1" applyAlignment="1">
      <alignment wrapText="1"/>
    </xf>
    <xf numFmtId="164" fontId="91" fillId="18" borderId="227" xfId="2" applyFont="1" applyFill="1" applyBorder="1"/>
    <xf numFmtId="164" fontId="91" fillId="0" borderId="227" xfId="2" applyFont="1" applyBorder="1"/>
    <xf numFmtId="164" fontId="85" fillId="22" borderId="227" xfId="2" applyFont="1" applyFill="1" applyBorder="1" applyAlignment="1">
      <alignment horizontal="right"/>
    </xf>
    <xf numFmtId="164" fontId="85" fillId="22" borderId="216" xfId="2" applyFont="1" applyFill="1" applyBorder="1"/>
    <xf numFmtId="164" fontId="85" fillId="16" borderId="220" xfId="2" applyFont="1" applyFill="1" applyBorder="1" applyAlignment="1">
      <alignment horizontal="right"/>
    </xf>
    <xf numFmtId="164" fontId="91" fillId="16" borderId="226" xfId="2" applyFont="1" applyFill="1" applyBorder="1"/>
    <xf numFmtId="164" fontId="75" fillId="0" borderId="231" xfId="2" applyBorder="1"/>
    <xf numFmtId="164" fontId="84" fillId="28" borderId="217" xfId="2" applyFont="1" applyFill="1" applyBorder="1" applyAlignment="1">
      <alignment horizontal="left" wrapText="1"/>
    </xf>
    <xf numFmtId="164" fontId="86" fillId="28" borderId="216" xfId="2" applyFont="1" applyFill="1" applyBorder="1" applyAlignment="1">
      <alignment horizontal="center" vertical="center" wrapText="1"/>
    </xf>
    <xf numFmtId="164" fontId="85" fillId="28" borderId="232" xfId="2" applyFont="1" applyFill="1" applyBorder="1" applyAlignment="1">
      <alignment horizontal="right"/>
    </xf>
    <xf numFmtId="164" fontId="91" fillId="28" borderId="216" xfId="2" applyFont="1" applyFill="1" applyBorder="1" applyAlignment="1">
      <alignment wrapText="1"/>
    </xf>
    <xf numFmtId="164" fontId="91" fillId="28" borderId="226" xfId="2" applyFont="1" applyFill="1" applyBorder="1" applyAlignment="1">
      <alignment wrapText="1"/>
    </xf>
    <xf numFmtId="164" fontId="85" fillId="28" borderId="216" xfId="2" applyFont="1" applyFill="1" applyBorder="1" applyAlignment="1">
      <alignment wrapText="1"/>
    </xf>
    <xf numFmtId="164" fontId="85" fillId="18" borderId="219" xfId="2" applyFont="1" applyFill="1" applyBorder="1" applyAlignment="1">
      <alignment horizontal="right"/>
    </xf>
    <xf numFmtId="164" fontId="85" fillId="18" borderId="218" xfId="2" applyFont="1" applyFill="1" applyBorder="1"/>
    <xf numFmtId="164" fontId="85" fillId="16" borderId="219" xfId="2" applyFont="1" applyFill="1" applyBorder="1" applyAlignment="1">
      <alignment horizontal="right"/>
    </xf>
    <xf numFmtId="164" fontId="91" fillId="16" borderId="216" xfId="2" applyFont="1" applyFill="1" applyBorder="1"/>
    <xf numFmtId="164" fontId="85" fillId="22" borderId="218" xfId="2" applyFont="1" applyFill="1" applyBorder="1"/>
    <xf numFmtId="164" fontId="85" fillId="16" borderId="232" xfId="2" applyFont="1" applyFill="1" applyBorder="1" applyAlignment="1">
      <alignment horizontal="right"/>
    </xf>
    <xf numFmtId="164" fontId="91" fillId="16" borderId="232" xfId="2" applyFont="1" applyFill="1" applyBorder="1"/>
    <xf numFmtId="164" fontId="85" fillId="22" borderId="226" xfId="2" applyFont="1" applyFill="1" applyBorder="1" applyAlignment="1">
      <alignment horizontal="right"/>
    </xf>
    <xf numFmtId="164" fontId="91" fillId="22" borderId="217" xfId="2" applyFont="1" applyFill="1" applyBorder="1"/>
    <xf numFmtId="164" fontId="86" fillId="0" borderId="0" xfId="2" applyFont="1" applyFill="1" applyBorder="1" applyAlignment="1">
      <alignment horizontal="left"/>
    </xf>
    <xf numFmtId="164" fontId="83" fillId="29" borderId="0" xfId="2" applyFont="1" applyFill="1"/>
    <xf numFmtId="164" fontId="75" fillId="29" borderId="0" xfId="2" applyFill="1"/>
    <xf numFmtId="164" fontId="83" fillId="0" borderId="0" xfId="2" applyFont="1"/>
    <xf numFmtId="164" fontId="86" fillId="29" borderId="229" xfId="2" applyFont="1" applyFill="1" applyBorder="1" applyAlignment="1">
      <alignment wrapText="1"/>
    </xf>
    <xf numFmtId="164" fontId="86" fillId="29" borderId="223" xfId="2" applyFont="1" applyFill="1" applyBorder="1" applyAlignment="1">
      <alignment wrapText="1"/>
    </xf>
    <xf numFmtId="164" fontId="86" fillId="29" borderId="225" xfId="2" applyFont="1" applyFill="1" applyBorder="1" applyAlignment="1">
      <alignment wrapText="1"/>
    </xf>
    <xf numFmtId="164" fontId="87" fillId="29" borderId="216" xfId="2" applyFont="1" applyFill="1" applyBorder="1" applyAlignment="1">
      <alignment wrapText="1"/>
    </xf>
    <xf numFmtId="164" fontId="87" fillId="29" borderId="230" xfId="2" applyFont="1" applyFill="1" applyBorder="1" applyAlignment="1">
      <alignment wrapText="1"/>
    </xf>
    <xf numFmtId="164" fontId="86" fillId="29" borderId="224" xfId="2" applyFont="1" applyFill="1" applyBorder="1" applyAlignment="1">
      <alignment wrapText="1"/>
    </xf>
    <xf numFmtId="164" fontId="86" fillId="29" borderId="216" xfId="2" applyFont="1" applyFill="1" applyBorder="1" applyAlignment="1">
      <alignment wrapText="1"/>
    </xf>
    <xf numFmtId="164" fontId="75" fillId="0" borderId="229" xfId="2" applyFill="1" applyBorder="1"/>
    <xf numFmtId="164" fontId="87" fillId="29" borderId="227" xfId="2" applyFont="1" applyFill="1" applyBorder="1" applyAlignment="1">
      <alignment wrapText="1"/>
    </xf>
    <xf numFmtId="164" fontId="86" fillId="29" borderId="219" xfId="2" applyFont="1" applyFill="1" applyBorder="1" applyAlignment="1">
      <alignment wrapText="1"/>
    </xf>
    <xf numFmtId="164" fontId="91" fillId="18" borderId="225" xfId="2" applyFont="1" applyFill="1" applyBorder="1"/>
    <xf numFmtId="164" fontId="75" fillId="22" borderId="233" xfId="2" applyFill="1" applyBorder="1"/>
    <xf numFmtId="164" fontId="75" fillId="22" borderId="227" xfId="2" applyFill="1" applyBorder="1"/>
    <xf numFmtId="164" fontId="83" fillId="30" borderId="0" xfId="2" applyFont="1" applyFill="1"/>
    <xf numFmtId="164" fontId="75" fillId="30" borderId="0" xfId="2" applyFill="1"/>
    <xf numFmtId="164" fontId="85" fillId="30" borderId="0" xfId="2" applyFont="1" applyFill="1"/>
    <xf numFmtId="164" fontId="84" fillId="30" borderId="214" xfId="2" applyFont="1" applyFill="1" applyBorder="1" applyAlignment="1">
      <alignment wrapText="1"/>
    </xf>
    <xf numFmtId="164" fontId="84" fillId="30" borderId="216" xfId="2" applyFont="1" applyFill="1" applyBorder="1" applyAlignment="1">
      <alignment horizontal="center" wrapText="1"/>
    </xf>
    <xf numFmtId="164" fontId="86" fillId="30" borderId="216" xfId="2" applyFont="1" applyFill="1" applyBorder="1" applyAlignment="1">
      <alignment wrapText="1"/>
    </xf>
    <xf numFmtId="164" fontId="86" fillId="30" borderId="219" xfId="2" applyFont="1" applyFill="1" applyBorder="1" applyAlignment="1">
      <alignment wrapText="1"/>
    </xf>
    <xf numFmtId="164" fontId="86" fillId="30" borderId="226" xfId="2" applyFont="1" applyFill="1" applyBorder="1" applyAlignment="1">
      <alignment wrapText="1"/>
    </xf>
    <xf numFmtId="164" fontId="75" fillId="18" borderId="226" xfId="2" applyFill="1" applyBorder="1"/>
    <xf numFmtId="164" fontId="75" fillId="0" borderId="226" xfId="2" applyBorder="1"/>
    <xf numFmtId="164" fontId="75" fillId="0" borderId="234" xfId="2" applyBorder="1"/>
    <xf numFmtId="164" fontId="75" fillId="0" borderId="215" xfId="2" applyBorder="1"/>
    <xf numFmtId="164" fontId="75" fillId="0" borderId="232" xfId="2" applyBorder="1"/>
    <xf numFmtId="164" fontId="84" fillId="25" borderId="214" xfId="2" applyFont="1" applyFill="1" applyBorder="1" applyAlignment="1">
      <alignment horizontal="left" vertical="center" wrapText="1"/>
    </xf>
    <xf numFmtId="164" fontId="84" fillId="25" borderId="216" xfId="2" applyFont="1" applyFill="1" applyBorder="1" applyAlignment="1">
      <alignment wrapText="1"/>
    </xf>
    <xf numFmtId="165" fontId="91" fillId="0" borderId="216" xfId="2" applyNumberFormat="1" applyFont="1" applyBorder="1"/>
    <xf numFmtId="164" fontId="75" fillId="0" borderId="223" xfId="2" applyBorder="1"/>
    <xf numFmtId="165" fontId="85" fillId="19" borderId="216" xfId="2" applyNumberFormat="1" applyFont="1" applyFill="1" applyBorder="1" applyAlignment="1">
      <alignment horizontal="right"/>
    </xf>
    <xf numFmtId="0" fontId="26" fillId="12" borderId="50" xfId="0" applyFont="1" applyFill="1" applyBorder="1" applyAlignment="1">
      <alignment horizontal="center" wrapText="1"/>
    </xf>
    <xf numFmtId="0" fontId="0" fillId="0" borderId="28" xfId="0" applyBorder="1"/>
    <xf numFmtId="0" fontId="0" fillId="0" borderId="43" xfId="0" applyBorder="1"/>
    <xf numFmtId="0" fontId="26" fillId="12" borderId="190" xfId="0" applyFont="1" applyFill="1" applyBorder="1" applyAlignment="1">
      <alignment horizontal="center" wrapText="1"/>
    </xf>
    <xf numFmtId="164" fontId="91" fillId="0" borderId="216" xfId="2" applyFont="1" applyFill="1" applyBorder="1"/>
    <xf numFmtId="0" fontId="26" fillId="12" borderId="50" xfId="0" applyFont="1" applyFill="1" applyBorder="1" applyAlignment="1">
      <alignment horizontal="center" wrapText="1"/>
    </xf>
    <xf numFmtId="0" fontId="0" fillId="0" borderId="28" xfId="0" applyBorder="1"/>
    <xf numFmtId="0" fontId="0" fillId="0" borderId="43" xfId="0" applyBorder="1"/>
    <xf numFmtId="0" fontId="26" fillId="12" borderId="190" xfId="0" applyFont="1" applyFill="1" applyBorder="1" applyAlignment="1">
      <alignment horizontal="center" wrapText="1"/>
    </xf>
    <xf numFmtId="0" fontId="0" fillId="2" borderId="24" xfId="0" applyFill="1" applyBorder="1" applyAlignment="1">
      <alignment horizontal="right"/>
    </xf>
    <xf numFmtId="0" fontId="12" fillId="3" borderId="235" xfId="0" applyFont="1" applyFill="1" applyBorder="1" applyAlignment="1">
      <alignment wrapText="1"/>
    </xf>
    <xf numFmtId="3" fontId="0" fillId="0" borderId="23" xfId="0" applyNumberFormat="1" applyBorder="1" applyAlignment="1">
      <alignment horizontal="right"/>
    </xf>
    <xf numFmtId="3" fontId="0" fillId="0" borderId="21" xfId="0" applyNumberFormat="1" applyBorder="1" applyAlignment="1">
      <alignment horizontal="right"/>
    </xf>
    <xf numFmtId="3" fontId="21" fillId="0" borderId="20" xfId="0" applyNumberFormat="1" applyFont="1" applyBorder="1"/>
    <xf numFmtId="3" fontId="21" fillId="0" borderId="19" xfId="0" applyNumberFormat="1" applyFont="1" applyBorder="1"/>
    <xf numFmtId="0" fontId="0" fillId="0" borderId="20" xfId="0" applyBorder="1" applyAlignment="1">
      <alignment horizontal="right"/>
    </xf>
    <xf numFmtId="0" fontId="31" fillId="13" borderId="236" xfId="0" applyFont="1" applyFill="1" applyBorder="1" applyAlignment="1">
      <alignment horizontal="right"/>
    </xf>
    <xf numFmtId="0" fontId="0" fillId="0" borderId="235" xfId="0" applyBorder="1"/>
    <xf numFmtId="0" fontId="0" fillId="0" borderId="21" xfId="0" applyBorder="1" applyAlignment="1">
      <alignment horizontal="right"/>
    </xf>
    <xf numFmtId="0" fontId="26" fillId="12" borderId="50" xfId="0" applyFont="1" applyFill="1" applyBorder="1" applyAlignment="1">
      <alignment horizontal="center" wrapText="1"/>
    </xf>
    <xf numFmtId="0" fontId="0" fillId="0" borderId="28" xfId="0" applyBorder="1"/>
    <xf numFmtId="0" fontId="0" fillId="0" borderId="43" xfId="0" applyBorder="1"/>
    <xf numFmtId="0" fontId="26" fillId="12" borderId="190" xfId="0" applyFont="1" applyFill="1" applyBorder="1" applyAlignment="1">
      <alignment horizontal="center" wrapText="1"/>
    </xf>
    <xf numFmtId="0" fontId="12" fillId="3" borderId="238" xfId="0" applyFont="1" applyFill="1" applyBorder="1" applyAlignment="1">
      <alignment wrapText="1"/>
    </xf>
    <xf numFmtId="0" fontId="1" fillId="0" borderId="23" xfId="0" applyFont="1" applyBorder="1"/>
    <xf numFmtId="0" fontId="31" fillId="13" borderId="239" xfId="0" applyFont="1" applyFill="1" applyBorder="1" applyAlignment="1">
      <alignment horizontal="right"/>
    </xf>
    <xf numFmtId="0" fontId="0" fillId="0" borderId="238" xfId="0" applyBorder="1"/>
    <xf numFmtId="0" fontId="38" fillId="3" borderId="20" xfId="0" applyFont="1" applyFill="1" applyBorder="1" applyAlignment="1">
      <alignment horizontal="center" wrapText="1"/>
    </xf>
    <xf numFmtId="0" fontId="38" fillId="3" borderId="21" xfId="0" applyFont="1" applyFill="1" applyBorder="1" applyAlignment="1">
      <alignment horizontal="center" wrapText="1"/>
    </xf>
    <xf numFmtId="0" fontId="105" fillId="3" borderId="22" xfId="0" applyFont="1" applyFill="1" applyBorder="1" applyAlignment="1">
      <alignment horizontal="center" wrapText="1"/>
    </xf>
    <xf numFmtId="0" fontId="106" fillId="3" borderId="23" xfId="0" applyFont="1" applyFill="1" applyBorder="1" applyAlignment="1">
      <alignment wrapText="1"/>
    </xf>
    <xf numFmtId="0" fontId="38" fillId="3" borderId="21" xfId="0" applyFont="1" applyFill="1" applyBorder="1" applyAlignment="1">
      <alignment wrapText="1"/>
    </xf>
    <xf numFmtId="0" fontId="106" fillId="3" borderId="21" xfId="0" applyFont="1" applyFill="1" applyBorder="1" applyAlignment="1">
      <alignment wrapText="1"/>
    </xf>
    <xf numFmtId="0" fontId="21" fillId="5" borderId="20" xfId="0" applyFont="1" applyFill="1" applyBorder="1"/>
    <xf numFmtId="0" fontId="21" fillId="5" borderId="21" xfId="0" applyFont="1" applyFill="1" applyBorder="1"/>
    <xf numFmtId="0" fontId="21" fillId="6" borderId="22" xfId="0" applyFont="1" applyFill="1" applyBorder="1"/>
    <xf numFmtId="0" fontId="21" fillId="5" borderId="23" xfId="0" applyFont="1" applyFill="1" applyBorder="1"/>
    <xf numFmtId="0" fontId="0" fillId="0" borderId="0" xfId="0" applyFont="1"/>
    <xf numFmtId="0" fontId="0" fillId="9" borderId="62" xfId="0" applyFont="1" applyFill="1" applyBorder="1"/>
    <xf numFmtId="0" fontId="22" fillId="0" borderId="20" xfId="0" applyFont="1" applyBorder="1"/>
    <xf numFmtId="0" fontId="48" fillId="0" borderId="19" xfId="0" applyFont="1" applyBorder="1"/>
    <xf numFmtId="0" fontId="31" fillId="13" borderId="240" xfId="0" applyFont="1" applyFill="1" applyBorder="1" applyAlignment="1">
      <alignment horizontal="right"/>
    </xf>
    <xf numFmtId="0" fontId="0" fillId="0" borderId="62" xfId="0" applyFont="1" applyFill="1" applyBorder="1"/>
    <xf numFmtId="4" fontId="44" fillId="0" borderId="0" xfId="0" applyNumberFormat="1" applyFont="1"/>
    <xf numFmtId="4" fontId="14" fillId="0" borderId="21" xfId="0" applyNumberFormat="1" applyFont="1" applyBorder="1"/>
    <xf numFmtId="4" fontId="48" fillId="0" borderId="21" xfId="0" applyNumberFormat="1" applyFont="1" applyBorder="1"/>
    <xf numFmtId="4" fontId="44" fillId="7" borderId="200" xfId="0" applyNumberFormat="1" applyFont="1" applyFill="1" applyBorder="1"/>
    <xf numFmtId="0" fontId="13" fillId="6" borderId="30" xfId="0" applyFont="1" applyFill="1" applyBorder="1" applyAlignment="1">
      <alignment horizontal="right"/>
    </xf>
    <xf numFmtId="0" fontId="5" fillId="2" borderId="241" xfId="0" applyFont="1" applyFill="1" applyBorder="1" applyAlignment="1">
      <alignment horizontal="centerContinuous"/>
    </xf>
    <xf numFmtId="0" fontId="0" fillId="2" borderId="242" xfId="0" applyFill="1" applyBorder="1" applyAlignment="1">
      <alignment horizontal="centerContinuous"/>
    </xf>
    <xf numFmtId="0" fontId="27" fillId="8" borderId="245" xfId="0" applyFont="1" applyFill="1" applyBorder="1" applyAlignment="1">
      <alignment horizontal="centerContinuous" wrapText="1"/>
    </xf>
    <xf numFmtId="0" fontId="26" fillId="8" borderId="246" xfId="0" applyFont="1" applyFill="1" applyBorder="1" applyAlignment="1">
      <alignment horizontal="centerContinuous" wrapText="1"/>
    </xf>
    <xf numFmtId="0" fontId="26" fillId="8" borderId="247" xfId="0" applyFont="1" applyFill="1" applyBorder="1" applyAlignment="1">
      <alignment horizontal="centerContinuous" wrapText="1"/>
    </xf>
    <xf numFmtId="0" fontId="12" fillId="8" borderId="248" xfId="0" applyFont="1" applyFill="1" applyBorder="1"/>
    <xf numFmtId="0" fontId="12" fillId="8" borderId="249" xfId="0" applyFont="1" applyFill="1" applyBorder="1" applyAlignment="1">
      <alignment horizontal="center" wrapText="1"/>
    </xf>
    <xf numFmtId="0" fontId="12" fillId="10" borderId="248" xfId="0" applyFont="1" applyFill="1" applyBorder="1" applyAlignment="1">
      <alignment wrapText="1"/>
    </xf>
    <xf numFmtId="0" fontId="34" fillId="10" borderId="249" xfId="0" applyFont="1" applyFill="1" applyBorder="1" applyAlignment="1">
      <alignment horizontal="center" wrapText="1"/>
    </xf>
    <xf numFmtId="0" fontId="27" fillId="12" borderId="246" xfId="0" applyFont="1" applyFill="1" applyBorder="1" applyAlignment="1">
      <alignment horizontal="centerContinuous" wrapText="1"/>
    </xf>
    <xf numFmtId="0" fontId="26" fillId="12" borderId="251" xfId="0" applyFont="1" applyFill="1" applyBorder="1" applyAlignment="1">
      <alignment horizontal="center" wrapText="1"/>
    </xf>
    <xf numFmtId="0" fontId="26" fillId="12" borderId="246" xfId="0" applyFont="1" applyFill="1" applyBorder="1" applyAlignment="1">
      <alignment horizontal="centerContinuous" wrapText="1"/>
    </xf>
    <xf numFmtId="0" fontId="26" fillId="13" borderId="252" xfId="0" applyFont="1" applyFill="1" applyBorder="1" applyAlignment="1">
      <alignment horizontal="centerContinuous" wrapText="1"/>
    </xf>
    <xf numFmtId="0" fontId="26" fillId="13" borderId="253" xfId="0" applyFont="1" applyFill="1" applyBorder="1" applyAlignment="1">
      <alignment horizontal="centerContinuous" wrapText="1"/>
    </xf>
    <xf numFmtId="0" fontId="26" fillId="13" borderId="254" xfId="0" applyFont="1" applyFill="1" applyBorder="1" applyAlignment="1">
      <alignment horizontal="centerContinuous" wrapText="1"/>
    </xf>
    <xf numFmtId="0" fontId="26" fillId="13" borderId="246" xfId="0" applyFont="1" applyFill="1" applyBorder="1" applyAlignment="1">
      <alignment horizontal="centerContinuous" wrapText="1"/>
    </xf>
    <xf numFmtId="0" fontId="0" fillId="4" borderId="257" xfId="0" applyFont="1" applyFill="1" applyBorder="1"/>
    <xf numFmtId="0" fontId="31" fillId="13" borderId="258" xfId="0" applyFont="1" applyFill="1" applyBorder="1" applyAlignment="1">
      <alignment horizontal="right"/>
    </xf>
    <xf numFmtId="0" fontId="0" fillId="13" borderId="246" xfId="0" applyFont="1" applyFill="1" applyBorder="1" applyAlignment="1">
      <alignment wrapText="1"/>
    </xf>
    <xf numFmtId="0" fontId="26" fillId="14" borderId="246" xfId="0" applyFont="1" applyFill="1" applyBorder="1" applyAlignment="1">
      <alignment horizontal="centerContinuous" wrapText="1"/>
    </xf>
    <xf numFmtId="0" fontId="12" fillId="15" borderId="248" xfId="0" applyFont="1" applyFill="1" applyBorder="1" applyAlignment="1">
      <alignment wrapText="1"/>
    </xf>
    <xf numFmtId="0" fontId="15" fillId="15" borderId="246" xfId="0" applyFont="1" applyFill="1" applyBorder="1" applyAlignment="1">
      <alignment wrapText="1"/>
    </xf>
    <xf numFmtId="0" fontId="12" fillId="12" borderId="248" xfId="0" applyFont="1" applyFill="1" applyBorder="1" applyAlignment="1">
      <alignment horizontal="left" vertical="center" wrapText="1"/>
    </xf>
    <xf numFmtId="0" fontId="24" fillId="0" borderId="18" xfId="0" applyFont="1" applyFill="1" applyBorder="1"/>
    <xf numFmtId="4" fontId="1" fillId="0" borderId="0" xfId="0" applyNumberFormat="1" applyFont="1"/>
    <xf numFmtId="0" fontId="26" fillId="12" borderId="50" xfId="0" applyFont="1" applyFill="1" applyBorder="1" applyAlignment="1">
      <alignment horizontal="center" wrapText="1"/>
    </xf>
    <xf numFmtId="0" fontId="0" fillId="0" borderId="28" xfId="0" applyBorder="1"/>
    <xf numFmtId="0" fontId="0" fillId="0" borderId="43" xfId="0" applyBorder="1"/>
    <xf numFmtId="0" fontId="0" fillId="0" borderId="40" xfId="0" applyBorder="1"/>
    <xf numFmtId="0" fontId="26" fillId="12" borderId="251" xfId="0" applyFont="1" applyFill="1" applyBorder="1" applyAlignment="1">
      <alignment horizontal="center" wrapText="1"/>
    </xf>
    <xf numFmtId="0" fontId="26" fillId="12" borderId="50" xfId="0" applyFont="1" applyFill="1" applyBorder="1" applyAlignment="1">
      <alignment horizontal="center" wrapText="1"/>
    </xf>
    <xf numFmtId="0" fontId="0" fillId="0" borderId="28" xfId="0" applyBorder="1"/>
    <xf numFmtId="0" fontId="0" fillId="0" borderId="43" xfId="0" applyBorder="1"/>
    <xf numFmtId="0" fontId="5" fillId="2" borderId="259" xfId="0" applyFont="1" applyFill="1" applyBorder="1" applyAlignment="1">
      <alignment horizontal="centerContinuous"/>
    </xf>
    <xf numFmtId="0" fontId="0" fillId="2" borderId="260" xfId="0" applyFill="1" applyBorder="1" applyAlignment="1">
      <alignment horizontal="centerContinuous"/>
    </xf>
    <xf numFmtId="0" fontId="12" fillId="3" borderId="248" xfId="0" applyFont="1" applyFill="1" applyBorder="1" applyAlignment="1">
      <alignment wrapText="1"/>
    </xf>
    <xf numFmtId="0" fontId="12" fillId="3" borderId="249" xfId="0" applyFont="1" applyFill="1" applyBorder="1" applyAlignment="1">
      <alignment wrapText="1"/>
    </xf>
    <xf numFmtId="0" fontId="12" fillId="3" borderId="18" xfId="0" applyFont="1" applyFill="1" applyBorder="1" applyAlignment="1">
      <alignment wrapText="1"/>
    </xf>
    <xf numFmtId="0" fontId="23" fillId="8" borderId="15" xfId="0" applyFont="1" applyFill="1" applyBorder="1" applyAlignment="1">
      <alignment wrapText="1"/>
    </xf>
    <xf numFmtId="0" fontId="15" fillId="0" borderId="257" xfId="0" applyFont="1" applyFill="1" applyBorder="1" applyAlignment="1">
      <alignment horizontal="left" vertical="center" wrapText="1"/>
    </xf>
    <xf numFmtId="0" fontId="12" fillId="8" borderId="15" xfId="0" applyFont="1" applyFill="1" applyBorder="1" applyAlignment="1">
      <alignment wrapText="1"/>
    </xf>
    <xf numFmtId="0" fontId="12" fillId="8" borderId="249" xfId="0" applyFont="1" applyFill="1" applyBorder="1" applyAlignment="1">
      <alignment wrapText="1"/>
    </xf>
    <xf numFmtId="0" fontId="12" fillId="8" borderId="53" xfId="0" applyFont="1" applyFill="1" applyBorder="1" applyAlignment="1">
      <alignment wrapText="1"/>
    </xf>
    <xf numFmtId="0" fontId="34" fillId="10" borderId="249" xfId="0" applyFont="1" applyFill="1" applyBorder="1" applyAlignment="1">
      <alignment wrapText="1"/>
    </xf>
    <xf numFmtId="0" fontId="29" fillId="13" borderId="15" xfId="0" applyFont="1" applyFill="1" applyBorder="1" applyAlignment="1">
      <alignment horizontal="left" vertical="center" wrapText="1"/>
    </xf>
    <xf numFmtId="0" fontId="31" fillId="13" borderId="264" xfId="0" applyFont="1" applyFill="1" applyBorder="1" applyAlignment="1">
      <alignment horizontal="right"/>
    </xf>
    <xf numFmtId="0" fontId="31" fillId="4" borderId="81" xfId="0" applyFont="1" applyFill="1" applyBorder="1"/>
    <xf numFmtId="0" fontId="0" fillId="0" borderId="80" xfId="0" applyBorder="1"/>
    <xf numFmtId="0" fontId="31" fillId="4" borderId="80" xfId="0" applyFont="1" applyFill="1" applyBorder="1"/>
    <xf numFmtId="0" fontId="0" fillId="0" borderId="267" xfId="0" applyBorder="1"/>
    <xf numFmtId="0" fontId="31" fillId="4" borderId="267" xfId="0" applyFont="1" applyFill="1" applyBorder="1"/>
    <xf numFmtId="0" fontId="0" fillId="0" borderId="81" xfId="0" applyBorder="1"/>
    <xf numFmtId="0" fontId="0" fillId="9" borderId="76" xfId="0" applyFont="1" applyFill="1" applyBorder="1"/>
    <xf numFmtId="0" fontId="31" fillId="9" borderId="85" xfId="0" applyFont="1" applyFill="1" applyBorder="1"/>
    <xf numFmtId="0" fontId="0" fillId="9" borderId="269" xfId="0" applyFill="1" applyBorder="1"/>
    <xf numFmtId="0" fontId="12" fillId="15" borderId="15" xfId="0" applyFont="1" applyFill="1" applyBorder="1" applyAlignment="1">
      <alignment wrapText="1"/>
    </xf>
    <xf numFmtId="0" fontId="0" fillId="9" borderId="84" xfId="0" applyFill="1" applyBorder="1"/>
    <xf numFmtId="0" fontId="0" fillId="9" borderId="270" xfId="0" applyFill="1" applyBorder="1"/>
    <xf numFmtId="0" fontId="0" fillId="9" borderId="271" xfId="0" applyFill="1" applyBorder="1"/>
    <xf numFmtId="0" fontId="24" fillId="0" borderId="21" xfId="0" applyFont="1" applyBorder="1" applyAlignment="1">
      <alignment wrapText="1"/>
    </xf>
    <xf numFmtId="0" fontId="0" fillId="5" borderId="43" xfId="0" applyFill="1" applyBorder="1"/>
    <xf numFmtId="0" fontId="0" fillId="5" borderId="97" xfId="0" applyFill="1" applyBorder="1"/>
    <xf numFmtId="0" fontId="121" fillId="0" borderId="96" xfId="0" applyFont="1" applyBorder="1" applyAlignment="1">
      <alignment horizontal="center" vertical="center" wrapText="1"/>
    </xf>
    <xf numFmtId="0" fontId="121" fillId="0" borderId="19" xfId="0" applyFont="1" applyBorder="1" applyAlignment="1">
      <alignment horizontal="center" vertical="center"/>
    </xf>
    <xf numFmtId="0" fontId="24" fillId="0" borderId="22" xfId="0" applyFont="1" applyBorder="1"/>
    <xf numFmtId="0" fontId="122" fillId="0" borderId="272" xfId="0" applyFont="1" applyBorder="1" applyAlignment="1">
      <alignment horizontal="center" vertical="center" wrapText="1"/>
    </xf>
    <xf numFmtId="0" fontId="122" fillId="0" borderId="50" xfId="0" applyFont="1" applyBorder="1" applyAlignment="1">
      <alignment horizontal="center" vertical="center"/>
    </xf>
    <xf numFmtId="0" fontId="0" fillId="0" borderId="54" xfId="0" applyBorder="1"/>
    <xf numFmtId="0" fontId="0" fillId="6" borderId="30" xfId="0" applyFill="1" applyBorder="1" applyAlignment="1">
      <alignment horizontal="center"/>
    </xf>
    <xf numFmtId="0" fontId="0" fillId="6" borderId="29" xfId="0" applyFill="1" applyBorder="1" applyAlignment="1">
      <alignment horizontal="center"/>
    </xf>
    <xf numFmtId="0" fontId="26" fillId="12" borderId="50" xfId="0" applyFont="1" applyFill="1" applyBorder="1" applyAlignment="1">
      <alignment horizontal="center" wrapText="1"/>
    </xf>
    <xf numFmtId="0" fontId="0" fillId="0" borderId="28" xfId="0" applyBorder="1"/>
    <xf numFmtId="0" fontId="0" fillId="0" borderId="43" xfId="0" applyBorder="1"/>
    <xf numFmtId="0" fontId="12" fillId="3" borderId="273" xfId="0" applyFont="1" applyFill="1" applyBorder="1" applyAlignment="1">
      <alignment wrapText="1"/>
    </xf>
    <xf numFmtId="0" fontId="0" fillId="0" borderId="19" xfId="0" applyBorder="1" applyAlignment="1">
      <alignment horizontal="right"/>
    </xf>
    <xf numFmtId="0" fontId="27" fillId="8" borderId="275" xfId="0" applyFont="1" applyFill="1" applyBorder="1" applyAlignment="1">
      <alignment horizontal="centerContinuous" wrapText="1"/>
    </xf>
    <xf numFmtId="0" fontId="26" fillId="8" borderId="276" xfId="0" applyFont="1" applyFill="1" applyBorder="1" applyAlignment="1">
      <alignment horizontal="centerContinuous" wrapText="1"/>
    </xf>
    <xf numFmtId="0" fontId="26" fillId="8" borderId="277" xfId="0" applyFont="1" applyFill="1" applyBorder="1" applyAlignment="1">
      <alignment horizontal="centerContinuous" wrapText="1"/>
    </xf>
    <xf numFmtId="0" fontId="12" fillId="8" borderId="278" xfId="0" applyFont="1" applyFill="1" applyBorder="1"/>
    <xf numFmtId="0" fontId="12" fillId="8" borderId="279" xfId="0" applyFont="1" applyFill="1" applyBorder="1" applyAlignment="1">
      <alignment horizontal="center" wrapText="1"/>
    </xf>
    <xf numFmtId="0" fontId="12" fillId="10" borderId="278" xfId="0" applyFont="1" applyFill="1" applyBorder="1" applyAlignment="1">
      <alignment wrapText="1"/>
    </xf>
    <xf numFmtId="0" fontId="34" fillId="10" borderId="279" xfId="0" applyFont="1" applyFill="1" applyBorder="1" applyAlignment="1">
      <alignment horizontal="center" wrapText="1"/>
    </xf>
    <xf numFmtId="0" fontId="27" fillId="12" borderId="276" xfId="0" applyFont="1" applyFill="1" applyBorder="1" applyAlignment="1">
      <alignment horizontal="centerContinuous" wrapText="1"/>
    </xf>
    <xf numFmtId="0" fontId="26" fillId="12" borderId="281" xfId="0" applyFont="1" applyFill="1" applyBorder="1" applyAlignment="1">
      <alignment horizontal="center" wrapText="1"/>
    </xf>
    <xf numFmtId="0" fontId="26" fillId="12" borderId="276" xfId="0" applyFont="1" applyFill="1" applyBorder="1" applyAlignment="1">
      <alignment horizontal="centerContinuous" wrapText="1"/>
    </xf>
    <xf numFmtId="0" fontId="26" fillId="13" borderId="282" xfId="0" applyFont="1" applyFill="1" applyBorder="1" applyAlignment="1">
      <alignment horizontal="centerContinuous" wrapText="1"/>
    </xf>
    <xf numFmtId="0" fontId="26" fillId="13" borderId="283" xfId="0" applyFont="1" applyFill="1" applyBorder="1" applyAlignment="1">
      <alignment horizontal="centerContinuous" wrapText="1"/>
    </xf>
    <xf numFmtId="0" fontId="26" fillId="13" borderId="284" xfId="0" applyFont="1" applyFill="1" applyBorder="1" applyAlignment="1">
      <alignment horizontal="centerContinuous" wrapText="1"/>
    </xf>
    <xf numFmtId="0" fontId="26" fillId="13" borderId="276" xfId="0" applyFont="1" applyFill="1" applyBorder="1" applyAlignment="1">
      <alignment horizontal="centerContinuous" wrapText="1"/>
    </xf>
    <xf numFmtId="0" fontId="0" fillId="4" borderId="287" xfId="0" applyFont="1" applyFill="1" applyBorder="1"/>
    <xf numFmtId="0" fontId="0" fillId="13" borderId="276" xfId="0" applyFont="1" applyFill="1" applyBorder="1" applyAlignment="1">
      <alignment wrapText="1"/>
    </xf>
    <xf numFmtId="0" fontId="31" fillId="5" borderId="288" xfId="0" applyFont="1" applyFill="1" applyBorder="1"/>
    <xf numFmtId="0" fontId="31" fillId="9" borderId="288" xfId="0" applyFont="1" applyFill="1" applyBorder="1"/>
    <xf numFmtId="0" fontId="26" fillId="14" borderId="276" xfId="0" applyFont="1" applyFill="1" applyBorder="1" applyAlignment="1">
      <alignment horizontal="centerContinuous" wrapText="1"/>
    </xf>
    <xf numFmtId="0" fontId="0" fillId="31" borderId="57" xfId="0" applyFill="1" applyBorder="1"/>
    <xf numFmtId="0" fontId="0" fillId="31" borderId="21" xfId="0" applyFill="1" applyBorder="1"/>
    <xf numFmtId="0" fontId="0" fillId="31" borderId="24" xfId="0" applyFill="1" applyBorder="1"/>
    <xf numFmtId="0" fontId="12" fillId="15" borderId="278" xfId="0" applyFont="1" applyFill="1" applyBorder="1" applyAlignment="1">
      <alignment wrapText="1"/>
    </xf>
    <xf numFmtId="0" fontId="15" fillId="15" borderId="276" xfId="0" applyFont="1" applyFill="1" applyBorder="1" applyAlignment="1">
      <alignment wrapText="1"/>
    </xf>
    <xf numFmtId="0" fontId="12" fillId="12" borderId="278" xfId="0" applyFont="1" applyFill="1" applyBorder="1" applyAlignment="1">
      <alignment horizontal="left" vertical="center" wrapText="1"/>
    </xf>
    <xf numFmtId="0" fontId="1" fillId="32" borderId="289" xfId="0" applyFont="1" applyFill="1" applyBorder="1" applyAlignment="1">
      <alignment wrapText="1"/>
    </xf>
    <xf numFmtId="0" fontId="5" fillId="2" borderId="290" xfId="0" applyFont="1" applyFill="1" applyBorder="1" applyAlignment="1">
      <alignment horizontal="centerContinuous"/>
    </xf>
    <xf numFmtId="0" fontId="0" fillId="2" borderId="291" xfId="0" applyFill="1" applyBorder="1" applyAlignment="1">
      <alignment horizontal="centerContinuous"/>
    </xf>
    <xf numFmtId="0" fontId="12" fillId="3" borderId="278" xfId="0" applyFont="1" applyFill="1" applyBorder="1" applyAlignment="1">
      <alignment wrapText="1"/>
    </xf>
    <xf numFmtId="0" fontId="12" fillId="3" borderId="279" xfId="0" applyFont="1" applyFill="1" applyBorder="1" applyAlignment="1">
      <alignment wrapText="1"/>
    </xf>
    <xf numFmtId="4" fontId="0" fillId="0" borderId="20" xfId="0" applyNumberFormat="1" applyBorder="1"/>
    <xf numFmtId="4" fontId="0" fillId="0" borderId="19" xfId="0" applyNumberFormat="1" applyBorder="1"/>
    <xf numFmtId="4" fontId="0" fillId="0" borderId="19" xfId="0" applyNumberFormat="1" applyFill="1" applyBorder="1"/>
    <xf numFmtId="0" fontId="15" fillId="0" borderId="287" xfId="0" applyFont="1" applyFill="1" applyBorder="1" applyAlignment="1">
      <alignment horizontal="left" vertical="center" wrapText="1"/>
    </xf>
    <xf numFmtId="0" fontId="12" fillId="15" borderId="279" xfId="0" applyFont="1" applyFill="1" applyBorder="1" applyAlignment="1">
      <alignment horizontal="center" wrapText="1"/>
    </xf>
    <xf numFmtId="0" fontId="12" fillId="8" borderId="279" xfId="0" applyFont="1" applyFill="1" applyBorder="1" applyAlignment="1">
      <alignment wrapText="1"/>
    </xf>
    <xf numFmtId="2" fontId="32" fillId="0" borderId="21" xfId="0" applyNumberFormat="1" applyFont="1" applyBorder="1"/>
    <xf numFmtId="0" fontId="0" fillId="0" borderId="0" xfId="0" applyAlignment="1">
      <alignment horizontal="right"/>
    </xf>
    <xf numFmtId="0" fontId="26" fillId="12" borderId="50" xfId="0" applyFont="1" applyFill="1" applyBorder="1" applyAlignment="1">
      <alignment horizontal="center" wrapText="1"/>
    </xf>
    <xf numFmtId="0" fontId="0" fillId="0" borderId="28" xfId="0" applyBorder="1"/>
    <xf numFmtId="0" fontId="0" fillId="0" borderId="43" xfId="0" applyBorder="1"/>
    <xf numFmtId="0" fontId="12" fillId="3" borderId="295" xfId="0" applyFont="1" applyFill="1" applyBorder="1" applyAlignment="1">
      <alignment wrapText="1"/>
    </xf>
    <xf numFmtId="0" fontId="12" fillId="3" borderId="296" xfId="0" applyFont="1" applyFill="1" applyBorder="1" applyAlignment="1">
      <alignment wrapText="1"/>
    </xf>
    <xf numFmtId="0" fontId="13" fillId="3" borderId="298" xfId="0" applyFont="1" applyFill="1" applyBorder="1" applyAlignment="1">
      <alignment horizontal="centerContinuous" wrapText="1"/>
    </xf>
    <xf numFmtId="0" fontId="12" fillId="8" borderId="295" xfId="0" applyFont="1" applyFill="1" applyBorder="1"/>
    <xf numFmtId="0" fontId="12" fillId="8" borderId="296" xfId="0" applyFont="1" applyFill="1" applyBorder="1" applyAlignment="1">
      <alignment horizontal="center" wrapText="1"/>
    </xf>
    <xf numFmtId="0" fontId="15" fillId="8" borderId="302" xfId="0" applyFont="1" applyFill="1" applyBorder="1" applyAlignment="1">
      <alignment horizontal="center" wrapText="1"/>
    </xf>
    <xf numFmtId="0" fontId="1" fillId="0" borderId="20" xfId="0" applyFont="1" applyBorder="1"/>
    <xf numFmtId="0" fontId="123" fillId="0" borderId="89" xfId="0" applyFont="1" applyBorder="1"/>
    <xf numFmtId="0" fontId="1" fillId="0" borderId="19" xfId="0" applyFont="1" applyBorder="1"/>
    <xf numFmtId="0" fontId="12" fillId="8" borderId="298" xfId="0" applyFont="1" applyFill="1" applyBorder="1"/>
    <xf numFmtId="0" fontId="12" fillId="8" borderId="296" xfId="0" applyFont="1" applyFill="1" applyBorder="1" applyAlignment="1">
      <alignment wrapText="1"/>
    </xf>
    <xf numFmtId="0" fontId="30" fillId="5" borderId="89" xfId="0" applyFont="1" applyFill="1" applyBorder="1"/>
    <xf numFmtId="0" fontId="30" fillId="0" borderId="89" xfId="0" applyFont="1" applyBorder="1"/>
    <xf numFmtId="0" fontId="31" fillId="9" borderId="91" xfId="0" applyFont="1" applyFill="1" applyBorder="1" applyAlignment="1">
      <alignment horizontal="right"/>
    </xf>
    <xf numFmtId="0" fontId="16" fillId="8" borderId="305" xfId="0" applyFont="1" applyFill="1" applyBorder="1" applyAlignment="1">
      <alignment wrapText="1"/>
    </xf>
    <xf numFmtId="0" fontId="124" fillId="0" borderId="21" xfId="0" applyFont="1" applyBorder="1"/>
    <xf numFmtId="0" fontId="125" fillId="9" borderId="62" xfId="0" applyFont="1" applyFill="1" applyBorder="1"/>
    <xf numFmtId="0" fontId="125" fillId="0" borderId="20" xfId="0" applyFont="1" applyBorder="1"/>
    <xf numFmtId="0" fontId="12" fillId="10" borderId="295" xfId="0" applyFont="1" applyFill="1" applyBorder="1" applyAlignment="1">
      <alignment wrapText="1"/>
    </xf>
    <xf numFmtId="0" fontId="34" fillId="10" borderId="296" xfId="0" applyFont="1" applyFill="1" applyBorder="1" applyAlignment="1">
      <alignment horizontal="center" wrapText="1"/>
    </xf>
    <xf numFmtId="0" fontId="16" fillId="10" borderId="305" xfId="0" applyFont="1" applyFill="1" applyBorder="1" applyAlignment="1">
      <alignment wrapText="1"/>
    </xf>
    <xf numFmtId="0" fontId="27" fillId="12" borderId="275" xfId="0" applyFont="1" applyFill="1" applyBorder="1" applyAlignment="1">
      <alignment horizontal="centerContinuous" wrapText="1"/>
    </xf>
    <xf numFmtId="0" fontId="27" fillId="12" borderId="277" xfId="0" applyFont="1" applyFill="1" applyBorder="1" applyAlignment="1">
      <alignment horizontal="centerContinuous" wrapText="1"/>
    </xf>
    <xf numFmtId="0" fontId="26" fillId="12" borderId="304" xfId="0" applyFont="1" applyFill="1" applyBorder="1" applyAlignment="1">
      <alignment horizontal="center" wrapText="1"/>
    </xf>
    <xf numFmtId="0" fontId="26" fillId="12" borderId="297" xfId="0" applyFont="1" applyFill="1" applyBorder="1" applyAlignment="1">
      <alignment horizontal="centerContinuous" wrapText="1"/>
    </xf>
    <xf numFmtId="0" fontId="26" fillId="12" borderId="305" xfId="0" applyFont="1" applyFill="1" applyBorder="1" applyAlignment="1">
      <alignment horizontal="centerContinuous" wrapText="1"/>
    </xf>
    <xf numFmtId="0" fontId="26" fillId="13" borderId="306" xfId="0" applyFont="1" applyFill="1" applyBorder="1" applyAlignment="1">
      <alignment horizontal="centerContinuous" wrapText="1"/>
    </xf>
    <xf numFmtId="0" fontId="26" fillId="13" borderId="307" xfId="0" applyFont="1" applyFill="1" applyBorder="1" applyAlignment="1">
      <alignment horizontal="centerContinuous" wrapText="1"/>
    </xf>
    <xf numFmtId="0" fontId="26" fillId="13" borderId="308" xfId="0" applyFont="1" applyFill="1" applyBorder="1" applyAlignment="1">
      <alignment horizontal="centerContinuous" wrapText="1"/>
    </xf>
    <xf numFmtId="0" fontId="26" fillId="13" borderId="311" xfId="0" applyFont="1" applyFill="1" applyBorder="1" applyAlignment="1">
      <alignment horizontal="centerContinuous" wrapText="1"/>
    </xf>
    <xf numFmtId="0" fontId="26" fillId="13" borderId="277" xfId="0" applyFont="1" applyFill="1" applyBorder="1" applyAlignment="1">
      <alignment horizontal="centerContinuous" wrapText="1"/>
    </xf>
    <xf numFmtId="0" fontId="40" fillId="13" borderId="301" xfId="0" applyFont="1" applyFill="1" applyBorder="1" applyAlignment="1">
      <alignment horizontal="left" wrapText="1"/>
    </xf>
    <xf numFmtId="0" fontId="31" fillId="13" borderId="312" xfId="0" applyFont="1" applyFill="1" applyBorder="1" applyAlignment="1">
      <alignment wrapText="1"/>
    </xf>
    <xf numFmtId="0" fontId="26" fillId="14" borderId="297" xfId="0" applyFont="1" applyFill="1" applyBorder="1" applyAlignment="1">
      <alignment horizontal="centerContinuous" wrapText="1"/>
    </xf>
    <xf numFmtId="0" fontId="26" fillId="14" borderId="311" xfId="0" applyFont="1" applyFill="1" applyBorder="1" applyAlignment="1">
      <alignment horizontal="centerContinuous" wrapText="1"/>
    </xf>
    <xf numFmtId="0" fontId="26" fillId="14" borderId="305" xfId="0" applyFont="1" applyFill="1" applyBorder="1" applyAlignment="1">
      <alignment wrapText="1"/>
    </xf>
    <xf numFmtId="0" fontId="12" fillId="15" borderId="295" xfId="0" applyFont="1" applyFill="1" applyBorder="1" applyAlignment="1">
      <alignment wrapText="1"/>
    </xf>
    <xf numFmtId="0" fontId="15" fillId="15" borderId="302" xfId="0" applyFont="1" applyFill="1" applyBorder="1" applyAlignment="1">
      <alignment wrapText="1"/>
    </xf>
    <xf numFmtId="0" fontId="15" fillId="15" borderId="313" xfId="0" applyFont="1" applyFill="1" applyBorder="1" applyAlignment="1">
      <alignment wrapText="1"/>
    </xf>
    <xf numFmtId="0" fontId="15" fillId="15" borderId="314" xfId="0" applyFont="1" applyFill="1" applyBorder="1" applyAlignment="1">
      <alignment wrapText="1"/>
    </xf>
    <xf numFmtId="0" fontId="12" fillId="12" borderId="295" xfId="0" applyFont="1" applyFill="1" applyBorder="1" applyAlignment="1">
      <alignment horizontal="left" vertical="center" wrapText="1"/>
    </xf>
    <xf numFmtId="0" fontId="37" fillId="0" borderId="18" xfId="0" applyFont="1" applyBorder="1" applyAlignment="1">
      <alignment vertical="center" wrapText="1"/>
    </xf>
    <xf numFmtId="166" fontId="24" fillId="0" borderId="21" xfId="0" applyNumberFormat="1" applyFont="1" applyBorder="1"/>
    <xf numFmtId="0" fontId="37" fillId="0" borderId="49" xfId="0" applyFont="1" applyBorder="1" applyAlignment="1">
      <alignment vertical="center" wrapText="1"/>
    </xf>
    <xf numFmtId="0" fontId="37" fillId="0" borderId="65" xfId="0" applyFont="1" applyBorder="1" applyAlignment="1">
      <alignment vertical="center" wrapText="1"/>
    </xf>
    <xf numFmtId="166" fontId="13" fillId="6" borderId="31" xfId="0" applyNumberFormat="1" applyFont="1" applyFill="1" applyBorder="1" applyAlignment="1">
      <alignment horizontal="right"/>
    </xf>
    <xf numFmtId="0" fontId="12" fillId="3" borderId="316" xfId="0" applyFont="1" applyFill="1" applyBorder="1" applyAlignment="1">
      <alignment wrapText="1"/>
    </xf>
    <xf numFmtId="0" fontId="31" fillId="5" borderId="317" xfId="0" applyFont="1" applyFill="1" applyBorder="1"/>
    <xf numFmtId="0" fontId="31" fillId="9" borderId="317" xfId="0" applyFont="1" applyFill="1" applyBorder="1"/>
    <xf numFmtId="0" fontId="12" fillId="3" borderId="318" xfId="0" applyFont="1" applyFill="1" applyBorder="1" applyAlignment="1">
      <alignment wrapText="1"/>
    </xf>
    <xf numFmtId="0" fontId="0" fillId="0" borderId="20" xfId="0" applyNumberFormat="1" applyBorder="1"/>
    <xf numFmtId="0" fontId="31" fillId="5" borderId="319" xfId="0" applyFont="1" applyFill="1" applyBorder="1"/>
    <xf numFmtId="0" fontId="31" fillId="9" borderId="319" xfId="0" applyFont="1" applyFill="1" applyBorder="1"/>
    <xf numFmtId="0" fontId="5" fillId="2" borderId="320" xfId="0" applyFont="1" applyFill="1" applyBorder="1" applyAlignment="1">
      <alignment horizontal="centerContinuous"/>
    </xf>
    <xf numFmtId="0" fontId="0" fillId="2" borderId="321" xfId="0" applyFill="1" applyBorder="1" applyAlignment="1">
      <alignment horizontal="centerContinuous"/>
    </xf>
    <xf numFmtId="0" fontId="12" fillId="3" borderId="323" xfId="0" applyFont="1" applyFill="1" applyBorder="1" applyAlignment="1">
      <alignment wrapText="1"/>
    </xf>
    <xf numFmtId="0" fontId="12" fillId="3" borderId="324" xfId="0" applyFont="1" applyFill="1" applyBorder="1" applyAlignment="1">
      <alignment wrapText="1"/>
    </xf>
    <xf numFmtId="0" fontId="12" fillId="8" borderId="323" xfId="0" applyFont="1" applyFill="1" applyBorder="1"/>
    <xf numFmtId="0" fontId="12" fillId="8" borderId="324" xfId="0" applyFont="1" applyFill="1" applyBorder="1" applyAlignment="1">
      <alignment horizontal="center" wrapText="1"/>
    </xf>
    <xf numFmtId="0" fontId="15" fillId="0" borderId="327" xfId="0" applyFont="1" applyFill="1" applyBorder="1" applyAlignment="1">
      <alignment horizontal="left" vertical="center" wrapText="1"/>
    </xf>
    <xf numFmtId="0" fontId="12" fillId="8" borderId="324" xfId="0" applyFont="1" applyFill="1" applyBorder="1" applyAlignment="1">
      <alignment wrapText="1"/>
    </xf>
    <xf numFmtId="0" fontId="26" fillId="8" borderId="325" xfId="0" applyFont="1" applyFill="1" applyBorder="1" applyAlignment="1">
      <alignment horizontal="centerContinuous" wrapText="1"/>
    </xf>
    <xf numFmtId="0" fontId="26" fillId="8" borderId="326" xfId="0" applyFont="1" applyFill="1" applyBorder="1" applyAlignment="1">
      <alignment horizontal="centerContinuous" wrapText="1"/>
    </xf>
    <xf numFmtId="0" fontId="12" fillId="10" borderId="323" xfId="0" applyFont="1" applyFill="1" applyBorder="1" applyAlignment="1">
      <alignment wrapText="1"/>
    </xf>
    <xf numFmtId="0" fontId="34" fillId="10" borderId="324" xfId="0" applyFont="1" applyFill="1" applyBorder="1" applyAlignment="1">
      <alignment horizontal="center" wrapText="1"/>
    </xf>
    <xf numFmtId="0" fontId="27" fillId="12" borderId="325" xfId="0" applyFont="1" applyFill="1" applyBorder="1" applyAlignment="1">
      <alignment horizontal="centerContinuous" wrapText="1"/>
    </xf>
    <xf numFmtId="0" fontId="27" fillId="12" borderId="326" xfId="0" applyFont="1" applyFill="1" applyBorder="1" applyAlignment="1">
      <alignment horizontal="centerContinuous" wrapText="1"/>
    </xf>
    <xf numFmtId="0" fontId="26" fillId="12" borderId="329" xfId="0" applyFont="1" applyFill="1" applyBorder="1" applyAlignment="1">
      <alignment horizontal="center" wrapText="1"/>
    </xf>
    <xf numFmtId="0" fontId="26" fillId="12" borderId="325" xfId="0" applyFont="1" applyFill="1" applyBorder="1" applyAlignment="1">
      <alignment horizontal="centerContinuous" wrapText="1"/>
    </xf>
    <xf numFmtId="0" fontId="26" fillId="13" borderId="330" xfId="0" applyFont="1" applyFill="1" applyBorder="1" applyAlignment="1">
      <alignment horizontal="centerContinuous" wrapText="1"/>
    </xf>
    <xf numFmtId="0" fontId="26" fillId="13" borderId="331" xfId="0" applyFont="1" applyFill="1" applyBorder="1" applyAlignment="1">
      <alignment horizontal="centerContinuous" wrapText="1"/>
    </xf>
    <xf numFmtId="0" fontId="26" fillId="13" borderId="332" xfId="0" applyFont="1" applyFill="1" applyBorder="1" applyAlignment="1">
      <alignment horizontal="centerContinuous" wrapText="1"/>
    </xf>
    <xf numFmtId="0" fontId="26" fillId="13" borderId="325" xfId="0" applyFont="1" applyFill="1" applyBorder="1" applyAlignment="1">
      <alignment horizontal="centerContinuous" wrapText="1"/>
    </xf>
    <xf numFmtId="0" fontId="26" fillId="13" borderId="335" xfId="0" applyFont="1" applyFill="1" applyBorder="1" applyAlignment="1">
      <alignment horizontal="centerContinuous" wrapText="1"/>
    </xf>
    <xf numFmtId="0" fontId="26" fillId="13" borderId="326" xfId="0" applyFont="1" applyFill="1" applyBorder="1" applyAlignment="1">
      <alignment horizontal="centerContinuous" wrapText="1"/>
    </xf>
    <xf numFmtId="0" fontId="0" fillId="4" borderId="327" xfId="0" applyFont="1" applyFill="1" applyBorder="1"/>
    <xf numFmtId="0" fontId="0" fillId="13" borderId="325" xfId="0" applyFont="1" applyFill="1" applyBorder="1" applyAlignment="1">
      <alignment wrapText="1"/>
    </xf>
    <xf numFmtId="0" fontId="26" fillId="14" borderId="325" xfId="0" applyFont="1" applyFill="1" applyBorder="1" applyAlignment="1">
      <alignment horizontal="centerContinuous" wrapText="1"/>
    </xf>
    <xf numFmtId="0" fontId="26" fillId="14" borderId="335" xfId="0" applyFont="1" applyFill="1" applyBorder="1" applyAlignment="1">
      <alignment horizontal="centerContinuous" wrapText="1"/>
    </xf>
    <xf numFmtId="0" fontId="12" fillId="15" borderId="323" xfId="0" applyFont="1" applyFill="1" applyBorder="1" applyAlignment="1">
      <alignment wrapText="1"/>
    </xf>
    <xf numFmtId="0" fontId="15" fillId="15" borderId="325" xfId="0" applyFont="1" applyFill="1" applyBorder="1" applyAlignment="1">
      <alignment wrapText="1"/>
    </xf>
    <xf numFmtId="0" fontId="12" fillId="12" borderId="323" xfId="0" applyFont="1" applyFill="1" applyBorder="1" applyAlignment="1">
      <alignment horizontal="left" vertical="center" wrapText="1"/>
    </xf>
    <xf numFmtId="0" fontId="10" fillId="3" borderId="316" xfId="0" applyFont="1" applyFill="1" applyBorder="1" applyAlignment="1">
      <alignment wrapText="1"/>
    </xf>
    <xf numFmtId="0" fontId="10" fillId="3" borderId="18" xfId="0" applyFont="1" applyFill="1" applyBorder="1" applyAlignment="1">
      <alignment horizontal="center" wrapText="1"/>
    </xf>
    <xf numFmtId="0" fontId="8" fillId="3" borderId="19" xfId="0" applyFont="1" applyFill="1" applyBorder="1" applyAlignment="1">
      <alignment wrapText="1"/>
    </xf>
    <xf numFmtId="0" fontId="8" fillId="3" borderId="20" xfId="0" applyFont="1" applyFill="1" applyBorder="1" applyAlignment="1">
      <alignment horizontal="center" wrapText="1"/>
    </xf>
    <xf numFmtId="0" fontId="8" fillId="3" borderId="21" xfId="0" applyFont="1" applyFill="1" applyBorder="1" applyAlignment="1">
      <alignment horizontal="center" wrapText="1"/>
    </xf>
    <xf numFmtId="0" fontId="10" fillId="3" borderId="22" xfId="0" applyFont="1" applyFill="1" applyBorder="1" applyAlignment="1">
      <alignment horizontal="center" wrapText="1"/>
    </xf>
    <xf numFmtId="0" fontId="127" fillId="3" borderId="23" xfId="0" applyFont="1" applyFill="1" applyBorder="1" applyAlignment="1">
      <alignment wrapText="1"/>
    </xf>
    <xf numFmtId="0" fontId="8" fillId="3" borderId="21" xfId="0" applyFont="1" applyFill="1" applyBorder="1" applyAlignment="1">
      <alignment wrapText="1"/>
    </xf>
    <xf numFmtId="0" fontId="127" fillId="3" borderId="21" xfId="0" applyFont="1" applyFill="1" applyBorder="1" applyAlignment="1">
      <alignment wrapText="1"/>
    </xf>
    <xf numFmtId="0" fontId="8" fillId="3" borderId="24" xfId="0" applyFont="1" applyFill="1" applyBorder="1" applyAlignment="1">
      <alignment wrapText="1"/>
    </xf>
    <xf numFmtId="0" fontId="31" fillId="12" borderId="275" xfId="0" applyFont="1" applyFill="1" applyBorder="1" applyAlignment="1">
      <alignment horizontal="centerContinuous" wrapText="1"/>
    </xf>
    <xf numFmtId="0" fontId="31" fillId="12" borderId="276" xfId="0" applyFont="1" applyFill="1" applyBorder="1" applyAlignment="1">
      <alignment horizontal="centerContinuous" wrapText="1"/>
    </xf>
    <xf numFmtId="0" fontId="31" fillId="12" borderId="277" xfId="0" applyFont="1" applyFill="1" applyBorder="1" applyAlignment="1">
      <alignment horizontal="centerContinuous" wrapText="1"/>
    </xf>
    <xf numFmtId="0" fontId="0" fillId="12" borderId="20" xfId="0" applyFont="1" applyFill="1" applyBorder="1" applyAlignment="1">
      <alignment wrapText="1"/>
    </xf>
    <xf numFmtId="0" fontId="0" fillId="12" borderId="21" xfId="0" applyFont="1" applyFill="1" applyBorder="1" applyAlignment="1">
      <alignment wrapText="1"/>
    </xf>
    <xf numFmtId="0" fontId="128" fillId="12" borderId="52" xfId="0" applyFont="1" applyFill="1" applyBorder="1" applyAlignment="1">
      <alignment wrapText="1"/>
    </xf>
    <xf numFmtId="0" fontId="0" fillId="12" borderId="53" xfId="0" applyFont="1" applyFill="1" applyBorder="1" applyAlignment="1">
      <alignment wrapText="1"/>
    </xf>
    <xf numFmtId="0" fontId="0" fillId="12" borderId="54" xfId="0" applyFont="1" applyFill="1" applyBorder="1" applyAlignment="1">
      <alignment wrapText="1"/>
    </xf>
    <xf numFmtId="0" fontId="128" fillId="12" borderId="54" xfId="0" applyFont="1" applyFill="1" applyBorder="1" applyAlignment="1">
      <alignment wrapText="1"/>
    </xf>
    <xf numFmtId="0" fontId="0" fillId="12" borderId="55" xfId="0" applyFont="1" applyFill="1" applyBorder="1" applyAlignment="1">
      <alignment wrapText="1"/>
    </xf>
    <xf numFmtId="0" fontId="129" fillId="12" borderId="52" xfId="0" applyFont="1" applyFill="1" applyBorder="1" applyAlignment="1">
      <alignment wrapText="1"/>
    </xf>
    <xf numFmtId="0" fontId="0" fillId="4" borderId="57" xfId="0" applyFont="1" applyFill="1" applyBorder="1"/>
    <xf numFmtId="0" fontId="13" fillId="6" borderId="56" xfId="0" applyFont="1" applyFill="1" applyBorder="1" applyAlignment="1">
      <alignment horizontal="right"/>
    </xf>
    <xf numFmtId="0" fontId="30" fillId="4" borderId="19" xfId="0" applyFont="1" applyFill="1" applyBorder="1"/>
    <xf numFmtId="8" fontId="24" fillId="0" borderId="21" xfId="0" applyNumberFormat="1" applyFont="1" applyBorder="1"/>
    <xf numFmtId="8" fontId="13" fillId="6" borderId="31" xfId="0" applyNumberFormat="1" applyFont="1" applyFill="1" applyBorder="1" applyAlignment="1">
      <alignment horizontal="right"/>
    </xf>
    <xf numFmtId="0" fontId="2" fillId="0" borderId="0" xfId="0" applyFont="1" applyAlignment="1"/>
    <xf numFmtId="0" fontId="3" fillId="0" borderId="0" xfId="0" applyFont="1" applyAlignment="1"/>
    <xf numFmtId="0" fontId="12" fillId="3" borderId="336" xfId="0" applyFont="1" applyFill="1" applyBorder="1" applyAlignment="1">
      <alignment wrapText="1"/>
    </xf>
    <xf numFmtId="0" fontId="12" fillId="3" borderId="337" xfId="0" applyFont="1" applyFill="1" applyBorder="1" applyAlignment="1">
      <alignment wrapText="1"/>
    </xf>
    <xf numFmtId="0" fontId="12" fillId="8" borderId="336" xfId="0" applyFont="1" applyFill="1" applyBorder="1"/>
    <xf numFmtId="0" fontId="12" fillId="8" borderId="337" xfId="0" applyFont="1" applyFill="1" applyBorder="1" applyAlignment="1">
      <alignment horizontal="center" wrapText="1"/>
    </xf>
    <xf numFmtId="0" fontId="15" fillId="0" borderId="340" xfId="0" applyFont="1" applyFill="1" applyBorder="1" applyAlignment="1">
      <alignment horizontal="left" vertical="center" wrapText="1"/>
    </xf>
    <xf numFmtId="0" fontId="12" fillId="8" borderId="337" xfId="0" applyFont="1" applyFill="1" applyBorder="1" applyAlignment="1">
      <alignment wrapText="1"/>
    </xf>
    <xf numFmtId="0" fontId="26" fillId="8" borderId="338" xfId="0" applyFont="1" applyFill="1" applyBorder="1" applyAlignment="1">
      <alignment horizontal="centerContinuous" wrapText="1"/>
    </xf>
    <xf numFmtId="0" fontId="26" fillId="8" borderId="339" xfId="0" applyFont="1" applyFill="1" applyBorder="1" applyAlignment="1">
      <alignment horizontal="centerContinuous" wrapText="1"/>
    </xf>
    <xf numFmtId="0" fontId="12" fillId="10" borderId="336" xfId="0" applyFont="1" applyFill="1" applyBorder="1" applyAlignment="1">
      <alignment wrapText="1"/>
    </xf>
    <xf numFmtId="0" fontId="34" fillId="10" borderId="337" xfId="0" applyFont="1" applyFill="1" applyBorder="1" applyAlignment="1">
      <alignment horizontal="center" wrapText="1"/>
    </xf>
    <xf numFmtId="0" fontId="27" fillId="12" borderId="338" xfId="0" applyFont="1" applyFill="1" applyBorder="1" applyAlignment="1">
      <alignment horizontal="centerContinuous" wrapText="1"/>
    </xf>
    <xf numFmtId="0" fontId="27" fillId="12" borderId="339" xfId="0" applyFont="1" applyFill="1" applyBorder="1" applyAlignment="1">
      <alignment horizontal="centerContinuous" wrapText="1"/>
    </xf>
    <xf numFmtId="0" fontId="26" fillId="12" borderId="342" xfId="0" applyFont="1" applyFill="1" applyBorder="1" applyAlignment="1">
      <alignment horizontal="center" wrapText="1"/>
    </xf>
    <xf numFmtId="0" fontId="26" fillId="12" borderId="338" xfId="0" applyFont="1" applyFill="1" applyBorder="1" applyAlignment="1">
      <alignment horizontal="centerContinuous" wrapText="1"/>
    </xf>
    <xf numFmtId="0" fontId="26" fillId="13" borderId="343" xfId="0" applyFont="1" applyFill="1" applyBorder="1" applyAlignment="1">
      <alignment horizontal="centerContinuous" wrapText="1"/>
    </xf>
    <xf numFmtId="0" fontId="26" fillId="13" borderId="344" xfId="0" applyFont="1" applyFill="1" applyBorder="1" applyAlignment="1">
      <alignment horizontal="centerContinuous" wrapText="1"/>
    </xf>
    <xf numFmtId="0" fontId="26" fillId="13" borderId="345" xfId="0" applyFont="1" applyFill="1" applyBorder="1" applyAlignment="1">
      <alignment horizontal="centerContinuous" wrapText="1"/>
    </xf>
    <xf numFmtId="0" fontId="26" fillId="13" borderId="338" xfId="0" applyFont="1" applyFill="1" applyBorder="1" applyAlignment="1">
      <alignment horizontal="centerContinuous" wrapText="1"/>
    </xf>
    <xf numFmtId="0" fontId="26" fillId="13" borderId="348" xfId="0" applyFont="1" applyFill="1" applyBorder="1" applyAlignment="1">
      <alignment horizontal="centerContinuous" wrapText="1"/>
    </xf>
    <xf numFmtId="0" fontId="26" fillId="13" borderId="339" xfId="0" applyFont="1" applyFill="1" applyBorder="1" applyAlignment="1">
      <alignment horizontal="centerContinuous" wrapText="1"/>
    </xf>
    <xf numFmtId="0" fontId="0" fillId="4" borderId="340" xfId="0" applyFont="1" applyFill="1" applyBorder="1"/>
    <xf numFmtId="0" fontId="0" fillId="13" borderId="338" xfId="0" applyFont="1" applyFill="1" applyBorder="1" applyAlignment="1">
      <alignment wrapText="1"/>
    </xf>
    <xf numFmtId="0" fontId="26" fillId="14" borderId="338" xfId="0" applyFont="1" applyFill="1" applyBorder="1" applyAlignment="1">
      <alignment horizontal="centerContinuous" wrapText="1"/>
    </xf>
    <xf numFmtId="0" fontId="26" fillId="14" borderId="348" xfId="0" applyFont="1" applyFill="1" applyBorder="1" applyAlignment="1">
      <alignment horizontal="centerContinuous" wrapText="1"/>
    </xf>
    <xf numFmtId="0" fontId="12" fillId="15" borderId="336" xfId="0" applyFont="1" applyFill="1" applyBorder="1" applyAlignment="1">
      <alignment wrapText="1"/>
    </xf>
    <xf numFmtId="0" fontId="15" fillId="15" borderId="338" xfId="0" applyFont="1" applyFill="1" applyBorder="1" applyAlignment="1">
      <alignment wrapText="1"/>
    </xf>
    <xf numFmtId="0" fontId="12" fillId="12" borderId="336" xfId="0" applyFont="1" applyFill="1" applyBorder="1" applyAlignment="1">
      <alignment horizontal="left" vertical="center" wrapText="1"/>
    </xf>
    <xf numFmtId="0" fontId="26" fillId="12" borderId="50" xfId="0" applyFont="1" applyFill="1" applyBorder="1" applyAlignment="1">
      <alignment horizontal="center" wrapText="1"/>
    </xf>
    <xf numFmtId="0" fontId="0" fillId="0" borderId="28" xfId="0" applyBorder="1"/>
    <xf numFmtId="0" fontId="0" fillId="0" borderId="43" xfId="0" applyBorder="1"/>
    <xf numFmtId="0" fontId="15" fillId="0" borderId="0" xfId="0" applyFont="1" applyBorder="1" applyAlignment="1">
      <alignment horizontal="left" vertical="center" wrapText="1"/>
    </xf>
    <xf numFmtId="0" fontId="31" fillId="0" borderId="0" xfId="0" applyFont="1" applyFill="1" applyBorder="1" applyAlignment="1">
      <alignment horizontal="right"/>
    </xf>
    <xf numFmtId="0" fontId="31" fillId="0" borderId="0" xfId="0" applyFont="1" applyFill="1" applyBorder="1"/>
    <xf numFmtId="0" fontId="29" fillId="0" borderId="0" xfId="0" applyFont="1" applyBorder="1" applyAlignment="1">
      <alignment horizontal="center" vertical="center" wrapText="1"/>
    </xf>
    <xf numFmtId="0" fontId="0" fillId="0" borderId="0" xfId="0" applyBorder="1" applyAlignment="1">
      <alignment horizontal="center"/>
    </xf>
    <xf numFmtId="0" fontId="26" fillId="12" borderId="50" xfId="0" applyFont="1" applyFill="1" applyBorder="1" applyAlignment="1">
      <alignment horizontal="center" wrapText="1"/>
    </xf>
    <xf numFmtId="0" fontId="0" fillId="0" borderId="28" xfId="0" applyBorder="1"/>
    <xf numFmtId="0" fontId="0" fillId="0" borderId="43" xfId="0" applyBorder="1"/>
    <xf numFmtId="0" fontId="12" fillId="3" borderId="349" xfId="0" applyFont="1" applyFill="1" applyBorder="1" applyAlignment="1">
      <alignment wrapText="1"/>
    </xf>
    <xf numFmtId="0" fontId="12" fillId="3" borderId="350" xfId="0" applyFont="1" applyFill="1" applyBorder="1" applyAlignment="1">
      <alignment wrapText="1"/>
    </xf>
    <xf numFmtId="4" fontId="0" fillId="0" borderId="21" xfId="0" applyNumberFormat="1" applyBorder="1"/>
    <xf numFmtId="0" fontId="12" fillId="8" borderId="349" xfId="0" applyFont="1" applyFill="1" applyBorder="1"/>
    <xf numFmtId="0" fontId="12" fillId="8" borderId="350" xfId="0" applyFont="1" applyFill="1" applyBorder="1" applyAlignment="1">
      <alignment horizontal="center" wrapText="1"/>
    </xf>
    <xf numFmtId="0" fontId="15" fillId="0" borderId="353" xfId="0" applyFont="1" applyFill="1" applyBorder="1" applyAlignment="1">
      <alignment horizontal="left" vertical="center" wrapText="1"/>
    </xf>
    <xf numFmtId="0" fontId="12" fillId="8" borderId="350" xfId="0" applyFont="1" applyFill="1" applyBorder="1" applyAlignment="1">
      <alignment wrapText="1"/>
    </xf>
    <xf numFmtId="0" fontId="26" fillId="8" borderId="351" xfId="0" applyFont="1" applyFill="1" applyBorder="1" applyAlignment="1">
      <alignment horizontal="centerContinuous" wrapText="1"/>
    </xf>
    <xf numFmtId="0" fontId="26" fillId="8" borderId="352" xfId="0" applyFont="1" applyFill="1" applyBorder="1" applyAlignment="1">
      <alignment horizontal="centerContinuous" wrapText="1"/>
    </xf>
    <xf numFmtId="0" fontId="12" fillId="10" borderId="349" xfId="0" applyFont="1" applyFill="1" applyBorder="1" applyAlignment="1">
      <alignment wrapText="1"/>
    </xf>
    <xf numFmtId="0" fontId="34" fillId="10" borderId="350" xfId="0" applyFont="1" applyFill="1" applyBorder="1" applyAlignment="1">
      <alignment horizontal="center" wrapText="1"/>
    </xf>
    <xf numFmtId="0" fontId="27" fillId="12" borderId="351" xfId="0" applyFont="1" applyFill="1" applyBorder="1" applyAlignment="1">
      <alignment horizontal="centerContinuous" wrapText="1"/>
    </xf>
    <xf numFmtId="0" fontId="27" fillId="12" borderId="352" xfId="0" applyFont="1" applyFill="1" applyBorder="1" applyAlignment="1">
      <alignment horizontal="centerContinuous" wrapText="1"/>
    </xf>
    <xf numFmtId="0" fontId="26" fillId="12" borderId="355" xfId="0" applyFont="1" applyFill="1" applyBorder="1" applyAlignment="1">
      <alignment horizontal="center" wrapText="1"/>
    </xf>
    <xf numFmtId="0" fontId="26" fillId="12" borderId="351" xfId="0" applyFont="1" applyFill="1" applyBorder="1" applyAlignment="1">
      <alignment horizontal="centerContinuous" wrapText="1"/>
    </xf>
    <xf numFmtId="0" fontId="26" fillId="13" borderId="356" xfId="0" applyFont="1" applyFill="1" applyBorder="1" applyAlignment="1">
      <alignment horizontal="centerContinuous" wrapText="1"/>
    </xf>
    <xf numFmtId="0" fontId="26" fillId="13" borderId="357" xfId="0" applyFont="1" applyFill="1" applyBorder="1" applyAlignment="1">
      <alignment horizontal="centerContinuous" wrapText="1"/>
    </xf>
    <xf numFmtId="0" fontId="26" fillId="13" borderId="358" xfId="0" applyFont="1" applyFill="1" applyBorder="1" applyAlignment="1">
      <alignment horizontal="centerContinuous" wrapText="1"/>
    </xf>
    <xf numFmtId="0" fontId="26" fillId="13" borderId="351" xfId="0" applyFont="1" applyFill="1" applyBorder="1" applyAlignment="1">
      <alignment horizontal="centerContinuous" wrapText="1"/>
    </xf>
    <xf numFmtId="0" fontId="26" fillId="13" borderId="361" xfId="0" applyFont="1" applyFill="1" applyBorder="1" applyAlignment="1">
      <alignment horizontal="centerContinuous" wrapText="1"/>
    </xf>
    <xf numFmtId="0" fontId="26" fillId="13" borderId="352" xfId="0" applyFont="1" applyFill="1" applyBorder="1" applyAlignment="1">
      <alignment horizontal="centerContinuous" wrapText="1"/>
    </xf>
    <xf numFmtId="0" fontId="0" fillId="4" borderId="353" xfId="0" applyFont="1" applyFill="1" applyBorder="1"/>
    <xf numFmtId="0" fontId="0" fillId="13" borderId="351" xfId="0" applyFont="1" applyFill="1" applyBorder="1" applyAlignment="1">
      <alignment wrapText="1"/>
    </xf>
    <xf numFmtId="0" fontId="26" fillId="14" borderId="351" xfId="0" applyFont="1" applyFill="1" applyBorder="1" applyAlignment="1">
      <alignment horizontal="centerContinuous" wrapText="1"/>
    </xf>
    <xf numFmtId="0" fontId="26" fillId="14" borderId="361" xfId="0" applyFont="1" applyFill="1" applyBorder="1" applyAlignment="1">
      <alignment horizontal="centerContinuous" wrapText="1"/>
    </xf>
    <xf numFmtId="0" fontId="12" fillId="15" borderId="349" xfId="0" applyFont="1" applyFill="1" applyBorder="1" applyAlignment="1">
      <alignment wrapText="1"/>
    </xf>
    <xf numFmtId="0" fontId="15" fillId="15" borderId="351" xfId="0" applyFont="1" applyFill="1" applyBorder="1" applyAlignment="1">
      <alignment wrapText="1"/>
    </xf>
    <xf numFmtId="0" fontId="12" fillId="12" borderId="349" xfId="0" applyFont="1" applyFill="1" applyBorder="1" applyAlignment="1">
      <alignment horizontal="left" vertical="center" wrapText="1"/>
    </xf>
    <xf numFmtId="0" fontId="13" fillId="4" borderId="0" xfId="0" applyFont="1" applyFill="1" applyBorder="1" applyAlignment="1">
      <alignment horizontal="centerContinuous" wrapText="1"/>
    </xf>
    <xf numFmtId="0" fontId="14" fillId="4" borderId="0" xfId="0" applyFont="1" applyFill="1" applyBorder="1" applyAlignment="1">
      <alignment horizontal="centerContinuous" wrapText="1"/>
    </xf>
    <xf numFmtId="0" fontId="0" fillId="4" borderId="0" xfId="0" applyFill="1" applyBorder="1" applyAlignment="1">
      <alignment horizontal="centerContinuous" wrapText="1"/>
    </xf>
    <xf numFmtId="0" fontId="12" fillId="3" borderId="363" xfId="0" applyFont="1" applyFill="1" applyBorder="1" applyAlignment="1">
      <alignment wrapText="1"/>
    </xf>
    <xf numFmtId="0" fontId="22" fillId="4" borderId="0" xfId="0" applyFont="1" applyFill="1" applyBorder="1"/>
    <xf numFmtId="0" fontId="0" fillId="4" borderId="0" xfId="0" applyFill="1" applyBorder="1" applyAlignment="1">
      <alignment horizontal="left" vertical="center"/>
    </xf>
    <xf numFmtId="0" fontId="22" fillId="4" borderId="0" xfId="0" applyFont="1" applyFill="1" applyBorder="1" applyAlignment="1">
      <alignment horizontal="left" vertical="center"/>
    </xf>
    <xf numFmtId="0" fontId="22" fillId="4" borderId="0" xfId="0" applyFont="1" applyFill="1" applyAlignment="1">
      <alignment horizontal="left" vertical="center"/>
    </xf>
    <xf numFmtId="0" fontId="0" fillId="4" borderId="0" xfId="0" applyFill="1" applyAlignment="1">
      <alignment wrapText="1"/>
    </xf>
    <xf numFmtId="0" fontId="34" fillId="0" borderId="0" xfId="0" applyFont="1"/>
    <xf numFmtId="0" fontId="26" fillId="12" borderId="50" xfId="0" applyFont="1" applyFill="1" applyBorder="1" applyAlignment="1">
      <alignment horizontal="center" wrapText="1"/>
    </xf>
    <xf numFmtId="0" fontId="0" fillId="0" borderId="28" xfId="0" applyBorder="1"/>
    <xf numFmtId="0" fontId="0" fillId="0" borderId="43" xfId="0" applyBorder="1"/>
    <xf numFmtId="0" fontId="26" fillId="12" borderId="190" xfId="0" applyFont="1" applyFill="1" applyBorder="1" applyAlignment="1">
      <alignment horizontal="center" wrapText="1"/>
    </xf>
    <xf numFmtId="0" fontId="12" fillId="3" borderId="368" xfId="0" applyFont="1" applyFill="1" applyBorder="1" applyAlignment="1">
      <alignment wrapText="1"/>
    </xf>
    <xf numFmtId="0" fontId="12" fillId="3" borderId="369" xfId="0" applyFont="1" applyFill="1" applyBorder="1" applyAlignment="1">
      <alignment wrapText="1"/>
    </xf>
    <xf numFmtId="0" fontId="12" fillId="8" borderId="368" xfId="0" applyFont="1" applyFill="1" applyBorder="1"/>
    <xf numFmtId="0" fontId="12" fillId="8" borderId="369" xfId="0" applyFont="1" applyFill="1" applyBorder="1" applyAlignment="1">
      <alignment horizontal="center" wrapText="1"/>
    </xf>
    <xf numFmtId="0" fontId="15" fillId="0" borderId="372" xfId="0" applyFont="1" applyFill="1" applyBorder="1" applyAlignment="1">
      <alignment horizontal="left" vertical="center" wrapText="1"/>
    </xf>
    <xf numFmtId="0" fontId="12" fillId="8" borderId="369" xfId="0" applyFont="1" applyFill="1" applyBorder="1" applyAlignment="1">
      <alignment wrapText="1"/>
    </xf>
    <xf numFmtId="0" fontId="26" fillId="8" borderId="370" xfId="0" applyFont="1" applyFill="1" applyBorder="1" applyAlignment="1">
      <alignment horizontal="centerContinuous" wrapText="1"/>
    </xf>
    <xf numFmtId="0" fontId="26" fillId="8" borderId="371" xfId="0" applyFont="1" applyFill="1" applyBorder="1" applyAlignment="1">
      <alignment horizontal="centerContinuous" wrapText="1"/>
    </xf>
    <xf numFmtId="3" fontId="30" fillId="0" borderId="21" xfId="0" applyNumberFormat="1" applyFont="1" applyBorder="1"/>
    <xf numFmtId="3" fontId="0" fillId="0" borderId="57" xfId="0" applyNumberFormat="1" applyBorder="1"/>
    <xf numFmtId="0" fontId="12" fillId="10" borderId="368" xfId="0" applyFont="1" applyFill="1" applyBorder="1" applyAlignment="1">
      <alignment wrapText="1"/>
    </xf>
    <xf numFmtId="0" fontId="34" fillId="10" borderId="369" xfId="0" applyFont="1" applyFill="1" applyBorder="1" applyAlignment="1">
      <alignment horizontal="center" wrapText="1"/>
    </xf>
    <xf numFmtId="0" fontId="27" fillId="12" borderId="370" xfId="0" applyFont="1" applyFill="1" applyBorder="1" applyAlignment="1">
      <alignment horizontal="centerContinuous" wrapText="1"/>
    </xf>
    <xf numFmtId="0" fontId="27" fillId="12" borderId="371" xfId="0" applyFont="1" applyFill="1" applyBorder="1" applyAlignment="1">
      <alignment horizontal="centerContinuous" wrapText="1"/>
    </xf>
    <xf numFmtId="0" fontId="26" fillId="12" borderId="374" xfId="0" applyFont="1" applyFill="1" applyBorder="1" applyAlignment="1">
      <alignment horizontal="center" wrapText="1"/>
    </xf>
    <xf numFmtId="0" fontId="26" fillId="12" borderId="370" xfId="0" applyFont="1" applyFill="1" applyBorder="1" applyAlignment="1">
      <alignment horizontal="centerContinuous" wrapText="1"/>
    </xf>
    <xf numFmtId="0" fontId="26" fillId="13" borderId="375" xfId="0" applyFont="1" applyFill="1" applyBorder="1" applyAlignment="1">
      <alignment horizontal="centerContinuous" wrapText="1"/>
    </xf>
    <xf numFmtId="0" fontId="26" fillId="13" borderId="376" xfId="0" applyFont="1" applyFill="1" applyBorder="1" applyAlignment="1">
      <alignment horizontal="centerContinuous" wrapText="1"/>
    </xf>
    <xf numFmtId="0" fontId="26" fillId="13" borderId="377" xfId="0" applyFont="1" applyFill="1" applyBorder="1" applyAlignment="1">
      <alignment horizontal="centerContinuous" wrapText="1"/>
    </xf>
    <xf numFmtId="0" fontId="26" fillId="13" borderId="370" xfId="0" applyFont="1" applyFill="1" applyBorder="1" applyAlignment="1">
      <alignment horizontal="centerContinuous" wrapText="1"/>
    </xf>
    <xf numFmtId="0" fontId="26" fillId="13" borderId="380" xfId="0" applyFont="1" applyFill="1" applyBorder="1" applyAlignment="1">
      <alignment horizontal="centerContinuous" wrapText="1"/>
    </xf>
    <xf numFmtId="0" fontId="26" fillId="13" borderId="371" xfId="0" applyFont="1" applyFill="1" applyBorder="1" applyAlignment="1">
      <alignment horizontal="centerContinuous" wrapText="1"/>
    </xf>
    <xf numFmtId="0" fontId="0" fillId="4" borderId="372" xfId="0" applyFont="1" applyFill="1" applyBorder="1"/>
    <xf numFmtId="0" fontId="0" fillId="13" borderId="370" xfId="0" applyFont="1" applyFill="1" applyBorder="1" applyAlignment="1">
      <alignment wrapText="1"/>
    </xf>
    <xf numFmtId="0" fontId="26" fillId="14" borderId="370" xfId="0" applyFont="1" applyFill="1" applyBorder="1" applyAlignment="1">
      <alignment horizontal="centerContinuous" wrapText="1"/>
    </xf>
    <xf numFmtId="0" fontId="26" fillId="14" borderId="380" xfId="0" applyFont="1" applyFill="1" applyBorder="1" applyAlignment="1">
      <alignment horizontal="centerContinuous" wrapText="1"/>
    </xf>
    <xf numFmtId="0" fontId="12" fillId="15" borderId="368" xfId="0" applyFont="1" applyFill="1" applyBorder="1" applyAlignment="1">
      <alignment wrapText="1"/>
    </xf>
    <xf numFmtId="0" fontId="15" fillId="15" borderId="370" xfId="0" applyFont="1" applyFill="1" applyBorder="1" applyAlignment="1">
      <alignment wrapText="1"/>
    </xf>
    <xf numFmtId="0" fontId="12" fillId="12" borderId="368" xfId="0" applyFont="1" applyFill="1" applyBorder="1" applyAlignment="1">
      <alignment horizontal="left" vertical="center" wrapText="1"/>
    </xf>
    <xf numFmtId="4" fontId="24" fillId="0" borderId="21" xfId="0" applyNumberFormat="1" applyFont="1" applyBorder="1" applyAlignment="1">
      <alignment horizontal="right"/>
    </xf>
    <xf numFmtId="0" fontId="147" fillId="0" borderId="0" xfId="0" applyFont="1"/>
    <xf numFmtId="0" fontId="147" fillId="0" borderId="0" xfId="0" applyFont="1" applyAlignment="1"/>
    <xf numFmtId="0" fontId="148" fillId="0" borderId="0" xfId="0" applyFont="1" applyAlignment="1"/>
    <xf numFmtId="0" fontId="149" fillId="0" borderId="0" xfId="0" applyFont="1"/>
    <xf numFmtId="0" fontId="149" fillId="0" borderId="0" xfId="0" applyFont="1" applyBorder="1"/>
    <xf numFmtId="0" fontId="151" fillId="34" borderId="0" xfId="0" applyFont="1" applyFill="1"/>
    <xf numFmtId="0" fontId="0" fillId="34" borderId="0" xfId="0" applyFill="1"/>
    <xf numFmtId="0" fontId="152" fillId="34" borderId="368" xfId="0" applyFont="1" applyFill="1" applyBorder="1" applyAlignment="1">
      <alignment wrapText="1"/>
    </xf>
    <xf numFmtId="0" fontId="152" fillId="34" borderId="369" xfId="0" applyFont="1" applyFill="1" applyBorder="1" applyAlignment="1">
      <alignment wrapText="1"/>
    </xf>
    <xf numFmtId="0" fontId="153" fillId="34" borderId="385" xfId="0" applyFont="1" applyFill="1" applyBorder="1" applyAlignment="1">
      <alignment horizontal="center" wrapText="1"/>
    </xf>
    <xf numFmtId="0" fontId="85" fillId="34" borderId="386" xfId="0" applyFont="1" applyFill="1" applyBorder="1" applyAlignment="1">
      <alignment horizontal="center" vertical="center"/>
    </xf>
    <xf numFmtId="0" fontId="0" fillId="34" borderId="386" xfId="0" applyFill="1" applyBorder="1" applyAlignment="1">
      <alignment horizontal="center" wrapText="1"/>
    </xf>
    <xf numFmtId="0" fontId="153" fillId="34" borderId="387" xfId="0" applyFont="1" applyFill="1" applyBorder="1" applyAlignment="1">
      <alignment horizontal="center" wrapText="1"/>
    </xf>
    <xf numFmtId="0" fontId="153" fillId="0" borderId="0" xfId="0" applyFont="1" applyBorder="1" applyAlignment="1">
      <alignment horizontal="center" wrapText="1"/>
    </xf>
    <xf numFmtId="0" fontId="85" fillId="0" borderId="0" xfId="0" applyFont="1" applyBorder="1" applyAlignment="1">
      <alignment horizontal="center" wrapText="1"/>
    </xf>
    <xf numFmtId="0" fontId="0" fillId="0" borderId="0" xfId="0" applyBorder="1" applyAlignment="1">
      <alignment horizontal="center" wrapText="1"/>
    </xf>
    <xf numFmtId="0" fontId="152" fillId="34" borderId="388" xfId="0" applyFont="1" applyFill="1" applyBorder="1" applyAlignment="1">
      <alignment wrapText="1"/>
    </xf>
    <xf numFmtId="0" fontId="152" fillId="34" borderId="18" xfId="0" applyFont="1" applyFill="1" applyBorder="1" applyAlignment="1">
      <alignment horizontal="center" wrapText="1"/>
    </xf>
    <xf numFmtId="0" fontId="154" fillId="34" borderId="19" xfId="0" applyFont="1" applyFill="1" applyBorder="1" applyAlignment="1">
      <alignment wrapText="1"/>
    </xf>
    <xf numFmtId="0" fontId="154" fillId="34" borderId="20" xfId="0" applyFont="1" applyFill="1" applyBorder="1" applyAlignment="1">
      <alignment horizontal="center" wrapText="1"/>
    </xf>
    <xf numFmtId="0" fontId="154" fillId="34" borderId="21" xfId="0" applyFont="1" applyFill="1" applyBorder="1" applyAlignment="1">
      <alignment horizontal="center" wrapText="1"/>
    </xf>
    <xf numFmtId="0" fontId="155" fillId="34" borderId="22" xfId="0" applyFont="1" applyFill="1" applyBorder="1" applyAlignment="1">
      <alignment horizontal="center" wrapText="1"/>
    </xf>
    <xf numFmtId="0" fontId="88" fillId="34" borderId="23" xfId="0" applyFont="1" applyFill="1" applyBorder="1" applyAlignment="1">
      <alignment wrapText="1"/>
    </xf>
    <xf numFmtId="0" fontId="154" fillId="34" borderId="21" xfId="0" applyFont="1" applyFill="1" applyBorder="1" applyAlignment="1">
      <alignment wrapText="1"/>
    </xf>
    <xf numFmtId="0" fontId="88" fillId="34" borderId="21" xfId="0" applyFont="1" applyFill="1" applyBorder="1" applyAlignment="1">
      <alignment wrapText="1"/>
    </xf>
    <xf numFmtId="0" fontId="154" fillId="34" borderId="24" xfId="0" applyFont="1" applyFill="1" applyBorder="1" applyAlignment="1">
      <alignment wrapText="1"/>
    </xf>
    <xf numFmtId="0" fontId="154" fillId="0" borderId="0" xfId="0" applyFont="1" applyBorder="1" applyAlignment="1">
      <alignment wrapText="1"/>
    </xf>
    <xf numFmtId="0" fontId="0" fillId="35" borderId="19" xfId="0" applyFill="1" applyBorder="1"/>
    <xf numFmtId="0" fontId="0" fillId="35" borderId="20" xfId="0" applyFill="1" applyBorder="1"/>
    <xf numFmtId="0" fontId="0" fillId="35" borderId="21" xfId="0" applyFill="1" applyBorder="1"/>
    <xf numFmtId="0" fontId="0" fillId="36" borderId="22" xfId="0" applyFill="1" applyBorder="1"/>
    <xf numFmtId="0" fontId="0" fillId="35" borderId="23" xfId="0" applyFill="1" applyBorder="1"/>
    <xf numFmtId="0" fontId="0" fillId="35" borderId="24" xfId="0" applyFill="1" applyBorder="1"/>
    <xf numFmtId="0" fontId="0" fillId="0" borderId="389" xfId="0" applyBorder="1"/>
    <xf numFmtId="0" fontId="0" fillId="33" borderId="24" xfId="0" applyFill="1" applyBorder="1"/>
    <xf numFmtId="0" fontId="153" fillId="36" borderId="29" xfId="0" applyFont="1" applyFill="1" applyBorder="1" applyAlignment="1">
      <alignment horizontal="right"/>
    </xf>
    <xf numFmtId="0" fontId="0" fillId="36" borderId="30" xfId="0" applyFill="1" applyBorder="1"/>
    <xf numFmtId="0" fontId="0" fillId="36" borderId="31" xfId="0" applyFill="1" applyBorder="1"/>
    <xf numFmtId="0" fontId="0" fillId="36" borderId="32" xfId="0" applyFill="1" applyBorder="1"/>
    <xf numFmtId="0" fontId="0" fillId="36" borderId="33" xfId="0" applyFill="1" applyBorder="1"/>
    <xf numFmtId="0" fontId="0" fillId="36" borderId="34" xfId="0" applyFill="1" applyBorder="1"/>
    <xf numFmtId="0" fontId="0" fillId="36" borderId="35" xfId="0" applyFill="1" applyBorder="1"/>
    <xf numFmtId="0" fontId="153" fillId="0" borderId="0" xfId="0" applyFont="1" applyAlignment="1">
      <alignment horizontal="right"/>
    </xf>
    <xf numFmtId="0" fontId="153" fillId="34" borderId="390" xfId="0" applyFont="1" applyFill="1" applyBorder="1" applyAlignment="1">
      <alignment horizontal="center" wrapText="1"/>
    </xf>
    <xf numFmtId="0" fontId="152" fillId="34" borderId="235" xfId="0" applyFont="1" applyFill="1" applyBorder="1" applyAlignment="1">
      <alignment wrapText="1"/>
    </xf>
    <xf numFmtId="0" fontId="154" fillId="34" borderId="22" xfId="0" applyFont="1" applyFill="1" applyBorder="1" applyAlignment="1">
      <alignment wrapText="1"/>
    </xf>
    <xf numFmtId="0" fontId="154" fillId="34" borderId="23" xfId="0" applyFont="1" applyFill="1" applyBorder="1" applyAlignment="1">
      <alignment horizontal="center" wrapText="1"/>
    </xf>
    <xf numFmtId="0" fontId="155" fillId="34" borderId="24" xfId="0" applyFont="1" applyFill="1" applyBorder="1" applyAlignment="1">
      <alignment horizontal="center" wrapText="1"/>
    </xf>
    <xf numFmtId="0" fontId="0" fillId="35" borderId="22" xfId="0" applyFill="1" applyBorder="1"/>
    <xf numFmtId="0" fontId="0" fillId="36" borderId="24" xfId="0" applyFill="1" applyBorder="1"/>
    <xf numFmtId="0" fontId="153" fillId="36" borderId="32" xfId="0" applyFont="1" applyFill="1" applyBorder="1" applyAlignment="1">
      <alignment horizontal="right"/>
    </xf>
    <xf numFmtId="0" fontId="151" fillId="37" borderId="0" xfId="0" applyFont="1" applyFill="1"/>
    <xf numFmtId="0" fontId="0" fillId="37" borderId="0" xfId="0" applyFill="1"/>
    <xf numFmtId="0" fontId="152" fillId="37" borderId="368" xfId="0" applyFont="1" applyFill="1" applyBorder="1"/>
    <xf numFmtId="0" fontId="152" fillId="37" borderId="369" xfId="0" applyFont="1" applyFill="1" applyBorder="1" applyAlignment="1">
      <alignment horizontal="center" wrapText="1"/>
    </xf>
    <xf numFmtId="0" fontId="154" fillId="37" borderId="392" xfId="0" applyFont="1" applyFill="1" applyBorder="1"/>
    <xf numFmtId="0" fontId="154" fillId="37" borderId="393" xfId="0" applyFont="1" applyFill="1" applyBorder="1" applyAlignment="1">
      <alignment horizontal="center" wrapText="1"/>
    </xf>
    <xf numFmtId="0" fontId="154" fillId="37" borderId="392" xfId="0" applyFont="1" applyFill="1" applyBorder="1" applyAlignment="1">
      <alignment horizontal="center" wrapText="1"/>
    </xf>
    <xf numFmtId="0" fontId="154" fillId="33" borderId="0" xfId="0" applyFont="1" applyFill="1" applyBorder="1" applyAlignment="1">
      <alignment wrapText="1"/>
    </xf>
    <xf numFmtId="0" fontId="0" fillId="35" borderId="19" xfId="0" applyFont="1" applyFill="1" applyBorder="1"/>
    <xf numFmtId="0" fontId="0" fillId="36" borderId="29" xfId="0" applyFill="1" applyBorder="1"/>
    <xf numFmtId="0" fontId="0" fillId="33" borderId="0" xfId="0" applyFill="1" applyBorder="1"/>
    <xf numFmtId="0" fontId="154" fillId="0" borderId="372" xfId="0" applyFont="1" applyBorder="1" applyAlignment="1">
      <alignment horizontal="left" vertical="center" wrapText="1"/>
    </xf>
    <xf numFmtId="0" fontId="154" fillId="0" borderId="0" xfId="0" applyFont="1" applyBorder="1" applyAlignment="1">
      <alignment horizontal="center" vertical="center" wrapText="1"/>
    </xf>
    <xf numFmtId="0" fontId="153" fillId="0" borderId="0" xfId="0" applyFont="1" applyBorder="1" applyAlignment="1">
      <alignment horizontal="right"/>
    </xf>
    <xf numFmtId="0" fontId="152" fillId="37" borderId="385" xfId="0" applyFont="1" applyFill="1" applyBorder="1"/>
    <xf numFmtId="0" fontId="154" fillId="37" borderId="392" xfId="0" applyFont="1" applyFill="1" applyBorder="1" applyAlignment="1">
      <alignment horizontal="left"/>
    </xf>
    <xf numFmtId="0" fontId="154" fillId="37" borderId="386" xfId="0" applyFont="1" applyFill="1" applyBorder="1" applyAlignment="1">
      <alignment horizontal="center" wrapText="1"/>
    </xf>
    <xf numFmtId="0" fontId="154" fillId="37" borderId="387" xfId="0" applyFont="1" applyFill="1" applyBorder="1" applyAlignment="1">
      <alignment horizontal="center" wrapText="1"/>
    </xf>
    <xf numFmtId="0" fontId="154" fillId="35" borderId="19" xfId="0" applyFont="1" applyFill="1" applyBorder="1"/>
    <xf numFmtId="0" fontId="152" fillId="37" borderId="369" xfId="0" applyFont="1" applyFill="1" applyBorder="1" applyAlignment="1">
      <alignment wrapText="1"/>
    </xf>
    <xf numFmtId="0" fontId="152" fillId="37" borderId="49" xfId="0" applyFont="1" applyFill="1" applyBorder="1" applyAlignment="1">
      <alignment horizontal="center" wrapText="1"/>
    </xf>
    <xf numFmtId="0" fontId="88" fillId="37" borderId="52" xfId="0" applyFont="1" applyFill="1" applyBorder="1" applyAlignment="1">
      <alignment wrapText="1"/>
    </xf>
    <xf numFmtId="0" fontId="154" fillId="37" borderId="53" xfId="0" applyFont="1" applyFill="1" applyBorder="1" applyAlignment="1">
      <alignment wrapText="1"/>
    </xf>
    <xf numFmtId="0" fontId="154" fillId="37" borderId="54" xfId="0" applyFont="1" applyFill="1" applyBorder="1" applyAlignment="1">
      <alignment wrapText="1"/>
    </xf>
    <xf numFmtId="0" fontId="88" fillId="37" borderId="54" xfId="0" applyFont="1" applyFill="1" applyBorder="1" applyAlignment="1">
      <alignment wrapText="1"/>
    </xf>
    <xf numFmtId="0" fontId="154" fillId="37" borderId="55" xfId="0" applyFont="1" applyFill="1" applyBorder="1" applyAlignment="1">
      <alignment wrapText="1"/>
    </xf>
    <xf numFmtId="0" fontId="0" fillId="35" borderId="21" xfId="0" applyFont="1" applyFill="1" applyBorder="1"/>
    <xf numFmtId="0" fontId="0" fillId="35" borderId="52" xfId="0" applyFill="1" applyBorder="1"/>
    <xf numFmtId="0" fontId="0" fillId="35" borderId="53" xfId="0" applyFill="1" applyBorder="1"/>
    <xf numFmtId="0" fontId="153" fillId="38" borderId="29" xfId="0" applyFont="1" applyFill="1" applyBorder="1" applyAlignment="1">
      <alignment horizontal="right"/>
    </xf>
    <xf numFmtId="0" fontId="0" fillId="38" borderId="31" xfId="0" applyFont="1" applyFill="1" applyBorder="1" applyAlignment="1">
      <alignment horizontal="right"/>
    </xf>
    <xf numFmtId="0" fontId="0" fillId="38" borderId="34" xfId="0" applyFill="1" applyBorder="1"/>
    <xf numFmtId="0" fontId="0" fillId="38" borderId="31" xfId="0" applyFill="1" applyBorder="1"/>
    <xf numFmtId="0" fontId="0" fillId="38" borderId="35" xfId="0" applyFill="1" applyBorder="1"/>
    <xf numFmtId="0" fontId="153" fillId="33" borderId="0" xfId="0" applyFont="1" applyFill="1" applyBorder="1" applyAlignment="1">
      <alignment horizontal="right" wrapText="1"/>
    </xf>
    <xf numFmtId="0" fontId="0" fillId="33" borderId="0" xfId="0" applyFont="1" applyFill="1" applyBorder="1" applyAlignment="1">
      <alignment horizontal="right" wrapText="1"/>
    </xf>
    <xf numFmtId="0" fontId="0" fillId="33" borderId="0" xfId="0" applyFill="1" applyBorder="1" applyAlignment="1">
      <alignment wrapText="1"/>
    </xf>
    <xf numFmtId="0" fontId="154" fillId="37" borderId="386" xfId="0" applyFont="1" applyFill="1" applyBorder="1" applyAlignment="1">
      <alignment wrapText="1"/>
    </xf>
    <xf numFmtId="0" fontId="154" fillId="37" borderId="392" xfId="0" applyFont="1" applyFill="1" applyBorder="1" applyAlignment="1">
      <alignment wrapText="1"/>
    </xf>
    <xf numFmtId="0" fontId="155" fillId="37" borderId="396" xfId="0" applyFont="1" applyFill="1" applyBorder="1" applyAlignment="1">
      <alignment wrapText="1"/>
    </xf>
    <xf numFmtId="0" fontId="88" fillId="37" borderId="59" xfId="0" applyFont="1" applyFill="1" applyBorder="1" applyAlignment="1">
      <alignment wrapText="1"/>
    </xf>
    <xf numFmtId="0" fontId="154" fillId="37" borderId="60" xfId="0" applyFont="1" applyFill="1" applyBorder="1" applyAlignment="1">
      <alignment wrapText="1"/>
    </xf>
    <xf numFmtId="0" fontId="88" fillId="37" borderId="60" xfId="0" applyFont="1" applyFill="1" applyBorder="1" applyAlignment="1">
      <alignment wrapText="1"/>
    </xf>
    <xf numFmtId="0" fontId="154" fillId="37" borderId="61" xfId="0" applyFont="1" applyFill="1" applyBorder="1" applyAlignment="1">
      <alignment wrapText="1"/>
    </xf>
    <xf numFmtId="0" fontId="0" fillId="38" borderId="62" xfId="0" applyFill="1" applyBorder="1"/>
    <xf numFmtId="0" fontId="0" fillId="35" borderId="54" xfId="0" applyFill="1" applyBorder="1"/>
    <xf numFmtId="0" fontId="0" fillId="35" borderId="55" xfId="0" applyFill="1" applyBorder="1"/>
    <xf numFmtId="0" fontId="153" fillId="38" borderId="32" xfId="0" applyFont="1" applyFill="1" applyBorder="1" applyAlignment="1">
      <alignment horizontal="right"/>
    </xf>
    <xf numFmtId="0" fontId="153" fillId="38" borderId="34" xfId="0" applyFont="1" applyFill="1" applyBorder="1" applyAlignment="1">
      <alignment horizontal="right"/>
    </xf>
    <xf numFmtId="0" fontId="0" fillId="38" borderId="30" xfId="0" applyFill="1" applyBorder="1"/>
    <xf numFmtId="0" fontId="153" fillId="33" borderId="0" xfId="0" applyFont="1" applyFill="1" applyBorder="1" applyAlignment="1">
      <alignment horizontal="right"/>
    </xf>
    <xf numFmtId="0" fontId="153" fillId="33" borderId="0" xfId="0" applyFont="1" applyFill="1" applyBorder="1"/>
    <xf numFmtId="0" fontId="151" fillId="39" borderId="0" xfId="0" applyFont="1" applyFill="1"/>
    <xf numFmtId="0" fontId="156" fillId="39" borderId="0" xfId="0" applyFont="1" applyFill="1"/>
    <xf numFmtId="0" fontId="156" fillId="0" borderId="0" xfId="0" applyFont="1"/>
    <xf numFmtId="0" fontId="153" fillId="0" borderId="0" xfId="0" applyFont="1"/>
    <xf numFmtId="0" fontId="152" fillId="39" borderId="368" xfId="0" applyFont="1" applyFill="1" applyBorder="1" applyAlignment="1">
      <alignment wrapText="1"/>
    </xf>
    <xf numFmtId="0" fontId="82" fillId="39" borderId="369" xfId="0" applyFont="1" applyFill="1" applyBorder="1" applyAlignment="1">
      <alignment horizontal="center" wrapText="1"/>
    </xf>
    <xf numFmtId="0" fontId="154" fillId="39" borderId="392" xfId="0" applyFont="1" applyFill="1" applyBorder="1" applyAlignment="1">
      <alignment wrapText="1"/>
    </xf>
    <xf numFmtId="0" fontId="155" fillId="39" borderId="396" xfId="0" applyFont="1" applyFill="1" applyBorder="1" applyAlignment="1">
      <alignment wrapText="1"/>
    </xf>
    <xf numFmtId="0" fontId="154" fillId="39" borderId="397" xfId="0" applyFont="1" applyFill="1" applyBorder="1" applyAlignment="1">
      <alignment wrapText="1"/>
    </xf>
    <xf numFmtId="0" fontId="154" fillId="39" borderId="386" xfId="0" applyFont="1" applyFill="1" applyBorder="1" applyAlignment="1">
      <alignment wrapText="1"/>
    </xf>
    <xf numFmtId="0" fontId="154" fillId="39" borderId="387" xfId="0" applyFont="1" applyFill="1" applyBorder="1" applyAlignment="1">
      <alignment wrapText="1"/>
    </xf>
    <xf numFmtId="0" fontId="0" fillId="35" borderId="62" xfId="0" applyFill="1" applyBorder="1"/>
    <xf numFmtId="0" fontId="0" fillId="35" borderId="57" xfId="0" applyFill="1" applyBorder="1"/>
    <xf numFmtId="0" fontId="153" fillId="38" borderId="64" xfId="0" applyFont="1" applyFill="1" applyBorder="1"/>
    <xf numFmtId="0" fontId="151" fillId="40" borderId="0" xfId="0" applyFont="1" applyFill="1"/>
    <xf numFmtId="0" fontId="0" fillId="40" borderId="0" xfId="0" applyFill="1"/>
    <xf numFmtId="0" fontId="0" fillId="33" borderId="0" xfId="0" applyFill="1"/>
    <xf numFmtId="0" fontId="151" fillId="0" borderId="0" xfId="0" applyFont="1"/>
    <xf numFmtId="0" fontId="0" fillId="33" borderId="0" xfId="0" applyFont="1" applyFill="1" applyBorder="1"/>
    <xf numFmtId="0" fontId="154" fillId="41" borderId="20" xfId="0" applyFont="1" applyFill="1" applyBorder="1" applyAlignment="1">
      <alignment wrapText="1"/>
    </xf>
    <xf numFmtId="0" fontId="154" fillId="41" borderId="21" xfId="0" applyFont="1" applyFill="1" applyBorder="1" applyAlignment="1">
      <alignment wrapText="1"/>
    </xf>
    <xf numFmtId="0" fontId="88" fillId="41" borderId="52" xfId="0" applyFont="1" applyFill="1" applyBorder="1" applyAlignment="1">
      <alignment wrapText="1"/>
    </xf>
    <xf numFmtId="0" fontId="157" fillId="41" borderId="53" xfId="0" applyFont="1" applyFill="1" applyBorder="1" applyAlignment="1">
      <alignment wrapText="1"/>
    </xf>
    <xf numFmtId="0" fontId="154" fillId="41" borderId="53" xfId="0" applyFont="1" applyFill="1" applyBorder="1" applyAlignment="1">
      <alignment wrapText="1"/>
    </xf>
    <xf numFmtId="0" fontId="154" fillId="41" borderId="54" xfId="0" applyFont="1" applyFill="1" applyBorder="1" applyAlignment="1">
      <alignment wrapText="1"/>
    </xf>
    <xf numFmtId="0" fontId="88" fillId="41" borderId="54" xfId="0" applyFont="1" applyFill="1" applyBorder="1" applyAlignment="1">
      <alignment wrapText="1"/>
    </xf>
    <xf numFmtId="0" fontId="154" fillId="41" borderId="55" xfId="0" applyFont="1" applyFill="1" applyBorder="1" applyAlignment="1">
      <alignment wrapText="1"/>
    </xf>
    <xf numFmtId="0" fontId="0" fillId="35" borderId="57" xfId="0" applyFont="1" applyFill="1" applyBorder="1"/>
    <xf numFmtId="0" fontId="0" fillId="35" borderId="24" xfId="0" applyFont="1" applyFill="1" applyBorder="1"/>
    <xf numFmtId="0" fontId="0" fillId="38" borderId="34" xfId="0" applyFont="1" applyFill="1" applyBorder="1"/>
    <xf numFmtId="0" fontId="0" fillId="38" borderId="31" xfId="0" applyFont="1" applyFill="1" applyBorder="1"/>
    <xf numFmtId="0" fontId="0" fillId="38" borderId="35" xfId="0" applyFont="1" applyFill="1" applyBorder="1"/>
    <xf numFmtId="0" fontId="155" fillId="0" borderId="0" xfId="0" applyFont="1"/>
    <xf numFmtId="0" fontId="154" fillId="41" borderId="374" xfId="0" applyFont="1" applyFill="1" applyBorder="1" applyAlignment="1">
      <alignment horizontal="center" wrapText="1"/>
    </xf>
    <xf numFmtId="0" fontId="154" fillId="41" borderId="50" xfId="0" applyFont="1" applyFill="1" applyBorder="1" applyAlignment="1">
      <alignment horizontal="center" wrapText="1"/>
    </xf>
    <xf numFmtId="0" fontId="155" fillId="41" borderId="66" xfId="0" applyFont="1" applyFill="1" applyBorder="1" applyAlignment="1">
      <alignment wrapText="1"/>
    </xf>
    <xf numFmtId="0" fontId="0" fillId="0" borderId="19" xfId="0" applyFont="1" applyFill="1" applyBorder="1"/>
    <xf numFmtId="0" fontId="0" fillId="38" borderId="66" xfId="0" applyFont="1" applyFill="1" applyBorder="1"/>
    <xf numFmtId="0" fontId="153" fillId="38" borderId="67" xfId="0" applyFont="1" applyFill="1" applyBorder="1"/>
    <xf numFmtId="0" fontId="154" fillId="0" borderId="0" xfId="0" applyFont="1" applyBorder="1" applyAlignment="1">
      <alignment horizontal="left" vertical="center" wrapText="1"/>
    </xf>
    <xf numFmtId="0" fontId="153" fillId="0" borderId="0" xfId="0" applyFont="1" applyBorder="1"/>
    <xf numFmtId="0" fontId="151" fillId="42" borderId="0" xfId="0" applyFont="1" applyFill="1"/>
    <xf numFmtId="0" fontId="0" fillId="42" borderId="0" xfId="0" applyFill="1"/>
    <xf numFmtId="0" fontId="154" fillId="0" borderId="0" xfId="0" applyFont="1" applyBorder="1" applyAlignment="1">
      <alignment horizontal="left"/>
    </xf>
    <xf numFmtId="0" fontId="155" fillId="42" borderId="54" xfId="0" applyFont="1" applyFill="1" applyBorder="1" applyAlignment="1">
      <alignment wrapText="1"/>
    </xf>
    <xf numFmtId="0" fontId="88" fillId="42" borderId="54" xfId="0" applyFont="1" applyFill="1" applyBorder="1" applyAlignment="1">
      <alignment wrapText="1"/>
    </xf>
    <xf numFmtId="0" fontId="155" fillId="42" borderId="53" xfId="0" applyFont="1" applyFill="1" applyBorder="1" applyAlignment="1">
      <alignment wrapText="1"/>
    </xf>
    <xf numFmtId="0" fontId="155" fillId="42" borderId="50" xfId="0" applyFont="1" applyFill="1" applyBorder="1" applyAlignment="1">
      <alignment wrapText="1"/>
    </xf>
    <xf numFmtId="0" fontId="154" fillId="42" borderId="54" xfId="0" applyFont="1" applyFill="1" applyBorder="1" applyAlignment="1">
      <alignment wrapText="1"/>
    </xf>
    <xf numFmtId="0" fontId="157" fillId="42" borderId="50" xfId="0" applyFont="1" applyFill="1" applyBorder="1" applyAlignment="1">
      <alignment wrapText="1"/>
    </xf>
    <xf numFmtId="0" fontId="154" fillId="42" borderId="72" xfId="0" applyFont="1" applyFill="1" applyBorder="1" applyAlignment="1">
      <alignment wrapText="1"/>
    </xf>
    <xf numFmtId="0" fontId="0" fillId="38" borderId="19" xfId="0" applyFont="1" applyFill="1" applyBorder="1"/>
    <xf numFmtId="0" fontId="0" fillId="35" borderId="20" xfId="0" applyFont="1" applyFill="1" applyBorder="1"/>
    <xf numFmtId="0" fontId="0" fillId="35" borderId="62" xfId="0" applyFont="1" applyFill="1" applyBorder="1"/>
    <xf numFmtId="0" fontId="0" fillId="38" borderId="29" xfId="0" applyFill="1" applyBorder="1"/>
    <xf numFmtId="0" fontId="0" fillId="38" borderId="30" xfId="0" applyFont="1" applyFill="1" applyBorder="1"/>
    <xf numFmtId="0" fontId="0" fillId="38" borderId="29" xfId="0" applyFont="1" applyFill="1" applyBorder="1"/>
    <xf numFmtId="0" fontId="0" fillId="38" borderId="64" xfId="0" applyFont="1" applyFill="1" applyBorder="1"/>
    <xf numFmtId="0" fontId="154" fillId="0" borderId="0" xfId="0" applyFont="1"/>
    <xf numFmtId="0" fontId="154" fillId="42" borderId="20" xfId="0" applyFont="1" applyFill="1" applyBorder="1" applyAlignment="1">
      <alignment wrapText="1"/>
    </xf>
    <xf numFmtId="0" fontId="154" fillId="42" borderId="21" xfId="0" applyFont="1" applyFill="1" applyBorder="1" applyAlignment="1">
      <alignment wrapText="1"/>
    </xf>
    <xf numFmtId="0" fontId="154" fillId="42" borderId="22" xfId="0" applyFont="1" applyFill="1" applyBorder="1" applyAlignment="1">
      <alignment wrapText="1"/>
    </xf>
    <xf numFmtId="0" fontId="155" fillId="42" borderId="19" xfId="0" applyFont="1" applyFill="1" applyBorder="1" applyAlignment="1">
      <alignment wrapText="1"/>
    </xf>
    <xf numFmtId="0" fontId="154" fillId="42" borderId="24" xfId="0" applyFont="1" applyFill="1" applyBorder="1" applyAlignment="1">
      <alignment wrapText="1"/>
    </xf>
    <xf numFmtId="0" fontId="0" fillId="35" borderId="66" xfId="0" applyFont="1" applyFill="1" applyBorder="1"/>
    <xf numFmtId="0" fontId="0" fillId="0" borderId="66" xfId="0" applyFont="1" applyBorder="1"/>
    <xf numFmtId="0" fontId="153" fillId="38" borderId="67" xfId="0" applyFont="1" applyFill="1" applyBorder="1" applyAlignment="1">
      <alignment horizontal="right"/>
    </xf>
    <xf numFmtId="0" fontId="153" fillId="38" borderId="35" xfId="0" applyFont="1" applyFill="1" applyBorder="1"/>
    <xf numFmtId="0" fontId="153" fillId="33" borderId="56" xfId="0" applyFont="1" applyFill="1" applyBorder="1" applyAlignment="1">
      <alignment horizontal="right"/>
    </xf>
    <xf numFmtId="0" fontId="0" fillId="33" borderId="372" xfId="0" applyFont="1" applyFill="1" applyBorder="1"/>
    <xf numFmtId="0" fontId="0" fillId="0" borderId="401" xfId="0" applyBorder="1"/>
    <xf numFmtId="0" fontId="84" fillId="42" borderId="402" xfId="0" applyFont="1" applyFill="1" applyBorder="1" applyAlignment="1">
      <alignment horizontal="left" wrapText="1"/>
    </xf>
    <xf numFmtId="0" fontId="82" fillId="42" borderId="386" xfId="0" applyFont="1" applyFill="1" applyBorder="1" applyAlignment="1">
      <alignment horizontal="center" vertical="center" wrapText="1"/>
    </xf>
    <xf numFmtId="0" fontId="153" fillId="42" borderId="264" xfId="0" applyFont="1" applyFill="1" applyBorder="1" applyAlignment="1">
      <alignment horizontal="right"/>
    </xf>
    <xf numFmtId="0" fontId="0" fillId="42" borderId="386" xfId="0" applyFont="1" applyFill="1" applyBorder="1" applyAlignment="1">
      <alignment wrapText="1"/>
    </xf>
    <xf numFmtId="0" fontId="0" fillId="42" borderId="370" xfId="0" applyFont="1" applyFill="1" applyBorder="1" applyAlignment="1">
      <alignment wrapText="1"/>
    </xf>
    <xf numFmtId="0" fontId="0" fillId="42" borderId="387" xfId="0" applyFont="1" applyFill="1" applyBorder="1" applyAlignment="1">
      <alignment wrapText="1"/>
    </xf>
    <xf numFmtId="0" fontId="153" fillId="42" borderId="391" xfId="0" applyFont="1" applyFill="1" applyBorder="1" applyAlignment="1">
      <alignment wrapText="1"/>
    </xf>
    <xf numFmtId="0" fontId="153" fillId="35" borderId="20" xfId="0" applyFont="1" applyFill="1" applyBorder="1" applyAlignment="1">
      <alignment horizontal="right"/>
    </xf>
    <xf numFmtId="0" fontId="153" fillId="35" borderId="403" xfId="0" applyFont="1" applyFill="1" applyBorder="1"/>
    <xf numFmtId="0" fontId="0" fillId="35" borderId="81" xfId="0" applyFill="1" applyBorder="1"/>
    <xf numFmtId="0" fontId="153" fillId="33" borderId="20" xfId="0" applyFont="1" applyFill="1" applyBorder="1" applyAlignment="1">
      <alignment horizontal="right"/>
    </xf>
    <xf numFmtId="0" fontId="0" fillId="33" borderId="21" xfId="0" applyFont="1" applyFill="1" applyBorder="1"/>
    <xf numFmtId="0" fontId="0" fillId="33" borderId="24" xfId="0" applyFont="1" applyFill="1" applyBorder="1"/>
    <xf numFmtId="0" fontId="153" fillId="38" borderId="403" xfId="0" applyFont="1" applyFill="1" applyBorder="1"/>
    <xf numFmtId="0" fontId="0" fillId="38" borderId="81" xfId="0" applyFill="1" applyBorder="1"/>
    <xf numFmtId="0" fontId="153" fillId="33" borderId="82" xfId="0" applyFont="1" applyFill="1" applyBorder="1" applyAlignment="1">
      <alignment horizontal="right"/>
    </xf>
    <xf numFmtId="0" fontId="0" fillId="33" borderId="82" xfId="0" applyFont="1" applyFill="1" applyBorder="1"/>
    <xf numFmtId="0" fontId="153" fillId="38" borderId="84" xfId="0" applyFont="1" applyFill="1" applyBorder="1" applyAlignment="1">
      <alignment horizontal="right"/>
    </xf>
    <xf numFmtId="0" fontId="0" fillId="38" borderId="32" xfId="0" applyFont="1" applyFill="1" applyBorder="1"/>
    <xf numFmtId="0" fontId="0" fillId="38" borderId="85" xfId="0" applyFont="1" applyFill="1" applyBorder="1"/>
    <xf numFmtId="0" fontId="151" fillId="43" borderId="0" xfId="0" applyFont="1" applyFill="1"/>
    <xf numFmtId="0" fontId="0" fillId="43" borderId="0" xfId="0" applyFill="1"/>
    <xf numFmtId="0" fontId="154" fillId="43" borderId="396" xfId="0" applyFont="1" applyFill="1" applyBorder="1" applyAlignment="1">
      <alignment wrapText="1"/>
    </xf>
    <xf numFmtId="0" fontId="154" fillId="43" borderId="54" xfId="0" applyFont="1" applyFill="1" applyBorder="1" applyAlignment="1">
      <alignment wrapText="1"/>
    </xf>
    <xf numFmtId="0" fontId="154" fillId="43" borderId="53" xfId="0" applyFont="1" applyFill="1" applyBorder="1" applyAlignment="1">
      <alignment wrapText="1"/>
    </xf>
    <xf numFmtId="0" fontId="155" fillId="43" borderId="19" xfId="0" applyFont="1" applyFill="1" applyBorder="1" applyAlignment="1">
      <alignment wrapText="1"/>
    </xf>
    <xf numFmtId="0" fontId="155" fillId="43" borderId="72" xfId="0" applyFont="1" applyFill="1" applyBorder="1" applyAlignment="1">
      <alignment wrapText="1"/>
    </xf>
    <xf numFmtId="0" fontId="154" fillId="43" borderId="397" xfId="0" applyFont="1" applyFill="1" applyBorder="1" applyAlignment="1">
      <alignment wrapText="1"/>
    </xf>
    <xf numFmtId="0" fontId="154" fillId="43" borderId="386" xfId="0" applyFont="1" applyFill="1" applyBorder="1" applyAlignment="1">
      <alignment wrapText="1"/>
    </xf>
    <xf numFmtId="0" fontId="154" fillId="43" borderId="387" xfId="0" applyFont="1" applyFill="1" applyBorder="1" applyAlignment="1">
      <alignment wrapText="1"/>
    </xf>
    <xf numFmtId="0" fontId="0" fillId="38" borderId="19" xfId="0" applyFill="1" applyBorder="1"/>
    <xf numFmtId="0" fontId="0" fillId="38" borderId="64" xfId="0" applyFill="1" applyBorder="1"/>
    <xf numFmtId="0" fontId="154" fillId="43" borderId="21" xfId="0" applyFont="1" applyFill="1" applyBorder="1" applyAlignment="1">
      <alignment wrapText="1"/>
    </xf>
    <xf numFmtId="0" fontId="155" fillId="43" borderId="66" xfId="0" applyFont="1" applyFill="1" applyBorder="1" applyAlignment="1">
      <alignment wrapText="1"/>
    </xf>
    <xf numFmtId="0" fontId="154" fillId="43" borderId="20" xfId="0" applyFont="1" applyFill="1" applyBorder="1" applyAlignment="1">
      <alignment wrapText="1"/>
    </xf>
    <xf numFmtId="0" fontId="154" fillId="43" borderId="24" xfId="0" applyFont="1" applyFill="1" applyBorder="1" applyAlignment="1">
      <alignment wrapText="1"/>
    </xf>
    <xf numFmtId="0" fontId="0" fillId="35" borderId="50" xfId="0" applyFont="1" applyFill="1" applyBorder="1"/>
    <xf numFmtId="0" fontId="0" fillId="38" borderId="75" xfId="0" applyFill="1" applyBorder="1"/>
    <xf numFmtId="0" fontId="0" fillId="38" borderId="67" xfId="0" applyFill="1" applyBorder="1"/>
    <xf numFmtId="0" fontId="151" fillId="44" borderId="0" xfId="0" applyFont="1" applyFill="1"/>
    <xf numFmtId="0" fontId="0" fillId="44" borderId="0" xfId="0" applyFill="1"/>
    <xf numFmtId="0" fontId="153" fillId="44" borderId="0" xfId="0" applyFont="1" applyFill="1"/>
    <xf numFmtId="0" fontId="152" fillId="44" borderId="368" xfId="0" applyFont="1" applyFill="1" applyBorder="1" applyAlignment="1">
      <alignment wrapText="1"/>
    </xf>
    <xf numFmtId="0" fontId="152" fillId="44" borderId="386" xfId="0" applyFont="1" applyFill="1" applyBorder="1" applyAlignment="1">
      <alignment horizontal="center" wrapText="1"/>
    </xf>
    <xf numFmtId="0" fontId="154" fillId="44" borderId="392" xfId="0" applyFont="1" applyFill="1" applyBorder="1" applyAlignment="1">
      <alignment wrapText="1"/>
    </xf>
    <xf numFmtId="0" fontId="154" fillId="44" borderId="393" xfId="0" applyFont="1" applyFill="1" applyBorder="1" applyAlignment="1">
      <alignment wrapText="1"/>
    </xf>
    <xf numFmtId="0" fontId="154" fillId="44" borderId="386" xfId="0" applyFont="1" applyFill="1" applyBorder="1" applyAlignment="1">
      <alignment wrapText="1"/>
    </xf>
    <xf numFmtId="0" fontId="154" fillId="44" borderId="370" xfId="0" applyFont="1" applyFill="1" applyBorder="1" applyAlignment="1">
      <alignment wrapText="1"/>
    </xf>
    <xf numFmtId="0" fontId="154" fillId="44" borderId="404" xfId="0" applyFont="1" applyFill="1" applyBorder="1" applyAlignment="1">
      <alignment wrapText="1"/>
    </xf>
    <xf numFmtId="0" fontId="154" fillId="44" borderId="405" xfId="0" applyFont="1" applyFill="1" applyBorder="1" applyAlignment="1">
      <alignment wrapText="1"/>
    </xf>
    <xf numFmtId="0" fontId="154" fillId="44" borderId="387" xfId="0" applyFont="1" applyFill="1" applyBorder="1" applyAlignment="1">
      <alignment wrapText="1"/>
    </xf>
    <xf numFmtId="0" fontId="0" fillId="35" borderId="94" xfId="0" applyFill="1" applyBorder="1"/>
    <xf numFmtId="0" fontId="0" fillId="35" borderId="95" xfId="0" applyFill="1" applyBorder="1"/>
    <xf numFmtId="0" fontId="0" fillId="35" borderId="96" xfId="0" applyFill="1" applyBorder="1"/>
    <xf numFmtId="0" fontId="152" fillId="41" borderId="368" xfId="0" applyFont="1" applyFill="1" applyBorder="1" applyAlignment="1">
      <alignment horizontal="left" vertical="center" wrapText="1"/>
    </xf>
    <xf numFmtId="0" fontId="82" fillId="41" borderId="386" xfId="0" applyFont="1" applyFill="1" applyBorder="1" applyAlignment="1">
      <alignment wrapText="1"/>
    </xf>
    <xf numFmtId="0" fontId="154" fillId="41" borderId="392" xfId="0" applyFont="1" applyFill="1" applyBorder="1" applyAlignment="1">
      <alignment wrapText="1"/>
    </xf>
    <xf numFmtId="0" fontId="154" fillId="41" borderId="386" xfId="0" applyFont="1" applyFill="1" applyBorder="1" applyAlignment="1">
      <alignment wrapText="1"/>
    </xf>
    <xf numFmtId="0" fontId="154" fillId="41" borderId="387" xfId="0" applyFont="1" applyFill="1" applyBorder="1" applyAlignment="1">
      <alignment wrapText="1"/>
    </xf>
    <xf numFmtId="4" fontId="0" fillId="0" borderId="21" xfId="0" applyNumberFormat="1" applyFont="1" applyBorder="1"/>
    <xf numFmtId="0" fontId="0" fillId="0" borderId="406" xfId="0" applyBorder="1"/>
    <xf numFmtId="4" fontId="153" fillId="36" borderId="31" xfId="0" applyNumberFormat="1" applyFont="1" applyFill="1" applyBorder="1" applyAlignment="1">
      <alignment horizontal="right"/>
    </xf>
    <xf numFmtId="0" fontId="153" fillId="36" borderId="31" xfId="0" applyFont="1" applyFill="1" applyBorder="1" applyAlignment="1">
      <alignment horizontal="right"/>
    </xf>
    <xf numFmtId="4" fontId="0" fillId="33" borderId="0" xfId="0" applyNumberFormat="1" applyFont="1" applyFill="1" applyBorder="1"/>
    <xf numFmtId="0" fontId="153" fillId="34" borderId="392" xfId="0" applyFont="1" applyFill="1" applyBorder="1" applyAlignment="1">
      <alignment horizontal="center" wrapText="1"/>
    </xf>
    <xf numFmtId="0" fontId="71" fillId="4" borderId="21" xfId="0" applyFont="1" applyFill="1" applyBorder="1"/>
    <xf numFmtId="0" fontId="13" fillId="3" borderId="392" xfId="0" applyFont="1" applyFill="1" applyBorder="1" applyAlignment="1">
      <alignment horizontal="centerContinuous" wrapText="1"/>
    </xf>
    <xf numFmtId="0" fontId="13" fillId="3" borderId="385" xfId="0" applyFont="1" applyFill="1" applyBorder="1" applyAlignment="1">
      <alignment horizontal="centerContinuous" wrapText="1"/>
    </xf>
    <xf numFmtId="0" fontId="14" fillId="3" borderId="386" xfId="0" applyFont="1" applyFill="1" applyBorder="1" applyAlignment="1">
      <alignment horizontal="center" vertical="center"/>
    </xf>
    <xf numFmtId="0" fontId="0" fillId="3" borderId="386" xfId="0" applyFill="1" applyBorder="1" applyAlignment="1">
      <alignment horizontal="centerContinuous" wrapText="1"/>
    </xf>
    <xf numFmtId="0" fontId="13" fillId="3" borderId="387" xfId="0" applyFont="1" applyFill="1" applyBorder="1" applyAlignment="1">
      <alignment horizontal="centerContinuous" wrapText="1"/>
    </xf>
    <xf numFmtId="0" fontId="12" fillId="3" borderId="388" xfId="0" applyFont="1" applyFill="1" applyBorder="1" applyAlignment="1">
      <alignment wrapText="1"/>
    </xf>
    <xf numFmtId="0" fontId="31" fillId="5" borderId="403" xfId="0" applyFont="1" applyFill="1" applyBorder="1"/>
    <xf numFmtId="0" fontId="31" fillId="9" borderId="403" xfId="0" applyFont="1" applyFill="1" applyBorder="1"/>
    <xf numFmtId="4" fontId="30" fillId="0" borderId="21" xfId="0" applyNumberFormat="1" applyFont="1" applyBorder="1"/>
    <xf numFmtId="0" fontId="15" fillId="0" borderId="25" xfId="0" applyFont="1" applyBorder="1" applyAlignment="1">
      <alignment horizontal="left" vertical="center" wrapText="1"/>
    </xf>
    <xf numFmtId="0" fontId="0" fillId="0" borderId="26" xfId="0" applyBorder="1" applyAlignment="1">
      <alignment vertical="center" wrapText="1"/>
    </xf>
    <xf numFmtId="0" fontId="15" fillId="0" borderId="27" xfId="0" applyFont="1" applyBorder="1" applyAlignment="1">
      <alignment horizontal="left" vertical="center" wrapText="1"/>
    </xf>
    <xf numFmtId="0" fontId="0" fillId="0" borderId="28" xfId="0" applyBorder="1" applyAlignment="1">
      <alignment vertical="center" wrapText="1"/>
    </xf>
    <xf numFmtId="0" fontId="21" fillId="4" borderId="49" xfId="0" applyFont="1" applyFill="1" applyBorder="1" applyAlignment="1">
      <alignment horizontal="center" vertical="center" wrapText="1"/>
    </xf>
    <xf numFmtId="0" fontId="21" fillId="4" borderId="18" xfId="0" applyFont="1" applyFill="1" applyBorder="1" applyAlignment="1">
      <alignment horizontal="center" vertical="center" wrapText="1"/>
    </xf>
    <xf numFmtId="0" fontId="21" fillId="4" borderId="65" xfId="0" applyFont="1" applyFill="1" applyBorder="1" applyAlignment="1">
      <alignment horizontal="center" vertical="center" wrapText="1"/>
    </xf>
    <xf numFmtId="0" fontId="12" fillId="14" borderId="14" xfId="0" applyFont="1" applyFill="1" applyBorder="1" applyAlignment="1">
      <alignment horizontal="left"/>
    </xf>
    <xf numFmtId="0" fontId="12" fillId="14" borderId="23" xfId="0" applyFont="1" applyFill="1" applyBorder="1" applyAlignment="1">
      <alignment horizontal="left"/>
    </xf>
    <xf numFmtId="0" fontId="12" fillId="14" borderId="10" xfId="0" applyFont="1" applyFill="1" applyBorder="1" applyAlignment="1">
      <alignment horizontal="center" wrapText="1"/>
    </xf>
    <xf numFmtId="0" fontId="12" fillId="14" borderId="53" xfId="0" applyFont="1" applyFill="1" applyBorder="1" applyAlignment="1">
      <alignment horizontal="center" wrapText="1"/>
    </xf>
    <xf numFmtId="0" fontId="15" fillId="14" borderId="15" xfId="0" applyFont="1" applyFill="1" applyBorder="1" applyAlignment="1">
      <alignment horizontal="center" wrapText="1"/>
    </xf>
    <xf numFmtId="0" fontId="15" fillId="14" borderId="21" xfId="0" applyFont="1" applyFill="1" applyBorder="1" applyAlignment="1">
      <alignment horizontal="center" wrapText="1"/>
    </xf>
    <xf numFmtId="0" fontId="15" fillId="14" borderId="36" xfId="0" applyFont="1" applyFill="1" applyBorder="1" applyAlignment="1">
      <alignment horizontal="center" wrapText="1"/>
    </xf>
    <xf numFmtId="0" fontId="15" fillId="14" borderId="13" xfId="0" applyFont="1" applyFill="1" applyBorder="1" applyAlignment="1">
      <alignment horizontal="center" wrapText="1"/>
    </xf>
    <xf numFmtId="0" fontId="15" fillId="14" borderId="58" xfId="0" applyFont="1" applyFill="1" applyBorder="1" applyAlignment="1">
      <alignment horizontal="center" wrapText="1"/>
    </xf>
    <xf numFmtId="0" fontId="15" fillId="14" borderId="39" xfId="0" applyFont="1" applyFill="1" applyBorder="1" applyAlignment="1">
      <alignment horizontal="center" wrapText="1"/>
    </xf>
    <xf numFmtId="0" fontId="15" fillId="14" borderId="16" xfId="0" applyFont="1" applyFill="1" applyBorder="1" applyAlignment="1">
      <alignment horizontal="center" wrapText="1"/>
    </xf>
    <xf numFmtId="0" fontId="23" fillId="0" borderId="42" xfId="0" applyFont="1" applyBorder="1" applyAlignment="1">
      <alignment horizontal="left" vertical="center" wrapText="1"/>
    </xf>
    <xf numFmtId="0" fontId="1" fillId="0" borderId="86" xfId="0" applyFont="1" applyBorder="1" applyAlignment="1">
      <alignment vertical="center" wrapText="1"/>
    </xf>
    <xf numFmtId="0" fontId="23" fillId="0" borderId="25" xfId="0" applyFont="1" applyBorder="1" applyAlignment="1">
      <alignment horizontal="left" vertical="center" wrapText="1"/>
    </xf>
    <xf numFmtId="0" fontId="1" fillId="0" borderId="88" xfId="0" applyFont="1" applyBorder="1" applyAlignment="1">
      <alignment vertical="center" wrapText="1"/>
    </xf>
    <xf numFmtId="0" fontId="23" fillId="0" borderId="27" xfId="0" applyFont="1" applyBorder="1" applyAlignment="1">
      <alignment horizontal="left" vertical="center" wrapText="1"/>
    </xf>
    <xf numFmtId="0" fontId="1" fillId="0" borderId="90" xfId="0" applyFont="1" applyBorder="1" applyAlignment="1">
      <alignment vertical="center" wrapText="1"/>
    </xf>
    <xf numFmtId="0" fontId="26" fillId="0" borderId="79" xfId="0" applyFont="1" applyBorder="1" applyAlignment="1">
      <alignment horizontal="left" wrapText="1"/>
    </xf>
    <xf numFmtId="0" fontId="0" fillId="0" borderId="43" xfId="0" applyBorder="1" applyAlignment="1">
      <alignment wrapText="1"/>
    </xf>
    <xf numFmtId="0" fontId="26" fillId="0" borderId="40" xfId="0" applyFont="1" applyBorder="1" applyAlignment="1">
      <alignment horizontal="left" wrapText="1"/>
    </xf>
    <xf numFmtId="0" fontId="0" fillId="0" borderId="26" xfId="0" applyBorder="1" applyAlignment="1">
      <alignment wrapText="1"/>
    </xf>
    <xf numFmtId="0" fontId="26" fillId="0" borderId="83" xfId="0" applyFont="1" applyBorder="1" applyAlignment="1">
      <alignment horizontal="left" wrapText="1"/>
    </xf>
    <xf numFmtId="0" fontId="0" fillId="0" borderId="28" xfId="0" applyBorder="1" applyAlignment="1">
      <alignment wrapText="1"/>
    </xf>
    <xf numFmtId="0" fontId="25" fillId="14" borderId="45" xfId="0" applyFont="1" applyFill="1" applyBorder="1" applyAlignment="1">
      <alignment horizontal="left" wrapText="1"/>
    </xf>
    <xf numFmtId="0" fontId="25" fillId="14" borderId="17" xfId="0" applyFont="1" applyFill="1" applyBorder="1" applyAlignment="1">
      <alignment horizontal="left" wrapText="1"/>
    </xf>
    <xf numFmtId="0" fontId="26" fillId="14" borderId="46" xfId="0" applyFont="1" applyFill="1" applyBorder="1" applyAlignment="1">
      <alignment horizontal="center" wrapText="1"/>
    </xf>
    <xf numFmtId="0" fontId="26" fillId="14" borderId="50" xfId="0" applyFont="1" applyFill="1" applyBorder="1" applyAlignment="1">
      <alignment horizontal="center" wrapText="1"/>
    </xf>
    <xf numFmtId="0" fontId="26" fillId="14" borderId="48" xfId="0" applyFont="1" applyFill="1" applyBorder="1" applyAlignment="1">
      <alignment horizontal="center" wrapText="1"/>
    </xf>
    <xf numFmtId="0" fontId="26" fillId="14" borderId="13" xfId="0" applyFont="1" applyFill="1" applyBorder="1" applyAlignment="1">
      <alignment horizontal="center" wrapText="1"/>
    </xf>
    <xf numFmtId="0" fontId="26" fillId="14" borderId="38" xfId="0" applyFont="1" applyFill="1" applyBorder="1" applyAlignment="1">
      <alignment horizontal="center" wrapText="1"/>
    </xf>
    <xf numFmtId="0" fontId="26" fillId="0" borderId="25" xfId="0" applyFont="1" applyBorder="1" applyAlignment="1">
      <alignment horizontal="left" vertical="center" wrapText="1"/>
    </xf>
    <xf numFmtId="0" fontId="0" fillId="0" borderId="26" xfId="0" applyBorder="1" applyAlignment="1"/>
    <xf numFmtId="0" fontId="26" fillId="0" borderId="27" xfId="0" applyFont="1" applyBorder="1" applyAlignment="1">
      <alignment horizontal="left"/>
    </xf>
    <xf numFmtId="0" fontId="0" fillId="0" borderId="28" xfId="0" applyBorder="1" applyAlignment="1"/>
    <xf numFmtId="0" fontId="26" fillId="13" borderId="68" xfId="0" applyFont="1" applyFill="1" applyBorder="1" applyAlignment="1">
      <alignment horizontal="center" wrapText="1"/>
    </xf>
    <xf numFmtId="0" fontId="26" fillId="13" borderId="69" xfId="0" applyFont="1" applyFill="1" applyBorder="1" applyAlignment="1">
      <alignment horizontal="center" wrapText="1"/>
    </xf>
    <xf numFmtId="0" fontId="26" fillId="13" borderId="71" xfId="0" applyFont="1" applyFill="1" applyBorder="1" applyAlignment="1">
      <alignment horizontal="center" wrapText="1"/>
    </xf>
    <xf numFmtId="0" fontId="29" fillId="0" borderId="25" xfId="0" applyFont="1" applyBorder="1" applyAlignment="1">
      <alignment horizontal="left" vertical="center" wrapText="1"/>
    </xf>
    <xf numFmtId="0" fontId="25" fillId="13" borderId="9" xfId="0" applyFont="1" applyFill="1" applyBorder="1" applyAlignment="1">
      <alignment horizontal="left" wrapText="1"/>
    </xf>
    <xf numFmtId="0" fontId="25" fillId="13" borderId="25" xfId="0" applyFont="1" applyFill="1" applyBorder="1" applyAlignment="1">
      <alignment horizontal="left" wrapText="1"/>
    </xf>
    <xf numFmtId="0" fontId="34" fillId="13" borderId="10" xfId="0" applyFont="1" applyFill="1" applyBorder="1" applyAlignment="1">
      <alignment horizontal="center" wrapText="1"/>
    </xf>
    <xf numFmtId="0" fontId="34" fillId="13" borderId="18" xfId="0" applyFont="1" applyFill="1" applyBorder="1" applyAlignment="1">
      <alignment horizontal="center" wrapText="1"/>
    </xf>
    <xf numFmtId="0" fontId="26" fillId="13" borderId="73" xfId="0" applyFont="1" applyFill="1" applyBorder="1" applyAlignment="1">
      <alignment horizontal="center" wrapText="1"/>
    </xf>
    <xf numFmtId="0" fontId="26" fillId="13" borderId="75" xfId="0" applyFont="1" applyFill="1" applyBorder="1" applyAlignment="1">
      <alignment horizontal="center" wrapText="1"/>
    </xf>
    <xf numFmtId="0" fontId="26" fillId="13" borderId="46" xfId="0" applyFont="1" applyFill="1" applyBorder="1" applyAlignment="1">
      <alignment horizontal="center" wrapText="1"/>
    </xf>
    <xf numFmtId="0" fontId="26" fillId="13" borderId="50" xfId="0" applyFont="1" applyFill="1" applyBorder="1" applyAlignment="1">
      <alignment horizontal="center" wrapText="1"/>
    </xf>
    <xf numFmtId="0" fontId="25" fillId="12" borderId="45" xfId="0" applyFont="1" applyFill="1" applyBorder="1" applyAlignment="1">
      <alignment horizontal="left" wrapText="1"/>
    </xf>
    <xf numFmtId="0" fontId="25" fillId="12" borderId="17" xfId="0" applyFont="1" applyFill="1" applyBorder="1" applyAlignment="1">
      <alignment horizontal="left" wrapText="1"/>
    </xf>
    <xf numFmtId="0" fontId="34" fillId="12" borderId="10" xfId="0" applyFont="1" applyFill="1" applyBorder="1" applyAlignment="1">
      <alignment horizontal="center" wrapText="1"/>
    </xf>
    <xf numFmtId="0" fontId="12" fillId="12" borderId="18" xfId="0" applyFont="1" applyFill="1" applyBorder="1" applyAlignment="1">
      <alignment horizontal="center" wrapText="1"/>
    </xf>
    <xf numFmtId="0" fontId="25" fillId="13" borderId="45" xfId="0" applyFont="1" applyFill="1" applyBorder="1" applyAlignment="1">
      <alignment horizontal="left" wrapText="1"/>
    </xf>
    <xf numFmtId="0" fontId="25" fillId="13" borderId="17" xfId="0" applyFont="1" applyFill="1" applyBorder="1" applyAlignment="1">
      <alignment horizontal="left" wrapText="1"/>
    </xf>
    <xf numFmtId="0" fontId="26" fillId="0" borderId="27" xfId="0" applyFont="1" applyBorder="1" applyAlignment="1"/>
    <xf numFmtId="0" fontId="26" fillId="12" borderId="12" xfId="0" applyFont="1" applyFill="1" applyBorder="1" applyAlignment="1">
      <alignment horizontal="center" wrapText="1"/>
    </xf>
    <xf numFmtId="0" fontId="26" fillId="12" borderId="58" xfId="0" applyFont="1" applyFill="1" applyBorder="1" applyAlignment="1">
      <alignment horizontal="center" wrapText="1"/>
    </xf>
    <xf numFmtId="0" fontId="38" fillId="4" borderId="18" xfId="0" applyFont="1" applyFill="1" applyBorder="1" applyAlignment="1">
      <alignment horizontal="center" vertical="center" wrapText="1"/>
    </xf>
    <xf numFmtId="0" fontId="21" fillId="4" borderId="18" xfId="0" applyFont="1" applyFill="1" applyBorder="1" applyAlignment="1">
      <alignment horizontal="center"/>
    </xf>
    <xf numFmtId="0" fontId="21" fillId="4" borderId="65" xfId="0" applyFont="1" applyFill="1" applyBorder="1" applyAlignment="1">
      <alignment horizontal="center"/>
    </xf>
    <xf numFmtId="0" fontId="15" fillId="4" borderId="18" xfId="0" applyFont="1" applyFill="1" applyBorder="1" applyAlignment="1">
      <alignment horizontal="center" vertical="center" wrapText="1"/>
    </xf>
    <xf numFmtId="0" fontId="0" fillId="4" borderId="18" xfId="0" applyFill="1" applyBorder="1" applyAlignment="1">
      <alignment horizontal="center"/>
    </xf>
    <xf numFmtId="0" fontId="0" fillId="4" borderId="65" xfId="0" applyFill="1" applyBorder="1" applyAlignment="1">
      <alignment horizontal="center"/>
    </xf>
    <xf numFmtId="0" fontId="26" fillId="12" borderId="46" xfId="0" applyFont="1" applyFill="1" applyBorder="1" applyAlignment="1">
      <alignment horizontal="center" wrapText="1"/>
    </xf>
    <xf numFmtId="0" fontId="26" fillId="12" borderId="50" xfId="0" applyFont="1" applyFill="1" applyBorder="1" applyAlignment="1">
      <alignment horizontal="center" wrapText="1"/>
    </xf>
    <xf numFmtId="0" fontId="26" fillId="12" borderId="47" xfId="0" applyFont="1" applyFill="1" applyBorder="1" applyAlignment="1">
      <alignment horizontal="center" wrapText="1"/>
    </xf>
    <xf numFmtId="0" fontId="26" fillId="12" borderId="51" xfId="0" applyFont="1" applyFill="1" applyBorder="1" applyAlignment="1">
      <alignment horizontal="center" wrapText="1"/>
    </xf>
    <xf numFmtId="0" fontId="29" fillId="0" borderId="25" xfId="0" applyFont="1" applyBorder="1" applyAlignment="1">
      <alignment horizontal="center" vertical="center" wrapText="1"/>
    </xf>
    <xf numFmtId="0" fontId="0" fillId="0" borderId="26" xfId="0" applyBorder="1" applyAlignment="1">
      <alignment horizontal="center"/>
    </xf>
    <xf numFmtId="0" fontId="26" fillId="0" borderId="25" xfId="0" applyFont="1" applyBorder="1" applyAlignment="1">
      <alignment horizontal="center" vertical="center" wrapText="1"/>
    </xf>
    <xf numFmtId="0" fontId="26" fillId="0" borderId="27" xfId="0" applyFont="1" applyBorder="1" applyAlignment="1">
      <alignment horizontal="center"/>
    </xf>
    <xf numFmtId="0" fontId="0" fillId="0" borderId="28" xfId="0" applyBorder="1" applyAlignment="1">
      <alignment horizontal="center"/>
    </xf>
    <xf numFmtId="0" fontId="29" fillId="4" borderId="25" xfId="0" applyFont="1" applyFill="1" applyBorder="1" applyAlignment="1">
      <alignment horizontal="left" vertical="center" wrapText="1"/>
    </xf>
    <xf numFmtId="0" fontId="0" fillId="4" borderId="26" xfId="0" applyFill="1" applyBorder="1" applyAlignment="1"/>
    <xf numFmtId="0" fontId="26" fillId="4" borderId="25" xfId="0" applyFont="1" applyFill="1" applyBorder="1" applyAlignment="1">
      <alignment horizontal="left" vertical="center" wrapText="1"/>
    </xf>
    <xf numFmtId="0" fontId="0" fillId="4" borderId="27" xfId="0" applyFill="1" applyBorder="1" applyAlignment="1"/>
    <xf numFmtId="0" fontId="0" fillId="4" borderId="28" xfId="0" applyFill="1" applyBorder="1" applyAlignment="1"/>
    <xf numFmtId="0" fontId="23" fillId="4" borderId="25" xfId="0" applyFont="1" applyFill="1" applyBorder="1" applyAlignment="1">
      <alignment horizontal="left" vertical="center" wrapText="1"/>
    </xf>
    <xf numFmtId="0" fontId="15" fillId="4" borderId="25" xfId="0" applyFont="1" applyFill="1" applyBorder="1" applyAlignment="1">
      <alignment horizontal="left" vertical="center" wrapText="1"/>
    </xf>
    <xf numFmtId="0" fontId="36" fillId="0" borderId="25" xfId="0" applyFont="1" applyBorder="1" applyAlignment="1">
      <alignment horizontal="left" vertical="center" wrapText="1"/>
    </xf>
    <xf numFmtId="0" fontId="18" fillId="0" borderId="25" xfId="0" applyFont="1" applyBorder="1" applyAlignment="1">
      <alignment horizontal="left" vertical="center" wrapText="1"/>
    </xf>
    <xf numFmtId="0" fontId="18" fillId="0" borderId="27" xfId="0" applyFont="1" applyBorder="1" applyAlignment="1"/>
    <xf numFmtId="0" fontId="27" fillId="8" borderId="47" xfId="0" applyFont="1" applyFill="1" applyBorder="1" applyAlignment="1">
      <alignment horizontal="center" wrapText="1"/>
    </xf>
    <xf numFmtId="0" fontId="27" fillId="8" borderId="51" xfId="0" applyFont="1" applyFill="1" applyBorder="1" applyAlignment="1">
      <alignment horizontal="center" wrapText="1"/>
    </xf>
    <xf numFmtId="0" fontId="2" fillId="0" borderId="0" xfId="0" applyFont="1" applyAlignment="1"/>
    <xf numFmtId="0" fontId="3" fillId="0" borderId="0" xfId="0" applyFont="1" applyAlignment="1"/>
    <xf numFmtId="0" fontId="0" fillId="2" borderId="2" xfId="0" applyFill="1" applyBorder="1" applyAlignment="1">
      <alignment horizontal="center"/>
    </xf>
    <xf numFmtId="0" fontId="0" fillId="2" borderId="3" xfId="0" applyFill="1" applyBorder="1" applyAlignment="1">
      <alignment horizontal="center"/>
    </xf>
    <xf numFmtId="0" fontId="6" fillId="2" borderId="4"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14" fillId="3" borderId="12" xfId="0" applyFont="1" applyFill="1" applyBorder="1" applyAlignment="1">
      <alignment horizontal="center" wrapText="1"/>
    </xf>
    <xf numFmtId="0" fontId="14" fillId="3" borderId="13" xfId="0" applyFont="1" applyFill="1" applyBorder="1" applyAlignment="1">
      <alignment horizontal="center" wrapText="1"/>
    </xf>
    <xf numFmtId="0" fontId="18" fillId="4" borderId="25"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18" fillId="4" borderId="27" xfId="0" applyFont="1" applyFill="1" applyBorder="1" applyAlignment="1">
      <alignment horizontal="center" vertical="center" wrapText="1"/>
    </xf>
    <xf numFmtId="0" fontId="20" fillId="4" borderId="28" xfId="0" applyFont="1" applyFill="1" applyBorder="1" applyAlignment="1">
      <alignment horizontal="center" vertical="center" wrapText="1"/>
    </xf>
    <xf numFmtId="0" fontId="13" fillId="3" borderId="37" xfId="0" applyFont="1" applyFill="1" applyBorder="1" applyAlignment="1">
      <alignment horizontal="center" wrapText="1"/>
    </xf>
    <xf numFmtId="0" fontId="13" fillId="3" borderId="13" xfId="0" applyFont="1" applyFill="1" applyBorder="1" applyAlignment="1">
      <alignment horizontal="center" wrapText="1"/>
    </xf>
    <xf numFmtId="0" fontId="13" fillId="3" borderId="38" xfId="0" applyFont="1" applyFill="1" applyBorder="1" applyAlignment="1">
      <alignment horizontal="center" wrapText="1"/>
    </xf>
    <xf numFmtId="0" fontId="18" fillId="4" borderId="25" xfId="0" applyFont="1" applyFill="1" applyBorder="1" applyAlignment="1">
      <alignment horizontal="left" vertical="center" wrapText="1"/>
    </xf>
    <xf numFmtId="0" fontId="20" fillId="4" borderId="26" xfId="0" applyFont="1" applyFill="1" applyBorder="1" applyAlignment="1">
      <alignment vertical="center" wrapText="1"/>
    </xf>
    <xf numFmtId="0" fontId="18" fillId="4" borderId="27" xfId="0" applyFont="1" applyFill="1" applyBorder="1" applyAlignment="1">
      <alignment horizontal="left" vertical="center" wrapText="1"/>
    </xf>
    <xf numFmtId="0" fontId="20" fillId="4" borderId="28" xfId="0" applyFont="1" applyFill="1" applyBorder="1" applyAlignment="1">
      <alignment vertical="center" wrapText="1"/>
    </xf>
    <xf numFmtId="0" fontId="25" fillId="8" borderId="45" xfId="0" applyFont="1" applyFill="1" applyBorder="1" applyAlignment="1">
      <alignment horizontal="left"/>
    </xf>
    <xf numFmtId="0" fontId="25" fillId="8" borderId="17" xfId="0" applyFont="1" applyFill="1" applyBorder="1" applyAlignment="1">
      <alignment horizontal="left"/>
    </xf>
    <xf numFmtId="0" fontId="26" fillId="8" borderId="46" xfId="0" applyFont="1" applyFill="1" applyBorder="1" applyAlignment="1">
      <alignment horizontal="left" wrapText="1"/>
    </xf>
    <xf numFmtId="0" fontId="26" fillId="8" borderId="50" xfId="0" applyFont="1" applyFill="1" applyBorder="1" applyAlignment="1">
      <alignment horizontal="left" wrapText="1"/>
    </xf>
    <xf numFmtId="0" fontId="37" fillId="0" borderId="49" xfId="0" applyFont="1" applyBorder="1" applyAlignment="1">
      <alignment horizontal="left" vertical="center" wrapText="1"/>
    </xf>
    <xf numFmtId="0" fontId="37" fillId="0" borderId="18" xfId="0" applyFont="1" applyBorder="1" applyAlignment="1">
      <alignment horizontal="left" vertical="center" wrapText="1"/>
    </xf>
    <xf numFmtId="0" fontId="37" fillId="0" borderId="65" xfId="0" applyFont="1" applyBorder="1" applyAlignment="1">
      <alignment horizontal="left" vertical="center" wrapText="1"/>
    </xf>
    <xf numFmtId="0" fontId="12" fillId="14" borderId="124" xfId="0" applyFont="1" applyFill="1" applyBorder="1" applyAlignment="1">
      <alignment horizontal="left"/>
    </xf>
    <xf numFmtId="0" fontId="12" fillId="14" borderId="109" xfId="0" applyFont="1" applyFill="1" applyBorder="1" applyAlignment="1">
      <alignment horizontal="center" wrapText="1"/>
    </xf>
    <xf numFmtId="0" fontId="15" fillId="14" borderId="106" xfId="0" applyFont="1" applyFill="1" applyBorder="1" applyAlignment="1">
      <alignment horizontal="center" wrapText="1"/>
    </xf>
    <xf numFmtId="0" fontId="15" fillId="14" borderId="110" xfId="0" applyFont="1" applyFill="1" applyBorder="1" applyAlignment="1">
      <alignment horizontal="center" wrapText="1"/>
    </xf>
    <xf numFmtId="0" fontId="15" fillId="14" borderId="125" xfId="0" applyFont="1" applyFill="1" applyBorder="1" applyAlignment="1">
      <alignment horizontal="center" wrapText="1"/>
    </xf>
    <xf numFmtId="0" fontId="16" fillId="0" borderId="42" xfId="0" applyFont="1" applyBorder="1" applyAlignment="1">
      <alignment horizontal="left" vertical="center" wrapText="1"/>
    </xf>
    <xf numFmtId="0" fontId="0" fillId="0" borderId="43" xfId="0" applyBorder="1" applyAlignment="1">
      <alignment vertical="center" wrapText="1"/>
    </xf>
    <xf numFmtId="0" fontId="16" fillId="0" borderId="25" xfId="0" applyFont="1" applyBorder="1" applyAlignment="1">
      <alignment horizontal="left" vertical="center" wrapText="1"/>
    </xf>
    <xf numFmtId="0" fontId="16" fillId="0" borderId="27" xfId="0" applyFont="1" applyBorder="1" applyAlignment="1">
      <alignment horizontal="left" vertical="center" wrapText="1"/>
    </xf>
    <xf numFmtId="0" fontId="25" fillId="14" borderId="111" xfId="0" applyFont="1" applyFill="1" applyBorder="1" applyAlignment="1">
      <alignment horizontal="left" wrapText="1"/>
    </xf>
    <xf numFmtId="0" fontId="26" fillId="14" borderId="112" xfId="0" applyFont="1" applyFill="1" applyBorder="1" applyAlignment="1">
      <alignment horizontal="center" wrapText="1"/>
    </xf>
    <xf numFmtId="0" fontId="26" fillId="14" borderId="105" xfId="0" applyFont="1" applyFill="1" applyBorder="1" applyAlignment="1">
      <alignment horizontal="center" wrapText="1"/>
    </xf>
    <xf numFmtId="0" fontId="26" fillId="14" borderId="106" xfId="0" applyFont="1" applyFill="1" applyBorder="1" applyAlignment="1">
      <alignment horizontal="center" wrapText="1"/>
    </xf>
    <xf numFmtId="0" fontId="26" fillId="14" borderId="107" xfId="0" applyFont="1" applyFill="1" applyBorder="1" applyAlignment="1">
      <alignment horizontal="center" wrapText="1"/>
    </xf>
    <xf numFmtId="0" fontId="26" fillId="13" borderId="114" xfId="0" applyFont="1" applyFill="1" applyBorder="1" applyAlignment="1">
      <alignment horizontal="center" wrapText="1"/>
    </xf>
    <xf numFmtId="0" fontId="26" fillId="13" borderId="115" xfId="0" applyFont="1" applyFill="1" applyBorder="1" applyAlignment="1">
      <alignment horizontal="center" wrapText="1"/>
    </xf>
    <xf numFmtId="0" fontId="26" fillId="13" borderId="117" xfId="0" applyFont="1" applyFill="1" applyBorder="1" applyAlignment="1">
      <alignment horizontal="center" wrapText="1"/>
    </xf>
    <xf numFmtId="0" fontId="25" fillId="13" borderId="108" xfId="0" applyFont="1" applyFill="1" applyBorder="1" applyAlignment="1">
      <alignment horizontal="left" wrapText="1"/>
    </xf>
    <xf numFmtId="0" fontId="34" fillId="13" borderId="109" xfId="0" applyFont="1" applyFill="1" applyBorder="1" applyAlignment="1">
      <alignment horizontal="center" wrapText="1"/>
    </xf>
    <xf numFmtId="0" fontId="26" fillId="13" borderId="118" xfId="0" applyFont="1" applyFill="1" applyBorder="1" applyAlignment="1">
      <alignment horizontal="center" wrapText="1"/>
    </xf>
    <xf numFmtId="0" fontId="26" fillId="13" borderId="112" xfId="0" applyFont="1" applyFill="1" applyBorder="1" applyAlignment="1">
      <alignment horizontal="center" wrapText="1"/>
    </xf>
    <xf numFmtId="0" fontId="25" fillId="12" borderId="111" xfId="0" applyFont="1" applyFill="1" applyBorder="1" applyAlignment="1">
      <alignment horizontal="left" wrapText="1"/>
    </xf>
    <xf numFmtId="0" fontId="34" fillId="12" borderId="109" xfId="0" applyFont="1" applyFill="1" applyBorder="1" applyAlignment="1">
      <alignment horizontal="center" wrapText="1"/>
    </xf>
    <xf numFmtId="0" fontId="25" fillId="13" borderId="111" xfId="0" applyFont="1" applyFill="1" applyBorder="1" applyAlignment="1">
      <alignment horizontal="left" wrapText="1"/>
    </xf>
    <xf numFmtId="0" fontId="26" fillId="12" borderId="113" xfId="0" applyFont="1" applyFill="1" applyBorder="1" applyAlignment="1">
      <alignment horizontal="center" wrapText="1"/>
    </xf>
    <xf numFmtId="0" fontId="26" fillId="12" borderId="110" xfId="0" applyFont="1" applyFill="1" applyBorder="1" applyAlignment="1">
      <alignment horizontal="center" wrapText="1"/>
    </xf>
    <xf numFmtId="0" fontId="26" fillId="12" borderId="112" xfId="0" applyFont="1" applyFill="1" applyBorder="1" applyAlignment="1">
      <alignment horizontal="center" wrapText="1"/>
    </xf>
    <xf numFmtId="0" fontId="26" fillId="12" borderId="104" xfId="0" applyFont="1" applyFill="1" applyBorder="1" applyAlignment="1">
      <alignment horizontal="center" wrapText="1"/>
    </xf>
    <xf numFmtId="0" fontId="0" fillId="0" borderId="27" xfId="0" applyBorder="1" applyAlignment="1"/>
    <xf numFmtId="0" fontId="27" fillId="8" borderId="104" xfId="0" applyFont="1" applyFill="1" applyBorder="1" applyAlignment="1">
      <alignment horizontal="center" wrapText="1"/>
    </xf>
    <xf numFmtId="0" fontId="0" fillId="2" borderId="102" xfId="0" applyFill="1" applyBorder="1" applyAlignment="1">
      <alignment horizontal="center"/>
    </xf>
    <xf numFmtId="0" fontId="0" fillId="2" borderId="103" xfId="0" applyFill="1" applyBorder="1" applyAlignment="1">
      <alignment horizontal="center"/>
    </xf>
    <xf numFmtId="0" fontId="0" fillId="0" borderId="25" xfId="0" applyBorder="1" applyAlignment="1">
      <alignment vertical="center" wrapText="1"/>
    </xf>
    <xf numFmtId="0" fontId="0" fillId="0" borderId="27" xfId="0" applyBorder="1" applyAlignment="1">
      <alignment vertical="center" wrapText="1"/>
    </xf>
    <xf numFmtId="0" fontId="0" fillId="2" borderId="129" xfId="0" applyFill="1" applyBorder="1" applyAlignment="1">
      <alignment horizontal="center"/>
    </xf>
    <xf numFmtId="0" fontId="0" fillId="2" borderId="130" xfId="0" applyFill="1" applyBorder="1" applyAlignment="1">
      <alignment horizontal="center"/>
    </xf>
    <xf numFmtId="0" fontId="14" fillId="3" borderId="113" xfId="0" applyFont="1" applyFill="1" applyBorder="1" applyAlignment="1">
      <alignment horizontal="center" wrapText="1"/>
    </xf>
    <xf numFmtId="0" fontId="14" fillId="3" borderId="106" xfId="0" applyFont="1" applyFill="1" applyBorder="1" applyAlignment="1">
      <alignment horizontal="center" wrapText="1"/>
    </xf>
    <xf numFmtId="0" fontId="15" fillId="0" borderId="18" xfId="0" applyFont="1" applyBorder="1" applyAlignment="1">
      <alignment horizontal="center" vertical="center" wrapText="1"/>
    </xf>
    <xf numFmtId="0" fontId="15" fillId="0" borderId="65" xfId="0" applyFont="1" applyBorder="1" applyAlignment="1">
      <alignment horizontal="center" vertical="center" wrapText="1"/>
    </xf>
    <xf numFmtId="0" fontId="13" fillId="3" borderId="121" xfId="0" applyFont="1" applyFill="1" applyBorder="1" applyAlignment="1">
      <alignment horizontal="center" wrapText="1"/>
    </xf>
    <xf numFmtId="0" fontId="13" fillId="3" borderId="106" xfId="0" applyFont="1" applyFill="1" applyBorder="1" applyAlignment="1">
      <alignment horizontal="center" wrapText="1"/>
    </xf>
    <xf numFmtId="0" fontId="13" fillId="3" borderId="107" xfId="0" applyFont="1" applyFill="1" applyBorder="1" applyAlignment="1">
      <alignment horizontal="center" wrapText="1"/>
    </xf>
    <xf numFmtId="0" fontId="15" fillId="0" borderId="26" xfId="0" applyFont="1" applyBorder="1" applyAlignment="1">
      <alignment horizontal="center" vertical="center" wrapText="1"/>
    </xf>
    <xf numFmtId="0" fontId="15" fillId="0" borderId="28" xfId="0" applyFont="1" applyBorder="1" applyAlignment="1">
      <alignment horizontal="center" vertical="center" wrapText="1"/>
    </xf>
    <xf numFmtId="0" fontId="25" fillId="8" borderId="111" xfId="0" applyFont="1" applyFill="1" applyBorder="1" applyAlignment="1">
      <alignment horizontal="left"/>
    </xf>
    <xf numFmtId="0" fontId="26" fillId="8" borderId="112" xfId="0" applyFont="1" applyFill="1" applyBorder="1" applyAlignment="1">
      <alignment horizontal="left" wrapText="1"/>
    </xf>
    <xf numFmtId="0" fontId="27" fillId="8" borderId="132" xfId="0" applyFont="1" applyFill="1" applyBorder="1" applyAlignment="1">
      <alignment horizontal="center" wrapText="1"/>
    </xf>
    <xf numFmtId="0" fontId="34" fillId="12" borderId="18" xfId="0" applyFont="1" applyFill="1" applyBorder="1" applyAlignment="1">
      <alignment horizontal="center" wrapText="1"/>
    </xf>
    <xf numFmtId="0" fontId="26" fillId="12" borderId="132" xfId="0" applyFont="1" applyFill="1" applyBorder="1" applyAlignment="1">
      <alignment horizontal="center" wrapText="1"/>
    </xf>
    <xf numFmtId="0" fontId="0" fillId="0" borderId="26" xfId="0" applyBorder="1"/>
    <xf numFmtId="0" fontId="0" fillId="0" borderId="25" xfId="0" applyBorder="1"/>
    <xf numFmtId="0" fontId="0" fillId="0" borderId="27" xfId="0" applyBorder="1"/>
    <xf numFmtId="0" fontId="0" fillId="0" borderId="28" xfId="0" applyBorder="1"/>
    <xf numFmtId="0" fontId="26" fillId="4" borderId="18" xfId="0" applyFont="1" applyFill="1" applyBorder="1" applyAlignment="1">
      <alignment horizontal="center" vertical="center" wrapText="1"/>
    </xf>
    <xf numFmtId="0" fontId="26" fillId="4" borderId="65" xfId="0" applyFont="1" applyFill="1" applyBorder="1" applyAlignment="1">
      <alignment horizontal="center" vertical="center" wrapText="1"/>
    </xf>
    <xf numFmtId="0" fontId="25" fillId="13" borderId="131" xfId="0" applyFont="1" applyFill="1" applyBorder="1" applyAlignment="1">
      <alignment horizontal="left" wrapText="1"/>
    </xf>
    <xf numFmtId="0" fontId="0" fillId="0" borderId="43" xfId="0" applyBorder="1"/>
    <xf numFmtId="0" fontId="0" fillId="0" borderId="40" xfId="0" applyBorder="1"/>
    <xf numFmtId="0" fontId="0" fillId="0" borderId="83" xfId="0" applyBorder="1"/>
    <xf numFmtId="0" fontId="26" fillId="0" borderId="18" xfId="0" applyFont="1" applyBorder="1" applyAlignment="1">
      <alignment horizontal="center" vertical="center" wrapText="1"/>
    </xf>
    <xf numFmtId="0" fontId="26" fillId="0" borderId="65" xfId="0" applyFont="1" applyBorder="1" applyAlignment="1">
      <alignment horizontal="center" vertical="center" wrapText="1"/>
    </xf>
    <xf numFmtId="0" fontId="0" fillId="0" borderId="18" xfId="0" applyBorder="1" applyAlignment="1">
      <alignment horizontal="center" vertical="center" wrapText="1"/>
    </xf>
    <xf numFmtId="0" fontId="0" fillId="0" borderId="65" xfId="0" applyBorder="1" applyAlignment="1">
      <alignment horizontal="center" vertical="center" wrapText="1"/>
    </xf>
    <xf numFmtId="0" fontId="26" fillId="0" borderId="49" xfId="0" applyFont="1" applyBorder="1" applyAlignment="1">
      <alignment horizontal="center" vertical="center" wrapText="1"/>
    </xf>
    <xf numFmtId="0" fontId="0" fillId="2" borderId="135" xfId="0" applyFill="1" applyBorder="1" applyAlignment="1">
      <alignment horizontal="center"/>
    </xf>
    <xf numFmtId="0" fontId="0" fillId="2" borderId="136" xfId="0" applyFill="1" applyBorder="1" applyAlignment="1">
      <alignment horizontal="center"/>
    </xf>
    <xf numFmtId="0" fontId="14" fillId="3" borderId="137" xfId="0" applyFont="1" applyFill="1" applyBorder="1" applyAlignment="1">
      <alignment horizontal="center" wrapText="1"/>
    </xf>
    <xf numFmtId="0" fontId="13" fillId="3" borderId="137" xfId="0" applyFont="1" applyFill="1" applyBorder="1" applyAlignment="1">
      <alignment horizontal="center" wrapText="1"/>
    </xf>
    <xf numFmtId="0" fontId="13" fillId="3" borderId="138" xfId="0" applyFont="1" applyFill="1" applyBorder="1" applyAlignment="1">
      <alignment horizontal="center" wrapText="1"/>
    </xf>
    <xf numFmtId="0" fontId="25" fillId="8" borderId="141" xfId="0" applyFont="1" applyFill="1" applyBorder="1" applyAlignment="1">
      <alignment horizontal="left"/>
    </xf>
    <xf numFmtId="0" fontId="26" fillId="8" borderId="142" xfId="0" applyFont="1" applyFill="1" applyBorder="1" applyAlignment="1">
      <alignment horizontal="left" wrapText="1"/>
    </xf>
    <xf numFmtId="0" fontId="47" fillId="0" borderId="25" xfId="0" applyFont="1" applyBorder="1" applyAlignment="1">
      <alignment horizontal="left" vertical="center" wrapText="1"/>
    </xf>
    <xf numFmtId="0" fontId="25" fillId="12" borderId="141" xfId="0" applyFont="1" applyFill="1" applyBorder="1" applyAlignment="1">
      <alignment horizontal="left" wrapText="1"/>
    </xf>
    <xf numFmtId="0" fontId="34" fillId="12" borderId="140" xfId="0" applyFont="1" applyFill="1" applyBorder="1" applyAlignment="1">
      <alignment horizontal="center" wrapText="1"/>
    </xf>
    <xf numFmtId="0" fontId="26" fillId="12" borderId="142" xfId="0" applyFont="1" applyFill="1" applyBorder="1" applyAlignment="1">
      <alignment horizontal="center" wrapText="1"/>
    </xf>
    <xf numFmtId="0" fontId="25" fillId="13" borderId="141" xfId="0" applyFont="1" applyFill="1" applyBorder="1" applyAlignment="1">
      <alignment horizontal="left" wrapText="1"/>
    </xf>
    <xf numFmtId="0" fontId="34" fillId="13" borderId="140" xfId="0" applyFont="1" applyFill="1" applyBorder="1" applyAlignment="1">
      <alignment horizontal="center" wrapText="1"/>
    </xf>
    <xf numFmtId="0" fontId="26" fillId="13" borderId="144" xfId="0" applyFont="1" applyFill="1" applyBorder="1" applyAlignment="1">
      <alignment horizontal="center" wrapText="1"/>
    </xf>
    <xf numFmtId="0" fontId="26" fillId="13" borderId="145" xfId="0" applyFont="1" applyFill="1" applyBorder="1" applyAlignment="1">
      <alignment horizontal="center" wrapText="1"/>
    </xf>
    <xf numFmtId="0" fontId="26" fillId="13" borderId="147" xfId="0" applyFont="1" applyFill="1" applyBorder="1" applyAlignment="1">
      <alignment horizontal="center" wrapText="1"/>
    </xf>
    <xf numFmtId="0" fontId="25" fillId="13" borderId="143" xfId="0" applyFont="1" applyFill="1" applyBorder="1" applyAlignment="1">
      <alignment horizontal="left" wrapText="1"/>
    </xf>
    <xf numFmtId="0" fontId="26" fillId="13" borderId="148" xfId="0" applyFont="1" applyFill="1" applyBorder="1" applyAlignment="1">
      <alignment horizontal="center" wrapText="1"/>
    </xf>
    <xf numFmtId="0" fontId="26" fillId="13" borderId="142" xfId="0" applyFont="1" applyFill="1" applyBorder="1" applyAlignment="1">
      <alignment horizontal="center" wrapText="1"/>
    </xf>
    <xf numFmtId="0" fontId="15" fillId="14" borderId="137" xfId="0" applyFont="1" applyFill="1" applyBorder="1" applyAlignment="1">
      <alignment horizontal="center" wrapText="1"/>
    </xf>
    <xf numFmtId="0" fontId="25" fillId="14" borderId="141" xfId="0" applyFont="1" applyFill="1" applyBorder="1" applyAlignment="1">
      <alignment horizontal="left" wrapText="1"/>
    </xf>
    <xf numFmtId="0" fontId="12" fillId="14" borderId="140" xfId="0" applyFont="1" applyFill="1" applyBorder="1" applyAlignment="1">
      <alignment horizontal="center" wrapText="1"/>
    </xf>
    <xf numFmtId="0" fontId="26" fillId="14" borderId="142" xfId="0" applyFont="1" applyFill="1" applyBorder="1" applyAlignment="1">
      <alignment horizontal="center" wrapText="1"/>
    </xf>
    <xf numFmtId="0" fontId="26" fillId="14" borderId="137" xfId="0" applyFont="1" applyFill="1" applyBorder="1" applyAlignment="1">
      <alignment horizontal="center" wrapText="1"/>
    </xf>
    <xf numFmtId="0" fontId="26" fillId="14" borderId="138" xfId="0" applyFont="1" applyFill="1" applyBorder="1" applyAlignment="1">
      <alignment horizontal="center" wrapText="1"/>
    </xf>
    <xf numFmtId="0" fontId="0" fillId="0" borderId="49" xfId="0" applyBorder="1" applyAlignment="1">
      <alignment horizontal="center" vertical="center" wrapText="1"/>
    </xf>
    <xf numFmtId="0" fontId="27" fillId="8" borderId="160" xfId="0" applyFont="1" applyFill="1" applyBorder="1" applyAlignment="1">
      <alignment horizontal="center" wrapText="1"/>
    </xf>
    <xf numFmtId="0" fontId="0" fillId="2" borderId="151" xfId="0" applyFill="1" applyBorder="1" applyAlignment="1">
      <alignment horizontal="center"/>
    </xf>
    <xf numFmtId="0" fontId="0" fillId="2" borderId="152" xfId="0" applyFill="1" applyBorder="1" applyAlignment="1">
      <alignment horizontal="center"/>
    </xf>
    <xf numFmtId="0" fontId="14" fillId="3" borderId="155" xfId="0" applyFont="1" applyFill="1" applyBorder="1" applyAlignment="1">
      <alignment horizontal="center" wrapText="1"/>
    </xf>
    <xf numFmtId="0" fontId="13" fillId="3" borderId="155" xfId="0" applyFont="1" applyFill="1" applyBorder="1" applyAlignment="1">
      <alignment horizontal="center" wrapText="1"/>
    </xf>
    <xf numFmtId="0" fontId="13" fillId="3" borderId="156" xfId="0" applyFont="1" applyFill="1" applyBorder="1" applyAlignment="1">
      <alignment horizontal="center" wrapText="1"/>
    </xf>
    <xf numFmtId="0" fontId="25" fillId="8" borderId="158" xfId="0" applyFont="1" applyFill="1" applyBorder="1" applyAlignment="1">
      <alignment horizontal="left"/>
    </xf>
    <xf numFmtId="0" fontId="26" fillId="8" borderId="159" xfId="0" applyFont="1" applyFill="1" applyBorder="1" applyAlignment="1">
      <alignment horizontal="left" wrapText="1"/>
    </xf>
    <xf numFmtId="0" fontId="25" fillId="12" borderId="167" xfId="0" applyFont="1" applyFill="1" applyBorder="1" applyAlignment="1">
      <alignment horizontal="left" wrapText="1"/>
    </xf>
    <xf numFmtId="0" fontId="34" fillId="12" borderId="165" xfId="0" applyFont="1" applyFill="1" applyBorder="1" applyAlignment="1">
      <alignment horizontal="center" wrapText="1"/>
    </xf>
    <xf numFmtId="0" fontId="26" fillId="12" borderId="169" xfId="0" applyFont="1" applyFill="1" applyBorder="1" applyAlignment="1">
      <alignment horizontal="center" wrapText="1"/>
    </xf>
    <xf numFmtId="0" fontId="26" fillId="12" borderId="166" xfId="0" applyFont="1" applyFill="1" applyBorder="1" applyAlignment="1">
      <alignment horizontal="center" wrapText="1"/>
    </xf>
    <xf numFmtId="0" fontId="26" fillId="12" borderId="168" xfId="0" applyFont="1" applyFill="1" applyBorder="1" applyAlignment="1">
      <alignment horizontal="center" wrapText="1"/>
    </xf>
    <xf numFmtId="0" fontId="26" fillId="12" borderId="160" xfId="0" applyFont="1" applyFill="1" applyBorder="1" applyAlignment="1">
      <alignment horizontal="center" wrapText="1"/>
    </xf>
    <xf numFmtId="0" fontId="25" fillId="13" borderId="167" xfId="0" applyFont="1" applyFill="1" applyBorder="1" applyAlignment="1">
      <alignment horizontal="left" wrapText="1"/>
    </xf>
    <xf numFmtId="0" fontId="34" fillId="13" borderId="165" xfId="0" applyFont="1" applyFill="1" applyBorder="1" applyAlignment="1">
      <alignment horizontal="center" wrapText="1"/>
    </xf>
    <xf numFmtId="0" fontId="26" fillId="13" borderId="170" xfId="0" applyFont="1" applyFill="1" applyBorder="1" applyAlignment="1">
      <alignment horizontal="center" wrapText="1"/>
    </xf>
    <xf numFmtId="0" fontId="26" fillId="13" borderId="171" xfId="0" applyFont="1" applyFill="1" applyBorder="1" applyAlignment="1">
      <alignment horizontal="center" wrapText="1"/>
    </xf>
    <xf numFmtId="0" fontId="26" fillId="13" borderId="173" xfId="0" applyFont="1" applyFill="1" applyBorder="1" applyAlignment="1">
      <alignment horizontal="center" wrapText="1"/>
    </xf>
    <xf numFmtId="0" fontId="25" fillId="13" borderId="164" xfId="0" applyFont="1" applyFill="1" applyBorder="1" applyAlignment="1">
      <alignment horizontal="left" wrapText="1"/>
    </xf>
    <xf numFmtId="0" fontId="26" fillId="13" borderId="174" xfId="0" applyFont="1" applyFill="1" applyBorder="1" applyAlignment="1">
      <alignment horizontal="center" wrapText="1"/>
    </xf>
    <xf numFmtId="0" fontId="26" fillId="13" borderId="168" xfId="0" applyFont="1" applyFill="1" applyBorder="1" applyAlignment="1">
      <alignment horizontal="center" wrapText="1"/>
    </xf>
    <xf numFmtId="0" fontId="15" fillId="14" borderId="162" xfId="0" applyFont="1" applyFill="1" applyBorder="1" applyAlignment="1">
      <alignment horizontal="center" wrapText="1"/>
    </xf>
    <xf numFmtId="0" fontId="15" fillId="14" borderId="166" xfId="0" applyFont="1" applyFill="1" applyBorder="1" applyAlignment="1">
      <alignment horizontal="center" wrapText="1"/>
    </xf>
    <xf numFmtId="0" fontId="15" fillId="14" borderId="181" xfId="0" applyFont="1" applyFill="1" applyBorder="1" applyAlignment="1">
      <alignment horizontal="center" wrapText="1"/>
    </xf>
    <xf numFmtId="0" fontId="23" fillId="4" borderId="42" xfId="0" applyFont="1" applyFill="1" applyBorder="1" applyAlignment="1">
      <alignment horizontal="left" vertical="center" wrapText="1"/>
    </xf>
    <xf numFmtId="0" fontId="0" fillId="4" borderId="43" xfId="0" applyFill="1" applyBorder="1" applyAlignment="1">
      <alignment vertical="center" wrapText="1"/>
    </xf>
    <xf numFmtId="0" fontId="16" fillId="4" borderId="25" xfId="0" applyFont="1" applyFill="1" applyBorder="1" applyAlignment="1">
      <alignment horizontal="left" vertical="center" wrapText="1"/>
    </xf>
    <xf numFmtId="0" fontId="0" fillId="4" borderId="26" xfId="0" applyFill="1" applyBorder="1" applyAlignment="1">
      <alignment vertical="center" wrapText="1"/>
    </xf>
    <xf numFmtId="0" fontId="16" fillId="4" borderId="27" xfId="0" applyFont="1" applyFill="1" applyBorder="1" applyAlignment="1">
      <alignment horizontal="left" vertical="center" wrapText="1"/>
    </xf>
    <xf numFmtId="0" fontId="0" fillId="4" borderId="28" xfId="0" applyFill="1" applyBorder="1" applyAlignment="1">
      <alignment vertical="center" wrapText="1"/>
    </xf>
    <xf numFmtId="0" fontId="25" fillId="14" borderId="167" xfId="0" applyFont="1" applyFill="1" applyBorder="1" applyAlignment="1">
      <alignment horizontal="left" wrapText="1"/>
    </xf>
    <xf numFmtId="0" fontId="12" fillId="14" borderId="165" xfId="0" applyFont="1" applyFill="1" applyBorder="1" applyAlignment="1">
      <alignment horizontal="center" wrapText="1"/>
    </xf>
    <xf numFmtId="0" fontId="26" fillId="14" borderId="168" xfId="0" applyFont="1" applyFill="1" applyBorder="1" applyAlignment="1">
      <alignment horizontal="center" wrapText="1"/>
    </xf>
    <xf numFmtId="0" fontId="26" fillId="14" borderId="161" xfId="0" applyFont="1" applyFill="1" applyBorder="1" applyAlignment="1">
      <alignment horizontal="center" wrapText="1"/>
    </xf>
    <xf numFmtId="0" fontId="26" fillId="14" borderId="162" xfId="0" applyFont="1" applyFill="1" applyBorder="1" applyAlignment="1">
      <alignment horizontal="center" wrapText="1"/>
    </xf>
    <xf numFmtId="0" fontId="26" fillId="14" borderId="163" xfId="0" applyFont="1" applyFill="1" applyBorder="1" applyAlignment="1">
      <alignment horizontal="center" wrapText="1"/>
    </xf>
    <xf numFmtId="0" fontId="26" fillId="4" borderId="27" xfId="0" applyFont="1" applyFill="1" applyBorder="1" applyAlignment="1">
      <alignment horizontal="left"/>
    </xf>
    <xf numFmtId="0" fontId="12" fillId="14" borderId="180" xfId="0" applyFont="1" applyFill="1" applyBorder="1" applyAlignment="1">
      <alignment horizontal="left"/>
    </xf>
    <xf numFmtId="0" fontId="0" fillId="2" borderId="185" xfId="0" applyFill="1" applyBorder="1" applyAlignment="1">
      <alignment horizontal="center"/>
    </xf>
    <xf numFmtId="0" fontId="0" fillId="2" borderId="186" xfId="0" applyFill="1" applyBorder="1" applyAlignment="1">
      <alignment horizontal="center"/>
    </xf>
    <xf numFmtId="0" fontId="14" fillId="3" borderId="169" xfId="0" applyFont="1" applyFill="1" applyBorder="1" applyAlignment="1">
      <alignment horizontal="center" wrapText="1"/>
    </xf>
    <xf numFmtId="0" fontId="14" fillId="3" borderId="162" xfId="0" applyFont="1" applyFill="1" applyBorder="1" applyAlignment="1">
      <alignment horizontal="center" wrapText="1"/>
    </xf>
    <xf numFmtId="0" fontId="1" fillId="0" borderId="25" xfId="0" applyFont="1" applyBorder="1" applyAlignment="1">
      <alignment horizontal="center" vertical="top" wrapText="1"/>
    </xf>
    <xf numFmtId="0" fontId="1" fillId="0" borderId="26" xfId="0" applyFont="1" applyBorder="1" applyAlignment="1">
      <alignment horizontal="center" vertical="top" wrapText="1"/>
    </xf>
    <xf numFmtId="0" fontId="1" fillId="0" borderId="27" xfId="0" applyFont="1" applyBorder="1" applyAlignment="1">
      <alignment horizontal="center" vertical="top" wrapText="1"/>
    </xf>
    <xf numFmtId="0" fontId="1" fillId="0" borderId="28" xfId="0" applyFont="1" applyBorder="1" applyAlignment="1">
      <alignment horizontal="center" vertical="top" wrapText="1"/>
    </xf>
    <xf numFmtId="0" fontId="13" fillId="3" borderId="177" xfId="0" applyFont="1" applyFill="1" applyBorder="1" applyAlignment="1">
      <alignment horizontal="center" wrapText="1"/>
    </xf>
    <xf numFmtId="0" fontId="13" fillId="3" borderId="162" xfId="0" applyFont="1" applyFill="1" applyBorder="1" applyAlignment="1">
      <alignment horizontal="center" wrapText="1"/>
    </xf>
    <xf numFmtId="0" fontId="13" fillId="3" borderId="163" xfId="0" applyFont="1" applyFill="1" applyBorder="1" applyAlignment="1">
      <alignment horizontal="center" wrapText="1"/>
    </xf>
    <xf numFmtId="0" fontId="25" fillId="8" borderId="167" xfId="0" applyFont="1" applyFill="1" applyBorder="1" applyAlignment="1">
      <alignment horizontal="left"/>
    </xf>
    <xf numFmtId="0" fontId="26" fillId="8" borderId="168" xfId="0" applyFont="1" applyFill="1" applyBorder="1" applyAlignment="1">
      <alignment horizontal="left"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1" fillId="0" borderId="26" xfId="0" applyFont="1" applyBorder="1" applyAlignment="1">
      <alignment horizontal="center" vertical="center" wrapText="1"/>
    </xf>
    <xf numFmtId="0" fontId="1" fillId="0" borderId="25" xfId="0" applyFont="1" applyBorder="1" applyAlignment="1">
      <alignment horizontal="left" vertical="top" wrapText="1"/>
    </xf>
    <xf numFmtId="0" fontId="0" fillId="0" borderId="26" xfId="0" applyBorder="1" applyAlignment="1">
      <alignment horizontal="left" vertical="top" wrapText="1"/>
    </xf>
    <xf numFmtId="0" fontId="0" fillId="0" borderId="25"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29" fillId="0" borderId="27" xfId="0" applyFont="1" applyBorder="1" applyAlignment="1">
      <alignment horizontal="center" vertical="center" wrapText="1"/>
    </xf>
    <xf numFmtId="0" fontId="1" fillId="0" borderId="26" xfId="0" applyFont="1" applyBorder="1" applyAlignment="1">
      <alignment horizontal="left" vertical="top" wrapText="1"/>
    </xf>
    <xf numFmtId="0" fontId="0" fillId="0" borderId="26" xfId="0" applyFill="1" applyBorder="1" applyAlignment="1">
      <alignment horizontal="center" vertical="center" wrapText="1"/>
    </xf>
    <xf numFmtId="0" fontId="0" fillId="0" borderId="28" xfId="0" applyFill="1" applyBorder="1" applyAlignment="1">
      <alignment horizontal="center" vertical="center" wrapText="1"/>
    </xf>
    <xf numFmtId="0" fontId="23" fillId="0" borderId="25"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26" xfId="0" applyFont="1" applyFill="1" applyBorder="1" applyAlignment="1">
      <alignment horizontal="center" vertical="center" wrapText="1"/>
    </xf>
    <xf numFmtId="0" fontId="1" fillId="0" borderId="43" xfId="0" applyFont="1" applyBorder="1" applyAlignment="1">
      <alignment horizontal="left" vertical="top" wrapText="1"/>
    </xf>
    <xf numFmtId="0" fontId="51" fillId="0" borderId="43" xfId="0" applyFont="1" applyBorder="1" applyAlignment="1">
      <alignment horizontal="left" vertical="top" wrapText="1"/>
    </xf>
    <xf numFmtId="0" fontId="53" fillId="0" borderId="26" xfId="0" applyFont="1" applyBorder="1" applyAlignment="1">
      <alignment horizontal="left" vertical="top" wrapText="1"/>
    </xf>
    <xf numFmtId="0" fontId="53" fillId="0" borderId="28" xfId="0" applyFont="1" applyBorder="1" applyAlignment="1">
      <alignment horizontal="left" vertical="top" wrapText="1"/>
    </xf>
    <xf numFmtId="0" fontId="25" fillId="8" borderId="189" xfId="0" applyFont="1" applyFill="1" applyBorder="1" applyAlignment="1">
      <alignment horizontal="left"/>
    </xf>
    <xf numFmtId="0" fontId="26" fillId="8" borderId="190" xfId="0" applyFont="1" applyFill="1" applyBorder="1" applyAlignment="1">
      <alignment horizontal="left" wrapText="1"/>
    </xf>
    <xf numFmtId="0" fontId="25" fillId="12" borderId="189" xfId="0" applyFont="1" applyFill="1" applyBorder="1" applyAlignment="1">
      <alignment horizontal="left" wrapText="1"/>
    </xf>
    <xf numFmtId="0" fontId="34" fillId="12" borderId="188" xfId="0" applyFont="1" applyFill="1" applyBorder="1" applyAlignment="1">
      <alignment horizontal="center" wrapText="1"/>
    </xf>
    <xf numFmtId="0" fontId="26" fillId="12" borderId="190" xfId="0" applyFont="1" applyFill="1" applyBorder="1" applyAlignment="1">
      <alignment horizontal="center" wrapText="1"/>
    </xf>
    <xf numFmtId="0" fontId="25" fillId="13" borderId="189" xfId="0" applyFont="1" applyFill="1" applyBorder="1" applyAlignment="1">
      <alignment horizontal="left" wrapText="1"/>
    </xf>
    <xf numFmtId="0" fontId="34" fillId="13" borderId="188" xfId="0" applyFont="1" applyFill="1" applyBorder="1" applyAlignment="1">
      <alignment horizontal="center" wrapText="1"/>
    </xf>
    <xf numFmtId="0" fontId="26" fillId="13" borderId="191" xfId="0" applyFont="1" applyFill="1" applyBorder="1" applyAlignment="1">
      <alignment horizontal="center" wrapText="1"/>
    </xf>
    <xf numFmtId="0" fontId="26" fillId="13" borderId="192" xfId="0" applyFont="1" applyFill="1" applyBorder="1" applyAlignment="1">
      <alignment horizontal="center" wrapText="1"/>
    </xf>
    <xf numFmtId="0" fontId="26" fillId="13" borderId="194" xfId="0" applyFont="1" applyFill="1" applyBorder="1" applyAlignment="1">
      <alignment horizontal="center" wrapText="1"/>
    </xf>
    <xf numFmtId="0" fontId="25" fillId="13" borderId="187" xfId="0" applyFont="1" applyFill="1" applyBorder="1" applyAlignment="1">
      <alignment horizontal="left" wrapText="1"/>
    </xf>
    <xf numFmtId="0" fontId="26" fillId="13" borderId="195" xfId="0" applyFont="1" applyFill="1" applyBorder="1" applyAlignment="1">
      <alignment horizontal="center" wrapText="1"/>
    </xf>
    <xf numFmtId="0" fontId="26" fillId="13" borderId="190" xfId="0" applyFont="1" applyFill="1" applyBorder="1" applyAlignment="1">
      <alignment horizontal="center" wrapText="1"/>
    </xf>
    <xf numFmtId="0" fontId="1" fillId="0" borderId="43" xfId="0" applyFont="1" applyBorder="1" applyAlignment="1">
      <alignment vertical="center" wrapText="1"/>
    </xf>
    <xf numFmtId="0" fontId="1" fillId="0" borderId="26" xfId="0" applyFont="1" applyBorder="1" applyAlignment="1">
      <alignment vertical="center" wrapText="1"/>
    </xf>
    <xf numFmtId="0" fontId="1" fillId="0" borderId="28" xfId="0" applyFont="1" applyBorder="1" applyAlignment="1">
      <alignment vertical="center" wrapText="1"/>
    </xf>
    <xf numFmtId="0" fontId="25" fillId="14" borderId="189" xfId="0" applyFont="1" applyFill="1" applyBorder="1" applyAlignment="1">
      <alignment horizontal="left" wrapText="1"/>
    </xf>
    <xf numFmtId="0" fontId="12" fillId="14" borderId="188" xfId="0" applyFont="1" applyFill="1" applyBorder="1" applyAlignment="1">
      <alignment horizontal="center" wrapText="1"/>
    </xf>
    <xf numFmtId="0" fontId="26" fillId="14" borderId="190" xfId="0" applyFont="1" applyFill="1" applyBorder="1" applyAlignment="1">
      <alignment horizontal="center" wrapText="1"/>
    </xf>
    <xf numFmtId="0" fontId="23" fillId="0" borderId="25" xfId="0" applyFont="1" applyFill="1" applyBorder="1" applyAlignment="1">
      <alignment horizontal="left" vertical="center" wrapText="1"/>
    </xf>
    <xf numFmtId="0" fontId="0" fillId="0" borderId="26" xfId="0" applyFill="1" applyBorder="1" applyAlignment="1">
      <alignment vertical="center" wrapText="1"/>
    </xf>
    <xf numFmtId="0" fontId="15" fillId="0" borderId="25"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0" fillId="0" borderId="28" xfId="0" applyFill="1" applyBorder="1" applyAlignment="1">
      <alignment vertical="center" wrapText="1"/>
    </xf>
    <xf numFmtId="0" fontId="20" fillId="0" borderId="26" xfId="0" applyFont="1" applyBorder="1" applyAlignment="1"/>
    <xf numFmtId="0" fontId="20" fillId="0" borderId="28" xfId="0" applyFont="1" applyBorder="1" applyAlignment="1"/>
    <xf numFmtId="0" fontId="29" fillId="0" borderId="25" xfId="0" applyFont="1" applyFill="1" applyBorder="1" applyAlignment="1">
      <alignment horizontal="left" vertical="center" wrapText="1"/>
    </xf>
    <xf numFmtId="0" fontId="0" fillId="0" borderId="26" xfId="0" applyFill="1" applyBorder="1" applyAlignment="1"/>
    <xf numFmtId="0" fontId="26" fillId="0" borderId="25" xfId="0" applyFont="1" applyFill="1" applyBorder="1" applyAlignment="1">
      <alignment horizontal="left" vertical="center" wrapText="1"/>
    </xf>
    <xf numFmtId="0" fontId="26" fillId="0" borderId="27" xfId="0" applyFont="1" applyFill="1" applyBorder="1" applyAlignment="1"/>
    <xf numFmtId="0" fontId="0" fillId="0" borderId="28" xfId="0" applyFill="1" applyBorder="1" applyAlignment="1"/>
    <xf numFmtId="0" fontId="26" fillId="0" borderId="79" xfId="0" applyFont="1" applyBorder="1" applyAlignment="1">
      <alignment horizontal="left" vertical="center" wrapText="1"/>
    </xf>
    <xf numFmtId="0" fontId="26" fillId="0" borderId="40" xfId="0" applyFont="1" applyBorder="1" applyAlignment="1">
      <alignment horizontal="left" vertical="center" wrapText="1"/>
    </xf>
    <xf numFmtId="0" fontId="26" fillId="0" borderId="83" xfId="0" applyFont="1" applyBorder="1" applyAlignment="1">
      <alignment horizontal="left" vertical="center" wrapText="1"/>
    </xf>
    <xf numFmtId="0" fontId="26" fillId="0" borderId="49" xfId="0" applyFont="1" applyBorder="1" applyAlignment="1">
      <alignment horizontal="left" vertical="top" wrapText="1"/>
    </xf>
    <xf numFmtId="0" fontId="26" fillId="0" borderId="18" xfId="0" applyFont="1" applyBorder="1" applyAlignment="1">
      <alignment horizontal="left" vertical="top" wrapText="1"/>
    </xf>
    <xf numFmtId="0" fontId="26" fillId="0" borderId="65" xfId="0" applyFont="1" applyBorder="1" applyAlignment="1">
      <alignment horizontal="left" vertical="top" wrapText="1"/>
    </xf>
    <xf numFmtId="0" fontId="61" fillId="0" borderId="25" xfId="0" applyFont="1" applyBorder="1" applyAlignment="1">
      <alignment horizontal="left" vertical="center" wrapText="1"/>
    </xf>
    <xf numFmtId="0" fontId="59" fillId="0" borderId="26" xfId="0" applyFont="1" applyBorder="1" applyAlignment="1">
      <alignment vertical="center" wrapText="1"/>
    </xf>
    <xf numFmtId="0" fontId="61" fillId="0" borderId="27" xfId="0" applyFont="1" applyBorder="1" applyAlignment="1">
      <alignment horizontal="left" vertical="center" wrapText="1"/>
    </xf>
    <xf numFmtId="0" fontId="59" fillId="0" borderId="28" xfId="0" applyFont="1" applyBorder="1" applyAlignment="1">
      <alignment vertical="center" wrapText="1"/>
    </xf>
    <xf numFmtId="0" fontId="59" fillId="0" borderId="49" xfId="0" applyFont="1" applyBorder="1" applyAlignment="1">
      <alignment horizontal="center" vertical="center" wrapText="1"/>
    </xf>
    <xf numFmtId="0" fontId="59" fillId="0" borderId="18" xfId="0" applyFont="1" applyBorder="1" applyAlignment="1">
      <alignment horizontal="center" vertical="center" wrapText="1"/>
    </xf>
    <xf numFmtId="0" fontId="59" fillId="0" borderId="65" xfId="0" applyFont="1" applyBorder="1" applyAlignment="1">
      <alignment horizontal="center" vertical="center" wrapText="1"/>
    </xf>
    <xf numFmtId="0" fontId="58" fillId="14" borderId="14" xfId="0" applyFont="1" applyFill="1" applyBorder="1" applyAlignment="1">
      <alignment horizontal="left"/>
    </xf>
    <xf numFmtId="0" fontId="58" fillId="14" borderId="23" xfId="0" applyFont="1" applyFill="1" applyBorder="1" applyAlignment="1">
      <alignment horizontal="left"/>
    </xf>
    <xf numFmtId="0" fontId="58" fillId="14" borderId="188" xfId="0" applyFont="1" applyFill="1" applyBorder="1" applyAlignment="1">
      <alignment horizontal="center" wrapText="1"/>
    </xf>
    <xf numFmtId="0" fontId="58" fillId="14" borderId="53" xfId="0" applyFont="1" applyFill="1" applyBorder="1" applyAlignment="1">
      <alignment horizontal="center" wrapText="1"/>
    </xf>
    <xf numFmtId="0" fontId="61" fillId="14" borderId="15" xfId="0" applyFont="1" applyFill="1" applyBorder="1" applyAlignment="1">
      <alignment horizontal="center" wrapText="1"/>
    </xf>
    <xf numFmtId="0" fontId="61" fillId="14" borderId="21" xfId="0" applyFont="1" applyFill="1" applyBorder="1" applyAlignment="1">
      <alignment horizontal="center" wrapText="1"/>
    </xf>
    <xf numFmtId="0" fontId="61" fillId="14" borderId="36" xfId="0" applyFont="1" applyFill="1" applyBorder="1" applyAlignment="1">
      <alignment horizontal="center" wrapText="1"/>
    </xf>
    <xf numFmtId="0" fontId="61" fillId="14" borderId="162" xfId="0" applyFont="1" applyFill="1" applyBorder="1" applyAlignment="1">
      <alignment horizontal="center" wrapText="1"/>
    </xf>
    <xf numFmtId="0" fontId="61" fillId="14" borderId="166" xfId="0" applyFont="1" applyFill="1" applyBorder="1" applyAlignment="1">
      <alignment horizontal="center" wrapText="1"/>
    </xf>
    <xf numFmtId="0" fontId="61" fillId="14" borderId="181" xfId="0" applyFont="1" applyFill="1" applyBorder="1" applyAlignment="1">
      <alignment horizontal="center" wrapText="1"/>
    </xf>
    <xf numFmtId="0" fontId="61" fillId="14" borderId="16" xfId="0" applyFont="1" applyFill="1" applyBorder="1" applyAlignment="1">
      <alignment horizontal="center" wrapText="1"/>
    </xf>
    <xf numFmtId="0" fontId="58" fillId="0" borderId="42" xfId="0" applyFont="1" applyBorder="1" applyAlignment="1">
      <alignment horizontal="left" vertical="center" wrapText="1"/>
    </xf>
    <xf numFmtId="0" fontId="59" fillId="0" borderId="43" xfId="0" applyFont="1" applyBorder="1" applyAlignment="1">
      <alignment vertical="center" wrapText="1"/>
    </xf>
    <xf numFmtId="0" fontId="58" fillId="0" borderId="25" xfId="0" applyFont="1" applyBorder="1" applyAlignment="1">
      <alignment horizontal="left" vertical="center" wrapText="1"/>
    </xf>
    <xf numFmtId="0" fontId="58" fillId="0" borderId="27" xfId="0" applyFont="1" applyBorder="1" applyAlignment="1">
      <alignment horizontal="left" vertical="center" wrapText="1"/>
    </xf>
    <xf numFmtId="0" fontId="59" fillId="0" borderId="79" xfId="0" applyFont="1" applyBorder="1" applyAlignment="1">
      <alignment horizontal="left" wrapText="1"/>
    </xf>
    <xf numFmtId="0" fontId="59" fillId="0" borderId="43" xfId="0" applyFont="1" applyBorder="1" applyAlignment="1">
      <alignment wrapText="1"/>
    </xf>
    <xf numFmtId="0" fontId="59" fillId="0" borderId="40" xfId="0" applyFont="1" applyBorder="1" applyAlignment="1">
      <alignment horizontal="left" wrapText="1"/>
    </xf>
    <xf numFmtId="0" fontId="59" fillId="0" borderId="26" xfId="0" applyFont="1" applyBorder="1" applyAlignment="1">
      <alignment wrapText="1"/>
    </xf>
    <xf numFmtId="0" fontId="59" fillId="0" borderId="83" xfId="0" applyFont="1" applyBorder="1" applyAlignment="1">
      <alignment horizontal="left" wrapText="1"/>
    </xf>
    <xf numFmtId="0" fontId="59" fillId="0" borderId="28" xfId="0" applyFont="1" applyBorder="1" applyAlignment="1">
      <alignment wrapText="1"/>
    </xf>
    <xf numFmtId="0" fontId="65" fillId="14" borderId="189" xfId="0" applyFont="1" applyFill="1" applyBorder="1" applyAlignment="1">
      <alignment horizontal="left" wrapText="1"/>
    </xf>
    <xf numFmtId="0" fontId="65" fillId="14" borderId="17" xfId="0" applyFont="1" applyFill="1" applyBorder="1" applyAlignment="1">
      <alignment horizontal="left" wrapText="1"/>
    </xf>
    <xf numFmtId="0" fontId="59" fillId="14" borderId="190" xfId="0" applyFont="1" applyFill="1" applyBorder="1" applyAlignment="1">
      <alignment horizontal="center" wrapText="1"/>
    </xf>
    <xf numFmtId="0" fontId="59" fillId="14" borderId="50" xfId="0" applyFont="1" applyFill="1" applyBorder="1" applyAlignment="1">
      <alignment horizontal="center" wrapText="1"/>
    </xf>
    <xf numFmtId="0" fontId="59" fillId="14" borderId="48" xfId="0" applyFont="1" applyFill="1" applyBorder="1" applyAlignment="1">
      <alignment horizontal="center" wrapText="1"/>
    </xf>
    <xf numFmtId="0" fontId="59" fillId="14" borderId="162" xfId="0" applyFont="1" applyFill="1" applyBorder="1" applyAlignment="1">
      <alignment horizontal="center" wrapText="1"/>
    </xf>
    <xf numFmtId="0" fontId="59" fillId="14" borderId="163" xfId="0" applyFont="1" applyFill="1" applyBorder="1" applyAlignment="1">
      <alignment horizontal="center" wrapText="1"/>
    </xf>
    <xf numFmtId="0" fontId="59" fillId="0" borderId="25" xfId="0" applyFont="1" applyBorder="1" applyAlignment="1">
      <alignment horizontal="left" vertical="center" wrapText="1"/>
    </xf>
    <xf numFmtId="0" fontId="59" fillId="0" borderId="26" xfId="0" applyFont="1" applyBorder="1" applyAlignment="1"/>
    <xf numFmtId="0" fontId="59" fillId="0" borderId="27" xfId="0" applyFont="1" applyBorder="1" applyAlignment="1">
      <alignment horizontal="left"/>
    </xf>
    <xf numFmtId="0" fontId="59" fillId="0" borderId="28" xfId="0" applyFont="1" applyBorder="1" applyAlignment="1"/>
    <xf numFmtId="0" fontId="59" fillId="13" borderId="191" xfId="0" applyFont="1" applyFill="1" applyBorder="1" applyAlignment="1">
      <alignment horizontal="center" wrapText="1"/>
    </xf>
    <xf numFmtId="0" fontId="59" fillId="13" borderId="192" xfId="0" applyFont="1" applyFill="1" applyBorder="1" applyAlignment="1">
      <alignment horizontal="center" wrapText="1"/>
    </xf>
    <xf numFmtId="0" fontId="59" fillId="13" borderId="194" xfId="0" applyFont="1" applyFill="1" applyBorder="1" applyAlignment="1">
      <alignment horizontal="center" wrapText="1"/>
    </xf>
    <xf numFmtId="0" fontId="65" fillId="13" borderId="187" xfId="0" applyFont="1" applyFill="1" applyBorder="1" applyAlignment="1">
      <alignment horizontal="left" wrapText="1"/>
    </xf>
    <xf numFmtId="0" fontId="65" fillId="13" borderId="25" xfId="0" applyFont="1" applyFill="1" applyBorder="1" applyAlignment="1">
      <alignment horizontal="left" wrapText="1"/>
    </xf>
    <xf numFmtId="0" fontId="58" fillId="13" borderId="188" xfId="0" applyFont="1" applyFill="1" applyBorder="1" applyAlignment="1">
      <alignment horizontal="center" wrapText="1"/>
    </xf>
    <xf numFmtId="0" fontId="58" fillId="13" borderId="18" xfId="0" applyFont="1" applyFill="1" applyBorder="1" applyAlignment="1">
      <alignment horizontal="center" wrapText="1"/>
    </xf>
    <xf numFmtId="0" fontId="59" fillId="13" borderId="195" xfId="0" applyFont="1" applyFill="1" applyBorder="1" applyAlignment="1">
      <alignment horizontal="center" wrapText="1"/>
    </xf>
    <xf numFmtId="0" fontId="59" fillId="13" borderId="75" xfId="0" applyFont="1" applyFill="1" applyBorder="1" applyAlignment="1">
      <alignment horizontal="center" wrapText="1"/>
    </xf>
    <xf numFmtId="0" fontId="59" fillId="13" borderId="190" xfId="0" applyFont="1" applyFill="1" applyBorder="1" applyAlignment="1">
      <alignment horizontal="center" wrapText="1"/>
    </xf>
    <xf numFmtId="0" fontId="59" fillId="13" borderId="50" xfId="0" applyFont="1" applyFill="1" applyBorder="1" applyAlignment="1">
      <alignment horizontal="center" wrapText="1"/>
    </xf>
    <xf numFmtId="0" fontId="65" fillId="12" borderId="189" xfId="0" applyFont="1" applyFill="1" applyBorder="1" applyAlignment="1">
      <alignment horizontal="left" wrapText="1"/>
    </xf>
    <xf numFmtId="0" fontId="65" fillId="12" borderId="17" xfId="0" applyFont="1" applyFill="1" applyBorder="1" applyAlignment="1">
      <alignment horizontal="left" wrapText="1"/>
    </xf>
    <xf numFmtId="0" fontId="58" fillId="12" borderId="188" xfId="0" applyFont="1" applyFill="1" applyBorder="1" applyAlignment="1">
      <alignment horizontal="center" wrapText="1"/>
    </xf>
    <xf numFmtId="0" fontId="58" fillId="12" borderId="18" xfId="0" applyFont="1" applyFill="1" applyBorder="1" applyAlignment="1">
      <alignment horizontal="center" wrapText="1"/>
    </xf>
    <xf numFmtId="0" fontId="65" fillId="13" borderId="189" xfId="0" applyFont="1" applyFill="1" applyBorder="1" applyAlignment="1">
      <alignment horizontal="left" wrapText="1"/>
    </xf>
    <xf numFmtId="0" fontId="65" fillId="13" borderId="17" xfId="0" applyFont="1" applyFill="1" applyBorder="1" applyAlignment="1">
      <alignment horizontal="left" wrapText="1"/>
    </xf>
    <xf numFmtId="0" fontId="59" fillId="0" borderId="27" xfId="0" applyFont="1" applyBorder="1" applyAlignment="1"/>
    <xf numFmtId="0" fontId="59" fillId="12" borderId="169" xfId="0" applyFont="1" applyFill="1" applyBorder="1" applyAlignment="1">
      <alignment horizontal="center" wrapText="1"/>
    </xf>
    <xf numFmtId="0" fontId="59" fillId="12" borderId="166" xfId="0" applyFont="1" applyFill="1" applyBorder="1" applyAlignment="1">
      <alignment horizontal="center" wrapText="1"/>
    </xf>
    <xf numFmtId="0" fontId="59" fillId="12" borderId="190" xfId="0" applyFont="1" applyFill="1" applyBorder="1" applyAlignment="1">
      <alignment horizontal="center" wrapText="1"/>
    </xf>
    <xf numFmtId="0" fontId="59" fillId="12" borderId="50" xfId="0" applyFont="1" applyFill="1" applyBorder="1" applyAlignment="1">
      <alignment horizontal="center" wrapText="1"/>
    </xf>
    <xf numFmtId="0" fontId="59" fillId="12" borderId="160" xfId="0" applyFont="1" applyFill="1" applyBorder="1" applyAlignment="1">
      <alignment horizontal="center" wrapText="1"/>
    </xf>
    <xf numFmtId="0" fontId="59" fillId="12" borderId="51" xfId="0" applyFont="1" applyFill="1" applyBorder="1" applyAlignment="1">
      <alignment horizontal="center" wrapText="1"/>
    </xf>
    <xf numFmtId="0" fontId="68" fillId="0" borderId="25" xfId="0" applyFont="1" applyBorder="1" applyAlignment="1">
      <alignment horizontal="left" vertical="center" wrapText="1"/>
    </xf>
    <xf numFmtId="0" fontId="64" fillId="0" borderId="25" xfId="0" applyFont="1" applyBorder="1" applyAlignment="1">
      <alignment horizontal="left" vertical="center" wrapText="1"/>
    </xf>
    <xf numFmtId="0" fontId="64" fillId="0" borderId="27" xfId="0" applyFont="1" applyBorder="1" applyAlignment="1"/>
    <xf numFmtId="0" fontId="65" fillId="8" borderId="160" xfId="0" applyFont="1" applyFill="1" applyBorder="1" applyAlignment="1">
      <alignment horizontal="center" wrapText="1"/>
    </xf>
    <xf numFmtId="0" fontId="65" fillId="8" borderId="51" xfId="0" applyFont="1" applyFill="1" applyBorder="1" applyAlignment="1">
      <alignment horizontal="center" wrapText="1"/>
    </xf>
    <xf numFmtId="0" fontId="58" fillId="0" borderId="0" xfId="0" applyFont="1" applyAlignment="1"/>
    <xf numFmtId="0" fontId="59" fillId="0" borderId="0" xfId="0" applyFont="1" applyAlignment="1"/>
    <xf numFmtId="0" fontId="59" fillId="2" borderId="185" xfId="0" applyFont="1" applyFill="1" applyBorder="1" applyAlignment="1">
      <alignment horizontal="center"/>
    </xf>
    <xf numFmtId="0" fontId="59" fillId="2" borderId="186" xfId="0" applyFont="1" applyFill="1" applyBorder="1" applyAlignment="1">
      <alignment horizontal="center"/>
    </xf>
    <xf numFmtId="0" fontId="61" fillId="2" borderId="4"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5"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58" fillId="3" borderId="169" xfId="0" applyFont="1" applyFill="1" applyBorder="1" applyAlignment="1">
      <alignment horizontal="center" wrapText="1"/>
    </xf>
    <xf numFmtId="0" fontId="58" fillId="3" borderId="162" xfId="0" applyFont="1" applyFill="1" applyBorder="1" applyAlignment="1">
      <alignment horizontal="center" wrapText="1"/>
    </xf>
    <xf numFmtId="0" fontId="58" fillId="3" borderId="177" xfId="0" applyFont="1" applyFill="1" applyBorder="1" applyAlignment="1">
      <alignment horizontal="center" wrapText="1"/>
    </xf>
    <xf numFmtId="0" fontId="58" fillId="3" borderId="163" xfId="0" applyFont="1" applyFill="1" applyBorder="1" applyAlignment="1">
      <alignment horizontal="center" wrapText="1"/>
    </xf>
    <xf numFmtId="0" fontId="64" fillId="0" borderId="26" xfId="0" applyFont="1" applyBorder="1" applyAlignment="1">
      <alignment vertical="center" wrapText="1"/>
    </xf>
    <xf numFmtId="0" fontId="64" fillId="0" borderId="27" xfId="0" applyFont="1" applyBorder="1" applyAlignment="1">
      <alignment horizontal="left" vertical="center" wrapText="1"/>
    </xf>
    <xf numFmtId="0" fontId="64" fillId="0" borderId="28" xfId="0" applyFont="1" applyBorder="1" applyAlignment="1">
      <alignment vertical="center" wrapText="1"/>
    </xf>
    <xf numFmtId="0" fontId="61" fillId="0" borderId="42" xfId="0" applyFont="1" applyBorder="1" applyAlignment="1">
      <alignment horizontal="left" vertical="center" wrapText="1"/>
    </xf>
    <xf numFmtId="0" fontId="65" fillId="8" borderId="189" xfId="0" applyFont="1" applyFill="1" applyBorder="1" applyAlignment="1">
      <alignment horizontal="left"/>
    </xf>
    <xf numFmtId="0" fontId="65" fillId="8" borderId="17" xfId="0" applyFont="1" applyFill="1" applyBorder="1" applyAlignment="1">
      <alignment horizontal="left"/>
    </xf>
    <xf numFmtId="0" fontId="59" fillId="8" borderId="190" xfId="0" applyFont="1" applyFill="1" applyBorder="1" applyAlignment="1">
      <alignment horizontal="left" wrapText="1"/>
    </xf>
    <xf numFmtId="0" fontId="59" fillId="8" borderId="50" xfId="0" applyFont="1" applyFill="1" applyBorder="1" applyAlignment="1">
      <alignment horizontal="left" wrapText="1"/>
    </xf>
    <xf numFmtId="0" fontId="0" fillId="0" borderId="49" xfId="0" applyBorder="1" applyAlignment="1">
      <alignment horizontal="center" vertical="top" wrapText="1"/>
    </xf>
    <xf numFmtId="0" fontId="0" fillId="0" borderId="18" xfId="0" applyBorder="1" applyAlignment="1">
      <alignment horizontal="center" vertical="top" wrapText="1"/>
    </xf>
    <xf numFmtId="0" fontId="0" fillId="0" borderId="65" xfId="0" applyBorder="1" applyAlignment="1">
      <alignment horizontal="center" vertical="top" wrapText="1"/>
    </xf>
    <xf numFmtId="0" fontId="0" fillId="0" borderId="26" xfId="0" applyBorder="1" applyAlignment="1">
      <alignment horizontal="left"/>
    </xf>
    <xf numFmtId="0" fontId="0" fillId="0" borderId="28" xfId="0" applyBorder="1" applyAlignment="1">
      <alignment horizontal="left"/>
    </xf>
    <xf numFmtId="0" fontId="29" fillId="0" borderId="25" xfId="0" applyFont="1" applyBorder="1" applyAlignment="1">
      <alignment horizontal="right" vertical="center" wrapText="1"/>
    </xf>
    <xf numFmtId="0" fontId="0" fillId="0" borderId="26" xfId="0" applyBorder="1" applyAlignment="1">
      <alignment horizontal="right"/>
    </xf>
    <xf numFmtId="0" fontId="26" fillId="0" borderId="25" xfId="0" applyFont="1" applyBorder="1" applyAlignment="1">
      <alignment horizontal="right" vertical="center" wrapText="1"/>
    </xf>
    <xf numFmtId="0" fontId="26" fillId="0" borderId="27" xfId="0" applyFont="1" applyBorder="1" applyAlignment="1">
      <alignment horizontal="right"/>
    </xf>
    <xf numFmtId="0" fontId="0" fillId="0" borderId="28" xfId="0" applyBorder="1" applyAlignment="1">
      <alignment horizontal="right"/>
    </xf>
    <xf numFmtId="0" fontId="35" fillId="0" borderId="25" xfId="0" applyFont="1" applyBorder="1" applyAlignment="1">
      <alignment horizontal="left" vertical="top" wrapText="1"/>
    </xf>
    <xf numFmtId="0" fontId="0" fillId="0" borderId="26" xfId="0" applyBorder="1" applyAlignment="1">
      <alignment vertical="top" wrapText="1"/>
    </xf>
    <xf numFmtId="0" fontId="15" fillId="0" borderId="25" xfId="0" applyFont="1" applyBorder="1" applyAlignment="1">
      <alignment horizontal="left" vertical="top" wrapText="1"/>
    </xf>
    <xf numFmtId="0" fontId="15" fillId="0" borderId="27" xfId="0" applyFont="1" applyBorder="1" applyAlignment="1">
      <alignment horizontal="left" vertical="top" wrapText="1"/>
    </xf>
    <xf numFmtId="0" fontId="0" fillId="0" borderId="28" xfId="0" applyBorder="1" applyAlignment="1">
      <alignment vertical="top" wrapText="1"/>
    </xf>
    <xf numFmtId="0" fontId="24" fillId="0" borderId="200" xfId="0" applyFont="1" applyBorder="1" applyAlignment="1">
      <alignment horizontal="center"/>
    </xf>
    <xf numFmtId="0" fontId="15" fillId="14" borderId="200" xfId="0" applyFont="1" applyFill="1" applyBorder="1" applyAlignment="1">
      <alignment horizontal="center" wrapText="1"/>
    </xf>
    <xf numFmtId="0" fontId="15" fillId="0" borderId="202" xfId="0" applyFont="1" applyBorder="1" applyAlignment="1">
      <alignment horizontal="left" vertical="center" wrapText="1"/>
    </xf>
    <xf numFmtId="0" fontId="0" fillId="0" borderId="203" xfId="0" applyBorder="1" applyAlignment="1">
      <alignment vertical="center" wrapText="1"/>
    </xf>
    <xf numFmtId="0" fontId="15" fillId="0" borderId="40" xfId="0" applyFont="1" applyBorder="1" applyAlignment="1">
      <alignment horizontal="left" vertical="center" wrapText="1"/>
    </xf>
    <xf numFmtId="0" fontId="0" fillId="0" borderId="204" xfId="0" applyBorder="1" applyAlignment="1">
      <alignment vertical="center" wrapText="1"/>
    </xf>
    <xf numFmtId="0" fontId="15" fillId="0" borderId="205" xfId="0" applyFont="1" applyBorder="1" applyAlignment="1">
      <alignment horizontal="left" vertical="center" wrapText="1"/>
    </xf>
    <xf numFmtId="0" fontId="0" fillId="0" borderId="206" xfId="0" applyBorder="1" applyAlignment="1">
      <alignment vertical="center" wrapText="1"/>
    </xf>
    <xf numFmtId="0" fontId="0" fillId="0" borderId="202" xfId="0" applyBorder="1" applyAlignment="1">
      <alignment horizontal="left" vertical="center" wrapText="1"/>
    </xf>
    <xf numFmtId="0" fontId="0" fillId="0" borderId="40" xfId="0" applyBorder="1" applyAlignment="1">
      <alignment horizontal="left" vertical="center" wrapText="1"/>
    </xf>
    <xf numFmtId="0" fontId="0" fillId="0" borderId="205" xfId="0" applyBorder="1" applyAlignment="1">
      <alignment horizontal="left" vertical="center" wrapText="1"/>
    </xf>
    <xf numFmtId="0" fontId="24" fillId="5" borderId="203" xfId="0" applyFont="1" applyFill="1" applyBorder="1" applyAlignment="1">
      <alignment horizontal="center"/>
    </xf>
    <xf numFmtId="0" fontId="24" fillId="5" borderId="204" xfId="0" applyFont="1" applyFill="1" applyBorder="1" applyAlignment="1">
      <alignment horizontal="center"/>
    </xf>
    <xf numFmtId="0" fontId="24" fillId="5" borderId="206" xfId="0" applyFont="1" applyFill="1" applyBorder="1" applyAlignment="1">
      <alignment horizontal="center"/>
    </xf>
    <xf numFmtId="4" fontId="24" fillId="0" borderId="200" xfId="0" applyNumberFormat="1" applyFont="1" applyBorder="1" applyAlignment="1">
      <alignment horizontal="right" vertical="center"/>
    </xf>
    <xf numFmtId="4" fontId="32" fillId="4" borderId="207" xfId="0" applyNumberFormat="1" applyFont="1" applyFill="1" applyBorder="1" applyAlignment="1">
      <alignment horizontal="center" vertical="center" wrapText="1"/>
    </xf>
    <xf numFmtId="4" fontId="32" fillId="4" borderId="209" xfId="0" applyNumberFormat="1" applyFont="1" applyFill="1" applyBorder="1" applyAlignment="1">
      <alignment horizontal="center" vertical="center" wrapText="1"/>
    </xf>
    <xf numFmtId="4" fontId="32" fillId="4" borderId="210" xfId="0" applyNumberFormat="1" applyFont="1" applyFill="1" applyBorder="1" applyAlignment="1">
      <alignment horizontal="center" vertical="center" wrapText="1"/>
    </xf>
    <xf numFmtId="4" fontId="24" fillId="4" borderId="207" xfId="0" applyNumberFormat="1" applyFont="1" applyFill="1" applyBorder="1" applyAlignment="1">
      <alignment horizontal="center"/>
    </xf>
    <xf numFmtId="4" fontId="24" fillId="4" borderId="209" xfId="0" applyNumberFormat="1" applyFont="1" applyFill="1" applyBorder="1" applyAlignment="1">
      <alignment horizontal="center"/>
    </xf>
    <xf numFmtId="4" fontId="24" fillId="4" borderId="210" xfId="0" applyNumberFormat="1" applyFont="1" applyFill="1" applyBorder="1" applyAlignment="1">
      <alignment horizontal="center"/>
    </xf>
    <xf numFmtId="0" fontId="55" fillId="0" borderId="40" xfId="0" applyFont="1" applyBorder="1" applyAlignment="1">
      <alignment horizontal="left" vertical="center" wrapText="1"/>
    </xf>
    <xf numFmtId="0" fontId="55" fillId="0" borderId="204" xfId="0" applyFont="1" applyBorder="1" applyAlignment="1">
      <alignment horizontal="left" vertical="center" wrapText="1"/>
    </xf>
    <xf numFmtId="0" fontId="29" fillId="0" borderId="40" xfId="0" applyFont="1" applyBorder="1" applyAlignment="1">
      <alignment horizontal="left" vertical="center" wrapText="1"/>
    </xf>
    <xf numFmtId="0" fontId="29" fillId="0" borderId="204" xfId="0" applyFont="1" applyBorder="1" applyAlignment="1">
      <alignment horizontal="left" vertical="center" wrapText="1"/>
    </xf>
    <xf numFmtId="0" fontId="55" fillId="0" borderId="205" xfId="0" applyFont="1" applyBorder="1" applyAlignment="1">
      <alignment horizontal="left" wrapText="1"/>
    </xf>
    <xf numFmtId="0" fontId="55" fillId="0" borderId="206" xfId="0" applyFont="1" applyBorder="1" applyAlignment="1">
      <alignment horizontal="left" wrapText="1"/>
    </xf>
    <xf numFmtId="0" fontId="12" fillId="14" borderId="200" xfId="0" applyFont="1" applyFill="1" applyBorder="1" applyAlignment="1">
      <alignment horizontal="left"/>
    </xf>
    <xf numFmtId="0" fontId="12" fillId="14" borderId="200" xfId="0" applyFont="1" applyFill="1" applyBorder="1" applyAlignment="1">
      <alignment horizontal="center" wrapText="1"/>
    </xf>
    <xf numFmtId="0" fontId="26" fillId="12" borderId="200" xfId="0" applyFont="1" applyFill="1" applyBorder="1" applyAlignment="1">
      <alignment horizontal="center" wrapText="1"/>
    </xf>
    <xf numFmtId="0" fontId="29" fillId="0" borderId="202" xfId="0" applyFont="1" applyBorder="1" applyAlignment="1">
      <alignment horizontal="left" vertical="center" wrapText="1"/>
    </xf>
    <xf numFmtId="0" fontId="0" fillId="0" borderId="203" xfId="0" applyBorder="1" applyAlignment="1"/>
    <xf numFmtId="0" fontId="0" fillId="0" borderId="204" xfId="0" applyBorder="1" applyAlignment="1"/>
    <xf numFmtId="0" fontId="26" fillId="0" borderId="205" xfId="0" applyFont="1" applyBorder="1" applyAlignment="1"/>
    <xf numFmtId="0" fontId="0" fillId="0" borderId="206" xfId="0" applyBorder="1" applyAlignment="1"/>
    <xf numFmtId="0" fontId="26" fillId="14" borderId="200" xfId="0" applyFont="1" applyFill="1" applyBorder="1" applyAlignment="1">
      <alignment horizontal="center" wrapText="1"/>
    </xf>
    <xf numFmtId="0" fontId="25" fillId="13" borderId="200" xfId="0" applyFont="1" applyFill="1" applyBorder="1" applyAlignment="1">
      <alignment horizontal="left" wrapText="1"/>
    </xf>
    <xf numFmtId="0" fontId="34" fillId="13" borderId="200" xfId="0" applyFont="1" applyFill="1" applyBorder="1" applyAlignment="1">
      <alignment horizontal="center" wrapText="1"/>
    </xf>
    <xf numFmtId="0" fontId="40" fillId="13" borderId="200" xfId="0" applyFont="1" applyFill="1" applyBorder="1" applyAlignment="1">
      <alignment horizontal="center" wrapText="1"/>
    </xf>
    <xf numFmtId="0" fontId="26" fillId="13" borderId="200" xfId="0" applyFont="1" applyFill="1" applyBorder="1" applyAlignment="1">
      <alignment horizontal="center" wrapText="1"/>
    </xf>
    <xf numFmtId="0" fontId="26" fillId="0" borderId="205" xfId="0" applyFont="1" applyBorder="1" applyAlignment="1">
      <alignment horizontal="left"/>
    </xf>
    <xf numFmtId="0" fontId="26" fillId="0" borderId="202" xfId="0" applyFont="1" applyBorder="1" applyAlignment="1">
      <alignment horizontal="left" wrapText="1"/>
    </xf>
    <xf numFmtId="0" fontId="0" fillId="0" borderId="203" xfId="0" applyBorder="1" applyAlignment="1">
      <alignment wrapText="1"/>
    </xf>
    <xf numFmtId="0" fontId="0" fillId="0" borderId="204" xfId="0" applyBorder="1" applyAlignment="1">
      <alignment wrapText="1"/>
    </xf>
    <xf numFmtId="0" fontId="26" fillId="0" borderId="205" xfId="0" applyFont="1" applyBorder="1" applyAlignment="1">
      <alignment horizontal="left" wrapText="1"/>
    </xf>
    <xf numFmtId="0" fontId="0" fillId="0" borderId="206" xfId="0" applyBorder="1" applyAlignment="1">
      <alignment wrapText="1"/>
    </xf>
    <xf numFmtId="0" fontId="25" fillId="14" borderId="200" xfId="0" applyFont="1" applyFill="1" applyBorder="1" applyAlignment="1">
      <alignment horizontal="left" wrapText="1"/>
    </xf>
    <xf numFmtId="0" fontId="25" fillId="12" borderId="200" xfId="0" applyFont="1" applyFill="1" applyBorder="1" applyAlignment="1">
      <alignment horizontal="left" wrapText="1"/>
    </xf>
    <xf numFmtId="0" fontId="34" fillId="12" borderId="200" xfId="0" applyFont="1" applyFill="1" applyBorder="1" applyAlignment="1">
      <alignment horizontal="center" wrapText="1"/>
    </xf>
    <xf numFmtId="0" fontId="12" fillId="12" borderId="200" xfId="0" applyFont="1" applyFill="1" applyBorder="1" applyAlignment="1">
      <alignment horizontal="center" wrapText="1"/>
    </xf>
    <xf numFmtId="0" fontId="40" fillId="12" borderId="207" xfId="0" applyFont="1" applyFill="1" applyBorder="1" applyAlignment="1">
      <alignment horizontal="center" wrapText="1"/>
    </xf>
    <xf numFmtId="0" fontId="40" fillId="12" borderId="210" xfId="0" applyFont="1" applyFill="1" applyBorder="1" applyAlignment="1">
      <alignment horizontal="center" wrapText="1"/>
    </xf>
    <xf numFmtId="0" fontId="72" fillId="4" borderId="207" xfId="0" applyFont="1" applyFill="1" applyBorder="1" applyAlignment="1">
      <alignment horizontal="left" vertical="top" wrapText="1"/>
    </xf>
    <xf numFmtId="0" fontId="72" fillId="4" borderId="209" xfId="0" applyFont="1" applyFill="1" applyBorder="1" applyAlignment="1">
      <alignment horizontal="left" vertical="top" wrapText="1"/>
    </xf>
    <xf numFmtId="0" fontId="72" fillId="4" borderId="210" xfId="0" applyFont="1" applyFill="1" applyBorder="1" applyAlignment="1">
      <alignment horizontal="left" vertical="top" wrapText="1"/>
    </xf>
    <xf numFmtId="0" fontId="40" fillId="12" borderId="200" xfId="0" applyFont="1" applyFill="1" applyBorder="1" applyAlignment="1">
      <alignment horizontal="center" wrapText="1"/>
    </xf>
    <xf numFmtId="0" fontId="26" fillId="0" borderId="206" xfId="0" applyFont="1" applyBorder="1" applyAlignment="1">
      <alignment horizontal="left" wrapText="1"/>
    </xf>
    <xf numFmtId="0" fontId="36" fillId="0" borderId="202" xfId="0" applyFont="1" applyBorder="1" applyAlignment="1">
      <alignment horizontal="left" vertical="center" wrapText="1"/>
    </xf>
    <xf numFmtId="0" fontId="18" fillId="0" borderId="40" xfId="0" applyFont="1" applyBorder="1" applyAlignment="1">
      <alignment horizontal="left" vertical="center" wrapText="1"/>
    </xf>
    <xf numFmtId="0" fontId="18" fillId="0" borderId="205" xfId="0" applyFont="1" applyBorder="1" applyAlignment="1"/>
    <xf numFmtId="0" fontId="35" fillId="0" borderId="40" xfId="0" applyFont="1" applyBorder="1" applyAlignment="1">
      <alignment horizontal="left" vertical="center" wrapText="1"/>
    </xf>
    <xf numFmtId="0" fontId="35" fillId="0" borderId="204" xfId="0" applyFont="1" applyBorder="1" applyAlignment="1">
      <alignment horizontal="left" vertical="center" wrapText="1"/>
    </xf>
    <xf numFmtId="0" fontId="26" fillId="0" borderId="204" xfId="0" applyFont="1" applyBorder="1" applyAlignment="1">
      <alignment horizontal="left" vertical="center" wrapText="1"/>
    </xf>
    <xf numFmtId="0" fontId="26" fillId="0" borderId="205" xfId="0" applyFont="1" applyBorder="1" applyAlignment="1">
      <alignment horizontal="left" vertical="center" wrapText="1"/>
    </xf>
    <xf numFmtId="0" fontId="26" fillId="0" borderId="206" xfId="0" applyFont="1" applyBorder="1" applyAlignment="1">
      <alignment horizontal="left" vertical="center" wrapText="1"/>
    </xf>
    <xf numFmtId="0" fontId="23" fillId="0" borderId="202" xfId="0" applyFont="1" applyBorder="1" applyAlignment="1">
      <alignment horizontal="left" vertical="center" wrapText="1"/>
    </xf>
    <xf numFmtId="0" fontId="23" fillId="0" borderId="203" xfId="0" applyFont="1" applyBorder="1" applyAlignment="1">
      <alignment horizontal="left" vertical="center" wrapText="1"/>
    </xf>
    <xf numFmtId="0" fontId="23" fillId="0" borderId="40" xfId="0" applyFont="1" applyBorder="1" applyAlignment="1">
      <alignment horizontal="left" vertical="center" wrapText="1"/>
    </xf>
    <xf numFmtId="0" fontId="15" fillId="0" borderId="204" xfId="0" applyFont="1" applyBorder="1" applyAlignment="1">
      <alignment horizontal="left" vertical="center" wrapText="1"/>
    </xf>
    <xf numFmtId="0" fontId="23" fillId="0" borderId="204" xfId="0" applyFont="1" applyBorder="1" applyAlignment="1">
      <alignment horizontal="left" vertical="center" wrapText="1"/>
    </xf>
    <xf numFmtId="0" fontId="26" fillId="0" borderId="204" xfId="0" applyFont="1" applyBorder="1" applyAlignment="1">
      <alignment horizontal="left" wrapText="1"/>
    </xf>
    <xf numFmtId="0" fontId="54" fillId="8" borderId="200" xfId="0" applyFont="1" applyFill="1" applyBorder="1" applyAlignment="1">
      <alignment horizontal="center" wrapText="1"/>
    </xf>
    <xf numFmtId="0" fontId="23" fillId="0" borderId="40" xfId="0" applyFont="1" applyBorder="1" applyAlignment="1">
      <alignment horizontal="center" vertical="center" wrapText="1"/>
    </xf>
    <xf numFmtId="0" fontId="23" fillId="0" borderId="204" xfId="0" applyFont="1" applyBorder="1" applyAlignment="1">
      <alignment horizontal="center" vertical="center" wrapText="1"/>
    </xf>
    <xf numFmtId="0" fontId="23" fillId="0" borderId="205" xfId="0" applyFont="1" applyBorder="1" applyAlignment="1">
      <alignment horizontal="center" vertical="center" wrapText="1"/>
    </xf>
    <xf numFmtId="0" fontId="23" fillId="0" borderId="206" xfId="0" applyFont="1" applyBorder="1" applyAlignment="1">
      <alignment horizontal="center" vertical="center" wrapText="1"/>
    </xf>
    <xf numFmtId="0" fontId="25" fillId="8" borderId="200" xfId="0" applyFont="1" applyFill="1" applyBorder="1" applyAlignment="1">
      <alignment horizontal="left"/>
    </xf>
    <xf numFmtId="0" fontId="12" fillId="8" borderId="200" xfId="0" applyFont="1" applyFill="1" applyBorder="1" applyAlignment="1">
      <alignment horizontal="center" wrapText="1"/>
    </xf>
    <xf numFmtId="0" fontId="40" fillId="8" borderId="200" xfId="0" applyFont="1" applyFill="1" applyBorder="1" applyAlignment="1">
      <alignment horizontal="center" wrapText="1"/>
    </xf>
    <xf numFmtId="0" fontId="35" fillId="0" borderId="202" xfId="0" applyFont="1" applyBorder="1" applyAlignment="1">
      <alignment horizontal="left" vertical="center" wrapText="1"/>
    </xf>
    <xf numFmtId="0" fontId="35" fillId="0" borderId="203" xfId="0" applyFont="1" applyBorder="1" applyAlignment="1">
      <alignment horizontal="left" vertical="center" wrapText="1"/>
    </xf>
    <xf numFmtId="0" fontId="23" fillId="4" borderId="202" xfId="0" applyFont="1" applyFill="1" applyBorder="1" applyAlignment="1">
      <alignment horizontal="left" vertical="center" wrapText="1"/>
    </xf>
    <xf numFmtId="0" fontId="23" fillId="4" borderId="203" xfId="0" applyFont="1" applyFill="1" applyBorder="1" applyAlignment="1">
      <alignment horizontal="left" vertical="center" wrapText="1"/>
    </xf>
    <xf numFmtId="0" fontId="15" fillId="4" borderId="40" xfId="0" applyFont="1" applyFill="1" applyBorder="1" applyAlignment="1">
      <alignment horizontal="left" vertical="center" wrapText="1"/>
    </xf>
    <xf numFmtId="0" fontId="15" fillId="4" borderId="204" xfId="0" applyFont="1" applyFill="1" applyBorder="1" applyAlignment="1">
      <alignment horizontal="left" vertical="center" wrapText="1"/>
    </xf>
    <xf numFmtId="0" fontId="15" fillId="0" borderId="40" xfId="0" applyFont="1" applyBorder="1" applyAlignment="1">
      <alignment horizontal="center" vertical="center" wrapText="1"/>
    </xf>
    <xf numFmtId="0" fontId="15" fillId="0" borderId="204" xfId="0" applyFont="1" applyBorder="1" applyAlignment="1">
      <alignment horizontal="center" vertical="center" wrapText="1"/>
    </xf>
    <xf numFmtId="0" fontId="15" fillId="0" borderId="205" xfId="0" applyFont="1" applyBorder="1" applyAlignment="1">
      <alignment horizontal="center" vertical="center" wrapText="1"/>
    </xf>
    <xf numFmtId="0" fontId="15" fillId="0" borderId="206" xfId="0" applyFont="1" applyBorder="1" applyAlignment="1">
      <alignment horizontal="center" vertical="center" wrapText="1"/>
    </xf>
    <xf numFmtId="0" fontId="35" fillId="0" borderId="202" xfId="0" applyFont="1" applyBorder="1" applyAlignment="1">
      <alignment horizontal="left" vertical="top" wrapText="1"/>
    </xf>
    <xf numFmtId="0" fontId="35" fillId="0" borderId="203" xfId="0" applyFont="1" applyBorder="1" applyAlignment="1">
      <alignment horizontal="left" vertical="top" wrapText="1"/>
    </xf>
    <xf numFmtId="0" fontId="15" fillId="0" borderId="40" xfId="0" applyFont="1" applyBorder="1" applyAlignment="1">
      <alignment horizontal="left" vertical="top" wrapText="1"/>
    </xf>
    <xf numFmtId="0" fontId="15" fillId="0" borderId="204" xfId="0" applyFont="1" applyBorder="1" applyAlignment="1">
      <alignment horizontal="left" vertical="top" wrapText="1"/>
    </xf>
    <xf numFmtId="0" fontId="12" fillId="3" borderId="200" xfId="0" applyFont="1" applyFill="1" applyBorder="1" applyAlignment="1">
      <alignment horizontal="center" wrapText="1"/>
    </xf>
    <xf numFmtId="0" fontId="42" fillId="3" borderId="200" xfId="0" applyFont="1" applyFill="1" applyBorder="1" applyAlignment="1">
      <alignment horizontal="center" wrapText="1"/>
    </xf>
    <xf numFmtId="164" fontId="18" fillId="0" borderId="220" xfId="2" applyFont="1" applyFill="1" applyBorder="1" applyAlignment="1">
      <alignment horizontal="left" vertical="top" wrapText="1"/>
    </xf>
    <xf numFmtId="164" fontId="86" fillId="0" borderId="221" xfId="2" applyFont="1" applyFill="1" applyBorder="1" applyAlignment="1">
      <alignment horizontal="left" vertical="top" wrapText="1"/>
    </xf>
    <xf numFmtId="164" fontId="86" fillId="0" borderId="220" xfId="2" applyFont="1" applyFill="1" applyBorder="1" applyAlignment="1">
      <alignment horizontal="left" vertical="top" wrapText="1"/>
    </xf>
    <xf numFmtId="164" fontId="86" fillId="0" borderId="222" xfId="2" applyFont="1" applyFill="1" applyBorder="1" applyAlignment="1">
      <alignment horizontal="left" vertical="top" wrapText="1"/>
    </xf>
    <xf numFmtId="164" fontId="86" fillId="0" borderId="223" xfId="2" applyFont="1" applyFill="1" applyBorder="1" applyAlignment="1">
      <alignment horizontal="left" vertical="top" wrapText="1"/>
    </xf>
    <xf numFmtId="164" fontId="76" fillId="0" borderId="0" xfId="2" applyFont="1" applyFill="1" applyBorder="1" applyAlignment="1"/>
    <xf numFmtId="164" fontId="78" fillId="16" borderId="211" xfId="2" applyFont="1" applyFill="1" applyBorder="1" applyAlignment="1">
      <alignment horizontal="center"/>
    </xf>
    <xf numFmtId="0" fontId="0" fillId="16" borderId="212" xfId="0" applyFill="1" applyBorder="1"/>
    <xf numFmtId="164" fontId="79" fillId="16" borderId="213" xfId="2" applyFont="1" applyFill="1" applyBorder="1" applyAlignment="1">
      <alignment horizontal="left" vertical="top" wrapText="1"/>
    </xf>
    <xf numFmtId="164" fontId="85" fillId="17" borderId="217" xfId="2" applyFont="1" applyFill="1" applyBorder="1" applyAlignment="1">
      <alignment horizontal="center" wrapText="1"/>
    </xf>
    <xf numFmtId="164" fontId="85" fillId="17" borderId="216" xfId="2" applyFont="1" applyFill="1" applyBorder="1" applyAlignment="1">
      <alignment horizontal="center" wrapText="1"/>
    </xf>
    <xf numFmtId="164" fontId="86" fillId="0" borderId="225" xfId="2" applyFont="1" applyFill="1" applyBorder="1" applyAlignment="1">
      <alignment horizontal="left" vertical="center" wrapText="1"/>
    </xf>
    <xf numFmtId="164" fontId="86" fillId="0" borderId="216" xfId="2" applyFont="1" applyFill="1" applyBorder="1" applyAlignment="1">
      <alignment horizontal="left" vertical="center" wrapText="1"/>
    </xf>
    <xf numFmtId="164" fontId="84" fillId="21" borderId="215" xfId="2" applyFont="1" applyFill="1" applyBorder="1" applyAlignment="1">
      <alignment horizontal="left"/>
    </xf>
    <xf numFmtId="164" fontId="86" fillId="21" borderId="216" xfId="2" applyFont="1" applyFill="1" applyBorder="1" applyAlignment="1">
      <alignment horizontal="left" wrapText="1"/>
    </xf>
    <xf numFmtId="164" fontId="87" fillId="21" borderId="227" xfId="2" applyFont="1" applyFill="1" applyBorder="1" applyAlignment="1">
      <alignment horizontal="center" wrapText="1"/>
    </xf>
    <xf numFmtId="164" fontId="87" fillId="21" borderId="224" xfId="2" applyFont="1" applyFill="1" applyBorder="1" applyAlignment="1">
      <alignment horizontal="center" wrapText="1"/>
    </xf>
    <xf numFmtId="164" fontId="18" fillId="0" borderId="225" xfId="2" applyFont="1" applyFill="1" applyBorder="1" applyAlignment="1">
      <alignment horizontal="left" vertical="center" wrapText="1"/>
    </xf>
    <xf numFmtId="164" fontId="84" fillId="25" borderId="215" xfId="2" applyFont="1" applyFill="1" applyBorder="1" applyAlignment="1">
      <alignment horizontal="left" wrapText="1"/>
    </xf>
    <xf numFmtId="164" fontId="82" fillId="25" borderId="215" xfId="2" applyFont="1" applyFill="1" applyBorder="1" applyAlignment="1">
      <alignment horizontal="center" wrapText="1"/>
    </xf>
    <xf numFmtId="164" fontId="87" fillId="25" borderId="224" xfId="2" applyFont="1" applyFill="1" applyBorder="1" applyAlignment="1">
      <alignment horizontal="center" wrapText="1"/>
    </xf>
    <xf numFmtId="164" fontId="86" fillId="25" borderId="227" xfId="2" applyFont="1" applyFill="1" applyBorder="1" applyAlignment="1">
      <alignment horizontal="center" wrapText="1"/>
    </xf>
    <xf numFmtId="164" fontId="98" fillId="0" borderId="225" xfId="2" applyFont="1" applyFill="1" applyBorder="1" applyAlignment="1">
      <alignment horizontal="left" vertical="center" wrapText="1"/>
    </xf>
    <xf numFmtId="164" fontId="86" fillId="25" borderId="216" xfId="2" applyFont="1" applyFill="1" applyBorder="1" applyAlignment="1">
      <alignment horizontal="center" wrapText="1"/>
    </xf>
    <xf numFmtId="0" fontId="0" fillId="0" borderId="225" xfId="0" applyFill="1" applyBorder="1"/>
    <xf numFmtId="0" fontId="20" fillId="0" borderId="220" xfId="0" applyFont="1" applyFill="1" applyBorder="1" applyAlignment="1">
      <alignment vertical="center" wrapText="1"/>
    </xf>
    <xf numFmtId="0" fontId="20" fillId="0" borderId="221" xfId="0" applyFont="1" applyFill="1" applyBorder="1" applyAlignment="1">
      <alignment vertical="center" wrapText="1"/>
    </xf>
    <xf numFmtId="0" fontId="20" fillId="0" borderId="222" xfId="0" applyFont="1" applyFill="1" applyBorder="1" applyAlignment="1">
      <alignment vertical="center" wrapText="1"/>
    </xf>
    <xf numFmtId="0" fontId="20" fillId="0" borderId="223" xfId="0" applyFont="1" applyFill="1" applyBorder="1" applyAlignment="1">
      <alignment vertical="center" wrapText="1"/>
    </xf>
    <xf numFmtId="164" fontId="86" fillId="28" borderId="227" xfId="2" applyFont="1" applyFill="1" applyBorder="1" applyAlignment="1">
      <alignment horizontal="center" wrapText="1"/>
    </xf>
    <xf numFmtId="164" fontId="84" fillId="28" borderId="214" xfId="2" applyFont="1" applyFill="1" applyBorder="1" applyAlignment="1">
      <alignment horizontal="left" wrapText="1"/>
    </xf>
    <xf numFmtId="164" fontId="82" fillId="28" borderId="215" xfId="2" applyFont="1" applyFill="1" applyBorder="1" applyAlignment="1">
      <alignment horizontal="center" wrapText="1"/>
    </xf>
    <xf numFmtId="164" fontId="86" fillId="28" borderId="219" xfId="2" applyFont="1" applyFill="1" applyBorder="1" applyAlignment="1">
      <alignment horizontal="center" wrapText="1"/>
    </xf>
    <xf numFmtId="164" fontId="84" fillId="28" borderId="215" xfId="2" applyFont="1" applyFill="1" applyBorder="1" applyAlignment="1">
      <alignment horizontal="left" wrapText="1"/>
    </xf>
    <xf numFmtId="164" fontId="86" fillId="28" borderId="216" xfId="2" applyFont="1" applyFill="1" applyBorder="1" applyAlignment="1">
      <alignment horizontal="center" wrapText="1"/>
    </xf>
    <xf numFmtId="0" fontId="0" fillId="0" borderId="216" xfId="0" applyFill="1" applyBorder="1"/>
    <xf numFmtId="164" fontId="84" fillId="29" borderId="215" xfId="2" applyFont="1" applyFill="1" applyBorder="1" applyAlignment="1">
      <alignment horizontal="left" wrapText="1"/>
    </xf>
    <xf numFmtId="164" fontId="84" fillId="29" borderId="216" xfId="2" applyFont="1" applyFill="1" applyBorder="1" applyAlignment="1">
      <alignment horizontal="center" wrapText="1"/>
    </xf>
    <xf numFmtId="164" fontId="86" fillId="29" borderId="216" xfId="2" applyFont="1" applyFill="1" applyBorder="1" applyAlignment="1">
      <alignment horizontal="center" wrapText="1"/>
    </xf>
    <xf numFmtId="164" fontId="47" fillId="0" borderId="216" xfId="2" applyFont="1" applyFill="1" applyBorder="1" applyAlignment="1">
      <alignment horizontal="left" vertical="center" wrapText="1"/>
    </xf>
    <xf numFmtId="164" fontId="102" fillId="0" borderId="216" xfId="2" applyFont="1" applyFill="1" applyBorder="1" applyAlignment="1">
      <alignment horizontal="left" vertical="top" wrapText="1"/>
    </xf>
    <xf numFmtId="164" fontId="86" fillId="29" borderId="224" xfId="2" applyFont="1" applyFill="1" applyBorder="1" applyAlignment="1">
      <alignment horizontal="center" wrapText="1"/>
    </xf>
    <xf numFmtId="164" fontId="84" fillId="29" borderId="216" xfId="2" applyFont="1" applyFill="1" applyBorder="1" applyAlignment="1">
      <alignment horizontal="left"/>
    </xf>
    <xf numFmtId="164" fontId="86" fillId="29" borderId="227" xfId="2" applyFont="1" applyFill="1" applyBorder="1" applyAlignment="1">
      <alignment horizontal="center" wrapText="1"/>
    </xf>
    <xf numFmtId="164" fontId="86" fillId="29" borderId="219" xfId="2" applyFont="1" applyFill="1" applyBorder="1" applyAlignment="1">
      <alignment horizontal="center" wrapText="1"/>
    </xf>
    <xf numFmtId="0" fontId="23" fillId="0" borderId="235" xfId="0" applyFont="1" applyBorder="1" applyAlignment="1">
      <alignment horizontal="left" vertical="center" wrapText="1"/>
    </xf>
    <xf numFmtId="0" fontId="15" fillId="0" borderId="235" xfId="0" applyFont="1" applyBorder="1" applyAlignment="1">
      <alignment horizontal="left" vertical="center" wrapText="1"/>
    </xf>
    <xf numFmtId="0" fontId="29" fillId="0" borderId="235" xfId="0" applyFont="1" applyBorder="1" applyAlignment="1">
      <alignment horizontal="left" vertical="center" wrapText="1"/>
    </xf>
    <xf numFmtId="0" fontId="26" fillId="0" borderId="235" xfId="0" applyFont="1" applyBorder="1" applyAlignment="1">
      <alignment horizontal="left" vertical="center" wrapText="1"/>
    </xf>
    <xf numFmtId="0" fontId="36" fillId="0" borderId="235" xfId="0" applyFont="1" applyBorder="1" applyAlignment="1">
      <alignment horizontal="left" vertical="center" wrapText="1"/>
    </xf>
    <xf numFmtId="0" fontId="18" fillId="0" borderId="235" xfId="0" applyFont="1" applyBorder="1" applyAlignment="1">
      <alignment horizontal="left" vertical="center" wrapText="1"/>
    </xf>
    <xf numFmtId="0" fontId="25" fillId="13" borderId="235" xfId="0" applyFont="1" applyFill="1" applyBorder="1" applyAlignment="1">
      <alignment horizontal="left" wrapText="1"/>
    </xf>
    <xf numFmtId="0" fontId="16" fillId="0" borderId="235" xfId="0" applyFont="1" applyBorder="1" applyAlignment="1">
      <alignment horizontal="left" vertical="center" wrapText="1"/>
    </xf>
    <xf numFmtId="0" fontId="15" fillId="0" borderId="238" xfId="0" applyFont="1" applyBorder="1" applyAlignment="1">
      <alignment horizontal="left" vertical="center" wrapText="1"/>
    </xf>
    <xf numFmtId="0" fontId="16" fillId="0" borderId="238" xfId="0" applyFont="1" applyBorder="1" applyAlignment="1">
      <alignment horizontal="left" vertical="center" wrapText="1"/>
    </xf>
    <xf numFmtId="0" fontId="29" fillId="0" borderId="238" xfId="0" applyFont="1" applyBorder="1" applyAlignment="1">
      <alignment horizontal="left" vertical="center" wrapText="1"/>
    </xf>
    <xf numFmtId="0" fontId="26" fillId="0" borderId="238" xfId="0" applyFont="1" applyBorder="1" applyAlignment="1">
      <alignment horizontal="left" vertical="center" wrapText="1"/>
    </xf>
    <xf numFmtId="0" fontId="25" fillId="13" borderId="238" xfId="0" applyFont="1" applyFill="1" applyBorder="1" applyAlignment="1">
      <alignment horizontal="left" wrapText="1"/>
    </xf>
    <xf numFmtId="0" fontId="23" fillId="0" borderId="238" xfId="0" applyFont="1" applyBorder="1" applyAlignment="1">
      <alignment horizontal="left" vertical="center" wrapText="1"/>
    </xf>
    <xf numFmtId="0" fontId="36" fillId="0" borderId="238" xfId="0" applyFont="1" applyBorder="1" applyAlignment="1">
      <alignment horizontal="left" vertical="center" wrapText="1"/>
    </xf>
    <xf numFmtId="0" fontId="18" fillId="0" borderId="238" xfId="0" applyFont="1" applyBorder="1" applyAlignment="1">
      <alignment horizontal="left" vertical="center" wrapText="1"/>
    </xf>
    <xf numFmtId="0" fontId="6" fillId="2" borderId="237" xfId="0" applyFont="1" applyFill="1" applyBorder="1" applyAlignment="1">
      <alignment horizontal="left" vertical="top" wrapText="1"/>
    </xf>
    <xf numFmtId="0" fontId="47" fillId="0" borderId="235" xfId="0" applyFont="1" applyBorder="1" applyAlignment="1">
      <alignment horizontal="left" vertical="center" wrapText="1"/>
    </xf>
    <xf numFmtId="0" fontId="27" fillId="8" borderId="244" xfId="0" applyFont="1" applyFill="1" applyBorder="1" applyAlignment="1">
      <alignment horizontal="center" wrapText="1"/>
    </xf>
    <xf numFmtId="0" fontId="0" fillId="2" borderId="242" xfId="0" applyFill="1" applyBorder="1" applyAlignment="1">
      <alignment horizontal="center"/>
    </xf>
    <xf numFmtId="0" fontId="0" fillId="2" borderId="243" xfId="0" applyFill="1" applyBorder="1" applyAlignment="1">
      <alignment horizontal="center"/>
    </xf>
    <xf numFmtId="0" fontId="25" fillId="12" borderId="250" xfId="0" applyFont="1" applyFill="1" applyBorder="1" applyAlignment="1">
      <alignment horizontal="left" wrapText="1"/>
    </xf>
    <xf numFmtId="0" fontId="34" fillId="12" borderId="249" xfId="0" applyFont="1" applyFill="1" applyBorder="1" applyAlignment="1">
      <alignment horizontal="center" wrapText="1"/>
    </xf>
    <xf numFmtId="0" fontId="26" fillId="12" borderId="251" xfId="0" applyFont="1" applyFill="1" applyBorder="1" applyAlignment="1">
      <alignment horizontal="center" wrapText="1"/>
    </xf>
    <xf numFmtId="0" fontId="26" fillId="12" borderId="244" xfId="0" applyFont="1" applyFill="1" applyBorder="1" applyAlignment="1">
      <alignment horizontal="center" wrapText="1"/>
    </xf>
    <xf numFmtId="0" fontId="25" fillId="13" borderId="250" xfId="0" applyFont="1" applyFill="1" applyBorder="1" applyAlignment="1">
      <alignment horizontal="left" wrapText="1"/>
    </xf>
    <xf numFmtId="0" fontId="34" fillId="13" borderId="249" xfId="0" applyFont="1" applyFill="1" applyBorder="1" applyAlignment="1">
      <alignment horizontal="center" wrapText="1"/>
    </xf>
    <xf numFmtId="0" fontId="26" fillId="13" borderId="252" xfId="0" applyFont="1" applyFill="1" applyBorder="1" applyAlignment="1">
      <alignment horizontal="center" wrapText="1"/>
    </xf>
    <xf numFmtId="0" fontId="26" fillId="13" borderId="253" xfId="0" applyFont="1" applyFill="1" applyBorder="1" applyAlignment="1">
      <alignment horizontal="center" wrapText="1"/>
    </xf>
    <xf numFmtId="0" fontId="26" fillId="13" borderId="255" xfId="0" applyFont="1" applyFill="1" applyBorder="1" applyAlignment="1">
      <alignment horizontal="center" wrapText="1"/>
    </xf>
    <xf numFmtId="0" fontId="25" fillId="13" borderId="248" xfId="0" applyFont="1" applyFill="1" applyBorder="1" applyAlignment="1">
      <alignment horizontal="left" wrapText="1"/>
    </xf>
    <xf numFmtId="0" fontId="26" fillId="13" borderId="256" xfId="0" applyFont="1" applyFill="1" applyBorder="1" applyAlignment="1">
      <alignment horizontal="center" wrapText="1"/>
    </xf>
    <xf numFmtId="0" fontId="26" fillId="13" borderId="251" xfId="0" applyFont="1" applyFill="1" applyBorder="1" applyAlignment="1">
      <alignment horizontal="center" wrapText="1"/>
    </xf>
    <xf numFmtId="0" fontId="15" fillId="14" borderId="246" xfId="0" applyFont="1" applyFill="1" applyBorder="1" applyAlignment="1">
      <alignment horizontal="center" wrapText="1"/>
    </xf>
    <xf numFmtId="0" fontId="25" fillId="14" borderId="250" xfId="0" applyFont="1" applyFill="1" applyBorder="1" applyAlignment="1">
      <alignment horizontal="left" wrapText="1"/>
    </xf>
    <xf numFmtId="0" fontId="12" fillId="14" borderId="249" xfId="0" applyFont="1" applyFill="1" applyBorder="1" applyAlignment="1">
      <alignment horizontal="center" wrapText="1"/>
    </xf>
    <xf numFmtId="0" fontId="26" fillId="14" borderId="251" xfId="0" applyFont="1" applyFill="1" applyBorder="1" applyAlignment="1">
      <alignment horizontal="center" wrapText="1"/>
    </xf>
    <xf numFmtId="0" fontId="26" fillId="14" borderId="246" xfId="0" applyFont="1" applyFill="1" applyBorder="1" applyAlignment="1">
      <alignment horizontal="center" wrapText="1"/>
    </xf>
    <xf numFmtId="0" fontId="25" fillId="8" borderId="250" xfId="0" applyFont="1" applyFill="1" applyBorder="1" applyAlignment="1">
      <alignment horizontal="left"/>
    </xf>
    <xf numFmtId="0" fontId="26" fillId="8" borderId="251" xfId="0" applyFont="1" applyFill="1" applyBorder="1" applyAlignment="1">
      <alignment horizontal="left" wrapText="1"/>
    </xf>
    <xf numFmtId="0" fontId="0" fillId="2" borderId="260" xfId="0" applyFill="1" applyBorder="1" applyAlignment="1">
      <alignment horizontal="center"/>
    </xf>
    <xf numFmtId="0" fontId="0" fillId="2" borderId="261" xfId="0" applyFill="1" applyBorder="1" applyAlignment="1">
      <alignment horizontal="center"/>
    </xf>
    <xf numFmtId="0" fontId="23" fillId="0" borderId="17" xfId="0" applyFont="1" applyBorder="1" applyAlignment="1">
      <alignment horizontal="left" vertical="center" wrapText="1"/>
    </xf>
    <xf numFmtId="0" fontId="15" fillId="0" borderId="17" xfId="0" applyFont="1" applyBorder="1" applyAlignment="1">
      <alignment horizontal="left" vertical="center" wrapText="1"/>
    </xf>
    <xf numFmtId="0" fontId="15" fillId="0" borderId="262" xfId="0" applyFont="1" applyBorder="1" applyAlignment="1">
      <alignment horizontal="left" vertical="center" wrapText="1"/>
    </xf>
    <xf numFmtId="0" fontId="23" fillId="0" borderId="263" xfId="0" applyFont="1" applyBorder="1" applyAlignment="1">
      <alignment horizontal="left" vertical="center" wrapText="1"/>
    </xf>
    <xf numFmtId="0" fontId="23" fillId="0" borderId="23" xfId="0" applyFont="1" applyBorder="1" applyAlignment="1">
      <alignment horizontal="left" vertical="center" wrapText="1"/>
    </xf>
    <xf numFmtId="0" fontId="23" fillId="0" borderId="33" xfId="0" applyFont="1" applyBorder="1" applyAlignment="1">
      <alignment horizontal="left" vertical="center" wrapText="1"/>
    </xf>
    <xf numFmtId="0" fontId="12" fillId="2" borderId="21" xfId="0" applyFont="1" applyFill="1" applyBorder="1" applyAlignment="1">
      <alignment wrapText="1"/>
    </xf>
    <xf numFmtId="0" fontId="12" fillId="2" borderId="31" xfId="0" applyFont="1" applyFill="1" applyBorder="1" applyAlignment="1">
      <alignment wrapText="1"/>
    </xf>
    <xf numFmtId="0" fontId="34" fillId="12" borderId="249" xfId="0" applyFont="1" applyFill="1" applyBorder="1" applyAlignment="1">
      <alignment horizontal="left" wrapText="1"/>
    </xf>
    <xf numFmtId="0" fontId="12" fillId="12" borderId="18" xfId="0" applyFont="1" applyFill="1" applyBorder="1" applyAlignment="1">
      <alignment horizontal="left" wrapText="1"/>
    </xf>
    <xf numFmtId="0" fontId="26" fillId="0" borderId="18" xfId="0" applyFont="1" applyBorder="1" applyAlignment="1">
      <alignment horizontal="left" vertical="center" wrapText="1"/>
    </xf>
    <xf numFmtId="0" fontId="26" fillId="0" borderId="18" xfId="0" applyFont="1" applyBorder="1" applyAlignment="1"/>
    <xf numFmtId="0" fontId="26" fillId="0" borderId="65" xfId="0" applyFont="1" applyBorder="1" applyAlignment="1"/>
    <xf numFmtId="0" fontId="26" fillId="0" borderId="265" xfId="0" applyFont="1" applyBorder="1" applyAlignment="1">
      <alignment horizontal="left" wrapText="1"/>
    </xf>
    <xf numFmtId="0" fontId="26" fillId="0" borderId="266" xfId="0" applyFont="1" applyBorder="1" applyAlignment="1">
      <alignment horizontal="left" wrapText="1"/>
    </xf>
    <xf numFmtId="0" fontId="26" fillId="0" borderId="268" xfId="0" applyFont="1" applyBorder="1" applyAlignment="1">
      <alignment horizontal="left" wrapText="1"/>
    </xf>
    <xf numFmtId="0" fontId="34" fillId="13" borderId="249" xfId="0" applyFont="1" applyFill="1" applyBorder="1" applyAlignment="1">
      <alignment horizontal="left" wrapText="1"/>
    </xf>
    <xf numFmtId="0" fontId="34" fillId="13" borderId="18" xfId="0" applyFont="1" applyFill="1" applyBorder="1" applyAlignment="1">
      <alignment horizontal="left" wrapText="1"/>
    </xf>
    <xf numFmtId="0" fontId="12" fillId="14" borderId="249" xfId="0" applyFont="1" applyFill="1" applyBorder="1" applyAlignment="1">
      <alignment horizontal="left" wrapText="1"/>
    </xf>
    <xf numFmtId="0" fontId="12" fillId="14" borderId="53" xfId="0" applyFont="1" applyFill="1" applyBorder="1" applyAlignment="1">
      <alignment horizontal="left" wrapText="1"/>
    </xf>
    <xf numFmtId="0" fontId="155" fillId="0" borderId="33" xfId="0" applyFont="1" applyBorder="1" applyAlignment="1">
      <alignment horizontal="left" vertical="center" wrapText="1"/>
    </xf>
    <xf numFmtId="0" fontId="154" fillId="0" borderId="407" xfId="0" applyFont="1" applyBorder="1" applyAlignment="1">
      <alignment horizontal="left" vertical="center" wrapText="1"/>
    </xf>
    <xf numFmtId="0" fontId="0" fillId="0" borderId="31" xfId="0" applyBorder="1" applyAlignment="1">
      <alignment horizontal="center" vertical="center" wrapText="1"/>
    </xf>
    <xf numFmtId="0" fontId="154" fillId="43" borderId="395" xfId="0" applyFont="1" applyFill="1" applyBorder="1" applyAlignment="1">
      <alignment horizontal="center" wrapText="1"/>
    </xf>
    <xf numFmtId="0" fontId="152" fillId="43" borderId="385" xfId="0" applyFont="1" applyFill="1" applyBorder="1" applyAlignment="1">
      <alignment horizontal="left"/>
    </xf>
    <xf numFmtId="0" fontId="152" fillId="43" borderId="386" xfId="0" applyFont="1" applyFill="1" applyBorder="1" applyAlignment="1">
      <alignment horizontal="center" wrapText="1"/>
    </xf>
    <xf numFmtId="0" fontId="154" fillId="43" borderId="386" xfId="0" applyFont="1" applyFill="1" applyBorder="1" applyAlignment="1">
      <alignment horizontal="center" wrapText="1"/>
    </xf>
    <xf numFmtId="0" fontId="154" fillId="43" borderId="400" xfId="0" applyFont="1" applyFill="1" applyBorder="1" applyAlignment="1">
      <alignment horizontal="center" wrapText="1"/>
    </xf>
    <xf numFmtId="0" fontId="154" fillId="43" borderId="371" xfId="0" applyFont="1" applyFill="1" applyBorder="1" applyAlignment="1">
      <alignment horizontal="center" wrapText="1"/>
    </xf>
    <xf numFmtId="0" fontId="154" fillId="43" borderId="404" xfId="0" applyFont="1" applyFill="1" applyBorder="1" applyAlignment="1">
      <alignment horizontal="center" wrapText="1"/>
    </xf>
    <xf numFmtId="0" fontId="86" fillId="0" borderId="407" xfId="0" applyFont="1" applyBorder="1" applyAlignment="1">
      <alignment horizontal="left" vertical="center" wrapText="1"/>
    </xf>
    <xf numFmtId="0" fontId="152" fillId="43" borderId="373" xfId="0" applyFont="1" applyFill="1" applyBorder="1" applyAlignment="1">
      <alignment horizontal="left" wrapText="1"/>
    </xf>
    <xf numFmtId="0" fontId="154" fillId="43" borderId="392" xfId="0" applyFont="1" applyFill="1" applyBorder="1" applyAlignment="1">
      <alignment horizontal="center" wrapText="1"/>
    </xf>
    <xf numFmtId="0" fontId="154" fillId="42" borderId="399" xfId="0" applyFont="1" applyFill="1" applyBorder="1" applyAlignment="1">
      <alignment horizontal="center" wrapText="1"/>
    </xf>
    <xf numFmtId="0" fontId="152" fillId="42" borderId="368" xfId="0" applyFont="1" applyFill="1" applyBorder="1" applyAlignment="1">
      <alignment horizontal="left" wrapText="1"/>
    </xf>
    <xf numFmtId="0" fontId="82" fillId="42" borderId="369" xfId="0" applyFont="1" applyFill="1" applyBorder="1" applyAlignment="1">
      <alignment horizontal="center" wrapText="1"/>
    </xf>
    <xf numFmtId="0" fontId="154" fillId="42" borderId="400" xfId="0" applyFont="1" applyFill="1" applyBorder="1" applyAlignment="1">
      <alignment horizontal="center" wrapText="1"/>
    </xf>
    <xf numFmtId="0" fontId="154" fillId="42" borderId="380" xfId="0" applyFont="1" applyFill="1" applyBorder="1" applyAlignment="1">
      <alignment horizontal="center" wrapText="1"/>
    </xf>
    <xf numFmtId="0" fontId="154" fillId="42" borderId="371" xfId="0" applyFont="1" applyFill="1" applyBorder="1" applyAlignment="1">
      <alignment horizontal="center" wrapText="1"/>
    </xf>
    <xf numFmtId="0" fontId="152" fillId="42" borderId="373" xfId="0" applyFont="1" applyFill="1" applyBorder="1" applyAlignment="1">
      <alignment horizontal="left" wrapText="1"/>
    </xf>
    <xf numFmtId="0" fontId="154" fillId="42" borderId="392" xfId="0" applyFont="1" applyFill="1" applyBorder="1" applyAlignment="1">
      <alignment horizontal="center" wrapText="1"/>
    </xf>
    <xf numFmtId="0" fontId="154" fillId="42" borderId="398" xfId="0" applyFont="1" applyFill="1" applyBorder="1" applyAlignment="1">
      <alignment horizontal="center" wrapText="1"/>
    </xf>
    <xf numFmtId="0" fontId="152" fillId="41" borderId="373" xfId="0" applyFont="1" applyFill="1" applyBorder="1" applyAlignment="1">
      <alignment horizontal="left" wrapText="1"/>
    </xf>
    <xf numFmtId="0" fontId="82" fillId="41" borderId="369" xfId="0" applyFont="1" applyFill="1" applyBorder="1" applyAlignment="1">
      <alignment horizontal="center" wrapText="1"/>
    </xf>
    <xf numFmtId="0" fontId="154" fillId="41" borderId="394" xfId="0" applyFont="1" applyFill="1" applyBorder="1" applyAlignment="1">
      <alignment horizontal="center" wrapText="1"/>
    </xf>
    <xf numFmtId="0" fontId="155" fillId="41" borderId="395" xfId="0" applyFont="1" applyFill="1" applyBorder="1" applyAlignment="1">
      <alignment horizontal="center" wrapText="1"/>
    </xf>
    <xf numFmtId="0" fontId="154" fillId="41" borderId="392" xfId="0" applyFont="1" applyFill="1" applyBorder="1" applyAlignment="1">
      <alignment horizontal="center" wrapText="1"/>
    </xf>
    <xf numFmtId="0" fontId="155" fillId="37" borderId="395" xfId="0" applyFont="1" applyFill="1" applyBorder="1" applyAlignment="1">
      <alignment horizontal="center" wrapText="1"/>
    </xf>
    <xf numFmtId="0" fontId="155" fillId="37" borderId="394" xfId="0" applyFont="1" applyFill="1" applyBorder="1" applyAlignment="1">
      <alignment horizontal="center" wrapText="1"/>
    </xf>
    <xf numFmtId="0" fontId="86" fillId="0" borderId="33" xfId="0" applyFont="1" applyBorder="1" applyAlignment="1">
      <alignment horizontal="center" vertical="center" wrapText="1"/>
    </xf>
    <xf numFmtId="0" fontId="152" fillId="37" borderId="373" xfId="0" applyFont="1" applyFill="1" applyBorder="1" applyAlignment="1">
      <alignment horizontal="left"/>
    </xf>
    <xf numFmtId="0" fontId="154" fillId="37" borderId="392" xfId="0" applyFont="1" applyFill="1" applyBorder="1" applyAlignment="1">
      <alignment horizontal="left" wrapText="1"/>
    </xf>
    <xf numFmtId="0" fontId="153" fillId="34" borderId="391" xfId="0" applyFont="1" applyFill="1" applyBorder="1" applyAlignment="1">
      <alignment horizontal="center" wrapText="1"/>
    </xf>
    <xf numFmtId="0" fontId="78" fillId="33" borderId="381" xfId="0" applyFont="1" applyFill="1" applyBorder="1" applyAlignment="1">
      <alignment horizontal="center"/>
    </xf>
    <xf numFmtId="0" fontId="0" fillId="33" borderId="382" xfId="0" applyFill="1" applyBorder="1" applyAlignment="1">
      <alignment horizontal="center"/>
    </xf>
    <xf numFmtId="0" fontId="80" fillId="33" borderId="383" xfId="0" applyFont="1" applyFill="1" applyBorder="1" applyAlignment="1">
      <alignment horizontal="left" vertical="top" wrapText="1"/>
    </xf>
    <xf numFmtId="0" fontId="85" fillId="34" borderId="384" xfId="0" applyFont="1" applyFill="1" applyBorder="1" applyAlignment="1">
      <alignment horizontal="center" wrapText="1"/>
    </xf>
    <xf numFmtId="0" fontId="0" fillId="0" borderId="0" xfId="0" applyAlignment="1">
      <alignment horizontal="center" wrapText="1"/>
    </xf>
    <xf numFmtId="0" fontId="44" fillId="0" borderId="0" xfId="0" applyFont="1" applyAlignment="1">
      <alignment horizontal="center" wrapText="1"/>
    </xf>
    <xf numFmtId="0" fontId="12" fillId="14" borderId="279" xfId="0" applyFont="1" applyFill="1" applyBorder="1" applyAlignment="1">
      <alignment horizontal="center" wrapText="1"/>
    </xf>
    <xf numFmtId="0" fontId="15" fillId="14" borderId="276" xfId="0" applyFont="1" applyFill="1" applyBorder="1" applyAlignment="1">
      <alignment horizontal="center" wrapText="1"/>
    </xf>
    <xf numFmtId="0" fontId="26" fillId="13" borderId="282" xfId="0" applyFont="1" applyFill="1" applyBorder="1" applyAlignment="1">
      <alignment horizontal="center" wrapText="1"/>
    </xf>
    <xf numFmtId="0" fontId="26" fillId="13" borderId="283" xfId="0" applyFont="1" applyFill="1" applyBorder="1" applyAlignment="1">
      <alignment horizontal="center" wrapText="1"/>
    </xf>
    <xf numFmtId="0" fontId="26" fillId="13" borderId="285" xfId="0" applyFont="1" applyFill="1" applyBorder="1" applyAlignment="1">
      <alignment horizontal="center" wrapText="1"/>
    </xf>
    <xf numFmtId="0" fontId="25" fillId="13" borderId="278" xfId="0" applyFont="1" applyFill="1" applyBorder="1" applyAlignment="1">
      <alignment horizontal="left" wrapText="1"/>
    </xf>
    <xf numFmtId="0" fontId="34" fillId="13" borderId="279" xfId="0" applyFont="1" applyFill="1" applyBorder="1" applyAlignment="1">
      <alignment horizontal="center" wrapText="1"/>
    </xf>
    <xf numFmtId="0" fontId="26" fillId="13" borderId="286" xfId="0" applyFont="1" applyFill="1" applyBorder="1" applyAlignment="1">
      <alignment horizontal="center" wrapText="1"/>
    </xf>
    <xf numFmtId="0" fontId="26" fillId="13" borderId="281" xfId="0" applyFont="1" applyFill="1" applyBorder="1" applyAlignment="1">
      <alignment horizontal="center" wrapText="1"/>
    </xf>
    <xf numFmtId="0" fontId="25" fillId="14" borderId="280" xfId="0" applyFont="1" applyFill="1" applyBorder="1" applyAlignment="1">
      <alignment horizontal="left" wrapText="1"/>
    </xf>
    <xf numFmtId="0" fontId="25" fillId="14" borderId="273" xfId="0" applyFont="1" applyFill="1" applyBorder="1" applyAlignment="1">
      <alignment horizontal="left" wrapText="1"/>
    </xf>
    <xf numFmtId="0" fontId="26" fillId="14" borderId="281" xfId="0" applyFont="1" applyFill="1" applyBorder="1" applyAlignment="1">
      <alignment horizontal="center" wrapText="1"/>
    </xf>
    <xf numFmtId="0" fontId="26" fillId="14" borderId="276" xfId="0" applyFont="1" applyFill="1" applyBorder="1" applyAlignment="1">
      <alignment horizontal="center" wrapText="1"/>
    </xf>
    <xf numFmtId="0" fontId="25" fillId="12" borderId="280" xfId="0" applyFont="1" applyFill="1" applyBorder="1" applyAlignment="1">
      <alignment horizontal="left" wrapText="1"/>
    </xf>
    <xf numFmtId="0" fontId="25" fillId="12" borderId="273" xfId="0" applyFont="1" applyFill="1" applyBorder="1" applyAlignment="1">
      <alignment horizontal="left" wrapText="1"/>
    </xf>
    <xf numFmtId="0" fontId="34" fillId="12" borderId="279" xfId="0" applyFont="1" applyFill="1" applyBorder="1" applyAlignment="1">
      <alignment horizontal="center" wrapText="1"/>
    </xf>
    <xf numFmtId="0" fontId="25" fillId="13" borderId="280" xfId="0" applyFont="1" applyFill="1" applyBorder="1" applyAlignment="1">
      <alignment horizontal="left" wrapText="1"/>
    </xf>
    <xf numFmtId="0" fontId="25" fillId="13" borderId="273" xfId="0" applyFont="1" applyFill="1" applyBorder="1" applyAlignment="1">
      <alignment horizontal="left" wrapText="1"/>
    </xf>
    <xf numFmtId="0" fontId="26" fillId="12" borderId="281" xfId="0" applyFont="1" applyFill="1" applyBorder="1" applyAlignment="1">
      <alignment horizontal="center" wrapText="1"/>
    </xf>
    <xf numFmtId="0" fontId="26" fillId="12" borderId="274" xfId="0" applyFont="1" applyFill="1" applyBorder="1" applyAlignment="1">
      <alignment horizontal="center" wrapText="1"/>
    </xf>
    <xf numFmtId="0" fontId="27" fillId="8" borderId="274" xfId="0" applyFont="1" applyFill="1" applyBorder="1" applyAlignment="1">
      <alignment horizontal="center" wrapText="1"/>
    </xf>
    <xf numFmtId="0" fontId="25" fillId="8" borderId="273" xfId="0" applyFont="1" applyFill="1" applyBorder="1" applyAlignment="1">
      <alignment horizontal="left"/>
    </xf>
    <xf numFmtId="0" fontId="15" fillId="0" borderId="263"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62" xfId="0" applyFont="1" applyBorder="1" applyAlignment="1">
      <alignment horizontal="center" vertical="center" wrapText="1"/>
    </xf>
    <xf numFmtId="0" fontId="16" fillId="0" borderId="263"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62" xfId="0" applyFont="1" applyBorder="1" applyAlignment="1">
      <alignment horizontal="center" vertical="center" wrapText="1"/>
    </xf>
    <xf numFmtId="0" fontId="26" fillId="0" borderId="263"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262" xfId="0" applyFont="1" applyBorder="1" applyAlignment="1">
      <alignment horizontal="center" vertical="center" wrapText="1"/>
    </xf>
    <xf numFmtId="0" fontId="26" fillId="0" borderId="99" xfId="0" applyFont="1" applyBorder="1" applyAlignment="1">
      <alignment horizontal="center" wrapText="1"/>
    </xf>
    <xf numFmtId="0" fontId="26" fillId="0" borderId="293" xfId="0" applyFont="1" applyBorder="1" applyAlignment="1">
      <alignment horizontal="center" wrapText="1"/>
    </xf>
    <xf numFmtId="0" fontId="26" fillId="0" borderId="294" xfId="0" applyFont="1" applyBorder="1" applyAlignment="1">
      <alignment horizontal="center" wrapText="1"/>
    </xf>
    <xf numFmtId="0" fontId="0" fillId="0" borderId="49" xfId="0" applyBorder="1" applyAlignment="1">
      <alignment horizontal="center" wrapText="1"/>
    </xf>
    <xf numFmtId="0" fontId="0" fillId="0" borderId="18" xfId="0" applyBorder="1" applyAlignment="1">
      <alignment horizontal="center" wrapText="1"/>
    </xf>
    <xf numFmtId="0" fontId="0" fillId="0" borderId="65" xfId="0" applyBorder="1" applyAlignment="1">
      <alignment horizontal="center" wrapText="1"/>
    </xf>
    <xf numFmtId="0" fontId="29" fillId="0" borderId="263"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262" xfId="0" applyFont="1" applyBorder="1" applyAlignment="1">
      <alignment horizontal="center" vertical="center" wrapText="1"/>
    </xf>
    <xf numFmtId="0" fontId="0" fillId="0" borderId="49" xfId="0" applyBorder="1" applyAlignment="1">
      <alignment horizontal="center"/>
    </xf>
    <xf numFmtId="0" fontId="0" fillId="0" borderId="18" xfId="0" applyBorder="1" applyAlignment="1">
      <alignment horizontal="center"/>
    </xf>
    <xf numFmtId="0" fontId="0" fillId="0" borderId="65" xfId="0" applyBorder="1" applyAlignment="1">
      <alignment horizontal="center"/>
    </xf>
    <xf numFmtId="0" fontId="23" fillId="0" borderId="263"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62" xfId="0" applyFont="1" applyBorder="1" applyAlignment="1">
      <alignment horizontal="center" vertical="center" wrapText="1"/>
    </xf>
    <xf numFmtId="0" fontId="36" fillId="0" borderId="263"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262" xfId="0" applyFont="1" applyBorder="1" applyAlignment="1">
      <alignment horizontal="center" vertical="center" wrapText="1"/>
    </xf>
    <xf numFmtId="0" fontId="25" fillId="8" borderId="280" xfId="0" applyFont="1" applyFill="1" applyBorder="1" applyAlignment="1">
      <alignment horizontal="left"/>
    </xf>
    <xf numFmtId="0" fontId="12" fillId="8" borderId="279" xfId="0" applyFont="1" applyFill="1" applyBorder="1" applyAlignment="1">
      <alignment horizontal="center" wrapText="1"/>
    </xf>
    <xf numFmtId="0" fontId="12" fillId="8" borderId="18" xfId="0" applyFont="1" applyFill="1" applyBorder="1" applyAlignment="1">
      <alignment horizontal="center" wrapText="1"/>
    </xf>
    <xf numFmtId="0" fontId="26" fillId="8" borderId="281" xfId="0" applyFont="1" applyFill="1" applyBorder="1" applyAlignment="1">
      <alignment horizontal="left" wrapText="1"/>
    </xf>
    <xf numFmtId="0" fontId="29" fillId="0" borderId="49" xfId="0" applyFont="1" applyBorder="1" applyAlignment="1">
      <alignment horizontal="left" vertical="top" wrapText="1"/>
    </xf>
    <xf numFmtId="0" fontId="0" fillId="0" borderId="18" xfId="0" applyBorder="1" applyAlignment="1">
      <alignment horizontal="left" vertical="top" wrapText="1"/>
    </xf>
    <xf numFmtId="0" fontId="0" fillId="0" borderId="65" xfId="0" applyBorder="1" applyAlignment="1">
      <alignment horizontal="left" vertical="top" wrapText="1"/>
    </xf>
    <xf numFmtId="0" fontId="0" fillId="2" borderId="291" xfId="0" applyFill="1" applyBorder="1" applyAlignment="1">
      <alignment horizontal="center"/>
    </xf>
    <xf numFmtId="0" fontId="0" fillId="2" borderId="292" xfId="0" applyFill="1" applyBorder="1" applyAlignment="1">
      <alignment horizontal="center"/>
    </xf>
    <xf numFmtId="0" fontId="14" fillId="3" borderId="276" xfId="0" applyFont="1" applyFill="1" applyBorder="1" applyAlignment="1">
      <alignment horizontal="center" wrapText="1"/>
    </xf>
    <xf numFmtId="0" fontId="23" fillId="0" borderId="49" xfId="0" applyFont="1" applyBorder="1" applyAlignment="1">
      <alignment horizontal="left" vertical="top" wrapText="1"/>
    </xf>
    <xf numFmtId="0" fontId="23" fillId="0" borderId="18" xfId="0" applyFont="1" applyBorder="1" applyAlignment="1">
      <alignment horizontal="left" vertical="top" wrapText="1"/>
    </xf>
    <xf numFmtId="0" fontId="23" fillId="0" borderId="65" xfId="0" applyFont="1" applyBorder="1" applyAlignment="1">
      <alignment horizontal="left" vertical="top" wrapText="1"/>
    </xf>
    <xf numFmtId="0" fontId="13" fillId="3" borderId="276" xfId="0" applyFont="1" applyFill="1" applyBorder="1" applyAlignment="1">
      <alignment horizontal="center" wrapText="1"/>
    </xf>
    <xf numFmtId="0" fontId="0" fillId="0" borderId="26" xfId="0" applyBorder="1" applyAlignment="1">
      <alignment horizontal="left" vertical="center" wrapText="1"/>
    </xf>
    <xf numFmtId="0" fontId="0" fillId="0" borderId="28" xfId="0" applyBorder="1" applyAlignment="1">
      <alignment horizontal="left" vertical="center" wrapText="1"/>
    </xf>
    <xf numFmtId="0" fontId="25" fillId="8" borderId="303" xfId="0" applyFont="1" applyFill="1" applyBorder="1" applyAlignment="1">
      <alignment horizontal="left"/>
    </xf>
    <xf numFmtId="0" fontId="26" fillId="8" borderId="304" xfId="0" applyFont="1" applyFill="1" applyBorder="1" applyAlignment="1">
      <alignment horizontal="left" wrapText="1"/>
    </xf>
    <xf numFmtId="0" fontId="14" fillId="3" borderId="297" xfId="0" applyFont="1" applyFill="1" applyBorder="1" applyAlignment="1">
      <alignment horizontal="center" wrapText="1"/>
    </xf>
    <xf numFmtId="0" fontId="23" fillId="0" borderId="299" xfId="0" applyFont="1" applyBorder="1" applyAlignment="1">
      <alignment horizontal="center" vertical="center" wrapText="1"/>
    </xf>
    <xf numFmtId="0" fontId="23" fillId="0" borderId="300" xfId="0" applyFont="1" applyBorder="1" applyAlignment="1">
      <alignment horizontal="center" vertical="center" wrapText="1"/>
    </xf>
    <xf numFmtId="0" fontId="37" fillId="0" borderId="293" xfId="0" applyFont="1" applyBorder="1" applyAlignment="1">
      <alignment horizontal="center" vertical="center" wrapText="1"/>
    </xf>
    <xf numFmtId="0" fontId="37" fillId="0" borderId="294" xfId="0" applyFont="1" applyBorder="1" applyAlignment="1">
      <alignment horizontal="center" vertical="center" wrapText="1"/>
    </xf>
    <xf numFmtId="0" fontId="13" fillId="3" borderId="301" xfId="0" applyFont="1" applyFill="1" applyBorder="1" applyAlignment="1">
      <alignment horizontal="center" wrapText="1"/>
    </xf>
    <xf numFmtId="0" fontId="13" fillId="3" borderId="277" xfId="0" applyFont="1" applyFill="1" applyBorder="1" applyAlignment="1">
      <alignment horizontal="center" wrapText="1"/>
    </xf>
    <xf numFmtId="0" fontId="23" fillId="0" borderId="235" xfId="0" applyFont="1" applyBorder="1" applyAlignment="1">
      <alignment horizontal="center" vertical="center" wrapText="1"/>
    </xf>
    <xf numFmtId="0" fontId="37" fillId="0" borderId="26" xfId="0" applyFont="1" applyBorder="1" applyAlignment="1">
      <alignment horizontal="left" vertical="center" wrapText="1"/>
    </xf>
    <xf numFmtId="0" fontId="37" fillId="0" borderId="28" xfId="0" applyFont="1" applyBorder="1" applyAlignment="1">
      <alignment horizontal="left" vertical="center" wrapText="1"/>
    </xf>
    <xf numFmtId="0" fontId="29" fillId="0" borderId="235" xfId="0" applyFont="1" applyBorder="1" applyAlignment="1">
      <alignment horizontal="center" vertical="center" wrapText="1"/>
    </xf>
    <xf numFmtId="0" fontId="37" fillId="0" borderId="207" xfId="0" applyFont="1" applyBorder="1" applyAlignment="1">
      <alignment horizontal="center" wrapText="1"/>
    </xf>
    <xf numFmtId="0" fontId="37" fillId="0" borderId="209" xfId="0" applyFont="1" applyBorder="1" applyAlignment="1">
      <alignment horizontal="center"/>
    </xf>
    <xf numFmtId="0" fontId="37" fillId="0" borderId="210" xfId="0" applyFont="1" applyBorder="1" applyAlignment="1">
      <alignment horizontal="center"/>
    </xf>
    <xf numFmtId="0" fontId="37" fillId="0" borderId="26" xfId="0" applyFont="1" applyBorder="1" applyAlignment="1">
      <alignment horizontal="center" wrapText="1"/>
    </xf>
    <xf numFmtId="0" fontId="37" fillId="0" borderId="28" xfId="0" applyFont="1" applyBorder="1" applyAlignment="1">
      <alignment horizontal="center" wrapText="1"/>
    </xf>
    <xf numFmtId="0" fontId="26" fillId="12" borderId="304" xfId="0" applyFont="1" applyFill="1" applyBorder="1" applyAlignment="1">
      <alignment horizontal="center" wrapText="1"/>
    </xf>
    <xf numFmtId="0" fontId="26" fillId="12" borderId="297" xfId="0" applyFont="1" applyFill="1" applyBorder="1" applyAlignment="1">
      <alignment horizontal="center" wrapText="1"/>
    </xf>
    <xf numFmtId="0" fontId="26" fillId="12" borderId="305" xfId="0" applyFont="1" applyFill="1" applyBorder="1" applyAlignment="1">
      <alignment horizontal="center" wrapText="1"/>
    </xf>
    <xf numFmtId="0" fontId="25" fillId="12" borderId="303" xfId="0" applyFont="1" applyFill="1" applyBorder="1" applyAlignment="1">
      <alignment horizontal="left" wrapText="1"/>
    </xf>
    <xf numFmtId="0" fontId="34" fillId="12" borderId="296" xfId="0" applyFont="1" applyFill="1" applyBorder="1" applyAlignment="1">
      <alignment horizontal="center" wrapText="1"/>
    </xf>
    <xf numFmtId="0" fontId="25" fillId="13" borderId="303" xfId="0" applyFont="1" applyFill="1" applyBorder="1" applyAlignment="1">
      <alignment horizontal="left" wrapText="1"/>
    </xf>
    <xf numFmtId="0" fontId="34" fillId="13" borderId="296" xfId="0" applyFont="1" applyFill="1" applyBorder="1" applyAlignment="1">
      <alignment horizontal="center" wrapText="1"/>
    </xf>
    <xf numFmtId="0" fontId="26" fillId="13" borderId="306" xfId="0" applyFont="1" applyFill="1" applyBorder="1" applyAlignment="1">
      <alignment horizontal="center" wrapText="1"/>
    </xf>
    <xf numFmtId="0" fontId="26" fillId="13" borderId="307" xfId="0" applyFont="1" applyFill="1" applyBorder="1" applyAlignment="1">
      <alignment horizontal="center" wrapText="1"/>
    </xf>
    <xf numFmtId="0" fontId="26" fillId="13" borderId="309" xfId="0" applyFont="1" applyFill="1" applyBorder="1" applyAlignment="1">
      <alignment horizontal="center" wrapText="1"/>
    </xf>
    <xf numFmtId="0" fontId="25" fillId="13" borderId="295" xfId="0" applyFont="1" applyFill="1" applyBorder="1" applyAlignment="1">
      <alignment horizontal="left" wrapText="1"/>
    </xf>
    <xf numFmtId="0" fontId="26" fillId="13" borderId="310" xfId="0" applyFont="1" applyFill="1" applyBorder="1" applyAlignment="1">
      <alignment horizontal="center" wrapText="1"/>
    </xf>
    <xf numFmtId="0" fontId="26" fillId="13" borderId="304" xfId="0" applyFont="1" applyFill="1" applyBorder="1" applyAlignment="1">
      <alignment horizontal="center" wrapText="1"/>
    </xf>
    <xf numFmtId="0" fontId="15" fillId="14" borderId="302" xfId="0" applyFont="1" applyFill="1" applyBorder="1" applyAlignment="1">
      <alignment horizontal="center" wrapText="1"/>
    </xf>
    <xf numFmtId="0" fontId="25" fillId="14" borderId="303" xfId="0" applyFont="1" applyFill="1" applyBorder="1" applyAlignment="1">
      <alignment horizontal="left" wrapText="1"/>
    </xf>
    <xf numFmtId="0" fontId="12" fillId="14" borderId="296" xfId="0" applyFont="1" applyFill="1" applyBorder="1" applyAlignment="1">
      <alignment horizontal="center" wrapText="1"/>
    </xf>
    <xf numFmtId="0" fontId="26" fillId="14" borderId="304" xfId="0" applyFont="1" applyFill="1" applyBorder="1" applyAlignment="1">
      <alignment horizontal="center" wrapText="1"/>
    </xf>
    <xf numFmtId="0" fontId="26" fillId="14" borderId="275" xfId="0" applyFont="1" applyFill="1" applyBorder="1" applyAlignment="1">
      <alignment horizontal="center" wrapText="1"/>
    </xf>
    <xf numFmtId="0" fontId="26" fillId="14" borderId="277" xfId="0" applyFont="1" applyFill="1" applyBorder="1" applyAlignment="1">
      <alignment horizontal="center" wrapText="1"/>
    </xf>
    <xf numFmtId="0" fontId="26" fillId="0" borderId="235" xfId="0" applyFont="1" applyBorder="1" applyAlignment="1">
      <alignment horizontal="center" vertical="center" wrapText="1"/>
    </xf>
    <xf numFmtId="0" fontId="26" fillId="0" borderId="27" xfId="0" applyFont="1" applyBorder="1" applyAlignment="1">
      <alignment horizontal="center" vertical="center" wrapText="1"/>
    </xf>
    <xf numFmtId="0" fontId="0" fillId="0" borderId="43" xfId="0" applyBorder="1" applyAlignment="1">
      <alignment horizontal="center" wrapText="1"/>
    </xf>
    <xf numFmtId="0" fontId="0" fillId="0" borderId="26" xfId="0" applyBorder="1" applyAlignment="1">
      <alignment horizontal="center" wrapText="1"/>
    </xf>
    <xf numFmtId="0" fontId="0" fillId="0" borderId="28" xfId="0" applyBorder="1" applyAlignment="1">
      <alignment horizontal="center" wrapText="1"/>
    </xf>
    <xf numFmtId="0" fontId="12" fillId="14" borderId="298" xfId="0" applyFont="1" applyFill="1" applyBorder="1" applyAlignment="1">
      <alignment horizontal="left"/>
    </xf>
    <xf numFmtId="0" fontId="15" fillId="14" borderId="305" xfId="0" applyFont="1" applyFill="1" applyBorder="1" applyAlignment="1">
      <alignment horizontal="center" wrapText="1"/>
    </xf>
    <xf numFmtId="0" fontId="6" fillId="2" borderId="315" xfId="0" applyFont="1" applyFill="1" applyBorder="1" applyAlignment="1">
      <alignment horizontal="left" vertical="top" wrapText="1"/>
    </xf>
    <xf numFmtId="0" fontId="0" fillId="0" borderId="235" xfId="0" applyBorder="1" applyAlignment="1">
      <alignment horizontal="left" vertical="center" wrapText="1"/>
    </xf>
    <xf numFmtId="0" fontId="0" fillId="0" borderId="27" xfId="0" applyBorder="1" applyAlignment="1">
      <alignment horizontal="left" vertical="center" wrapText="1"/>
    </xf>
    <xf numFmtId="164" fontId="126" fillId="0" borderId="225" xfId="2" applyFont="1" applyFill="1" applyBorder="1" applyAlignment="1">
      <alignment horizontal="center" vertical="center" wrapText="1"/>
    </xf>
    <xf numFmtId="0" fontId="25" fillId="8" borderId="316" xfId="0" applyFont="1" applyFill="1" applyBorder="1" applyAlignment="1">
      <alignment horizontal="left"/>
    </xf>
    <xf numFmtId="0" fontId="25" fillId="12" borderId="316" xfId="0" applyFont="1" applyFill="1" applyBorder="1" applyAlignment="1">
      <alignment horizontal="left" wrapText="1"/>
    </xf>
    <xf numFmtId="0" fontId="25" fillId="13" borderId="316" xfId="0" applyFont="1" applyFill="1" applyBorder="1" applyAlignment="1">
      <alignment horizontal="left" wrapText="1"/>
    </xf>
    <xf numFmtId="0" fontId="25" fillId="14" borderId="316" xfId="0" applyFont="1" applyFill="1" applyBorder="1" applyAlignment="1">
      <alignment horizontal="left" wrapText="1"/>
    </xf>
    <xf numFmtId="0" fontId="0" fillId="2" borderId="321" xfId="0" applyFill="1" applyBorder="1" applyAlignment="1">
      <alignment horizontal="center"/>
    </xf>
    <xf numFmtId="0" fontId="0" fillId="2" borderId="322" xfId="0" applyFill="1" applyBorder="1" applyAlignment="1">
      <alignment horizontal="center"/>
    </xf>
    <xf numFmtId="0" fontId="14" fillId="3" borderId="325" xfId="0" applyFont="1" applyFill="1" applyBorder="1" applyAlignment="1">
      <alignment horizontal="center" wrapText="1"/>
    </xf>
    <xf numFmtId="0" fontId="23" fillId="0" borderId="238" xfId="0" applyFont="1" applyBorder="1" applyAlignment="1">
      <alignment horizontal="center" vertical="center" wrapText="1"/>
    </xf>
    <xf numFmtId="0" fontId="13" fillId="3" borderId="325" xfId="0" applyFont="1" applyFill="1" applyBorder="1" applyAlignment="1">
      <alignment horizontal="center" wrapText="1"/>
    </xf>
    <xf numFmtId="0" fontId="13" fillId="3" borderId="326" xfId="0" applyFont="1" applyFill="1" applyBorder="1" applyAlignment="1">
      <alignment horizontal="center" wrapText="1"/>
    </xf>
    <xf numFmtId="0" fontId="25" fillId="8" borderId="328" xfId="0" applyFont="1" applyFill="1" applyBorder="1" applyAlignment="1">
      <alignment horizontal="left"/>
    </xf>
    <xf numFmtId="0" fontId="25" fillId="8" borderId="318" xfId="0" applyFont="1" applyFill="1" applyBorder="1" applyAlignment="1">
      <alignment horizontal="left"/>
    </xf>
    <xf numFmtId="0" fontId="26" fillId="8" borderId="329" xfId="0" applyFont="1" applyFill="1" applyBorder="1" applyAlignment="1">
      <alignment horizontal="left" wrapText="1"/>
    </xf>
    <xf numFmtId="0" fontId="25" fillId="12" borderId="328" xfId="0" applyFont="1" applyFill="1" applyBorder="1" applyAlignment="1">
      <alignment horizontal="left" wrapText="1"/>
    </xf>
    <xf numFmtId="0" fontId="25" fillId="12" borderId="318" xfId="0" applyFont="1" applyFill="1" applyBorder="1" applyAlignment="1">
      <alignment horizontal="left" wrapText="1"/>
    </xf>
    <xf numFmtId="0" fontId="34" fillId="12" borderId="324" xfId="0" applyFont="1" applyFill="1" applyBorder="1" applyAlignment="1">
      <alignment horizontal="center" wrapText="1"/>
    </xf>
    <xf numFmtId="0" fontId="26" fillId="12" borderId="329" xfId="0" applyFont="1" applyFill="1" applyBorder="1" applyAlignment="1">
      <alignment horizontal="center" wrapText="1"/>
    </xf>
    <xf numFmtId="0" fontId="25" fillId="13" borderId="328" xfId="0" applyFont="1" applyFill="1" applyBorder="1" applyAlignment="1">
      <alignment horizontal="left" wrapText="1"/>
    </xf>
    <xf numFmtId="0" fontId="25" fillId="13" borderId="318" xfId="0" applyFont="1" applyFill="1" applyBorder="1" applyAlignment="1">
      <alignment horizontal="left" wrapText="1"/>
    </xf>
    <xf numFmtId="0" fontId="34" fillId="13" borderId="324" xfId="0" applyFont="1" applyFill="1" applyBorder="1" applyAlignment="1">
      <alignment horizontal="center" wrapText="1"/>
    </xf>
    <xf numFmtId="0" fontId="26" fillId="14" borderId="325" xfId="0" applyFont="1" applyFill="1" applyBorder="1" applyAlignment="1">
      <alignment horizontal="center" wrapText="1"/>
    </xf>
    <xf numFmtId="0" fontId="26" fillId="14" borderId="326" xfId="0" applyFont="1" applyFill="1" applyBorder="1" applyAlignment="1">
      <alignment horizontal="center" wrapText="1"/>
    </xf>
    <xf numFmtId="0" fontId="26" fillId="13" borderId="329" xfId="0" applyFont="1" applyFill="1" applyBorder="1" applyAlignment="1">
      <alignment horizontal="center" wrapText="1"/>
    </xf>
    <xf numFmtId="0" fontId="26" fillId="13" borderId="330" xfId="0" applyFont="1" applyFill="1" applyBorder="1" applyAlignment="1">
      <alignment horizontal="center" wrapText="1"/>
    </xf>
    <xf numFmtId="0" fontId="26" fillId="13" borderId="331" xfId="0" applyFont="1" applyFill="1" applyBorder="1" applyAlignment="1">
      <alignment horizontal="center" wrapText="1"/>
    </xf>
    <xf numFmtId="0" fontId="26" fillId="13" borderId="333" xfId="0" applyFont="1" applyFill="1" applyBorder="1" applyAlignment="1">
      <alignment horizontal="center" wrapText="1"/>
    </xf>
    <xf numFmtId="0" fontId="25" fillId="13" borderId="323" xfId="0" applyFont="1" applyFill="1" applyBorder="1" applyAlignment="1">
      <alignment horizontal="left" wrapText="1"/>
    </xf>
    <xf numFmtId="0" fontId="26" fillId="13" borderId="334" xfId="0" applyFont="1" applyFill="1" applyBorder="1" applyAlignment="1">
      <alignment horizontal="center" wrapText="1"/>
    </xf>
    <xf numFmtId="0" fontId="25" fillId="14" borderId="328" xfId="0" applyFont="1" applyFill="1" applyBorder="1" applyAlignment="1">
      <alignment horizontal="left" wrapText="1"/>
    </xf>
    <xf numFmtId="0" fontId="25" fillId="14" borderId="318" xfId="0" applyFont="1" applyFill="1" applyBorder="1" applyAlignment="1">
      <alignment horizontal="left" wrapText="1"/>
    </xf>
    <xf numFmtId="0" fontId="12" fillId="14" borderId="324" xfId="0" applyFont="1" applyFill="1" applyBorder="1" applyAlignment="1">
      <alignment horizontal="center" wrapText="1"/>
    </xf>
    <xf numFmtId="0" fontId="26" fillId="14" borderId="329" xfId="0" applyFont="1" applyFill="1" applyBorder="1" applyAlignment="1">
      <alignment horizontal="center" wrapText="1"/>
    </xf>
    <xf numFmtId="0" fontId="26" fillId="0" borderId="238"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8"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238" xfId="0" applyFont="1" applyBorder="1" applyAlignment="1">
      <alignment horizontal="center" vertical="center" wrapText="1"/>
    </xf>
    <xf numFmtId="0" fontId="16" fillId="0" borderId="27" xfId="0" applyFont="1" applyBorder="1" applyAlignment="1">
      <alignment horizontal="center" vertical="center" wrapText="1"/>
    </xf>
    <xf numFmtId="0" fontId="15" fillId="14" borderId="325" xfId="0" applyFont="1" applyFill="1" applyBorder="1" applyAlignment="1">
      <alignment horizontal="center" wrapText="1"/>
    </xf>
    <xf numFmtId="0" fontId="31" fillId="12" borderId="303" xfId="0" applyFont="1" applyFill="1" applyBorder="1" applyAlignment="1">
      <alignment horizontal="left" wrapText="1"/>
    </xf>
    <xf numFmtId="0" fontId="31" fillId="12" borderId="316" xfId="0" applyFont="1" applyFill="1" applyBorder="1" applyAlignment="1">
      <alignment horizontal="left" wrapText="1"/>
    </xf>
    <xf numFmtId="0" fontId="13" fillId="12" borderId="296" xfId="0" applyFont="1" applyFill="1" applyBorder="1" applyAlignment="1">
      <alignment horizontal="center" wrapText="1"/>
    </xf>
    <xf numFmtId="0" fontId="13" fillId="12" borderId="18" xfId="0" applyFont="1" applyFill="1" applyBorder="1" applyAlignment="1">
      <alignment horizontal="center" wrapText="1"/>
    </xf>
    <xf numFmtId="0" fontId="130" fillId="0" borderId="238" xfId="0" applyFont="1" applyBorder="1" applyAlignment="1">
      <alignment horizontal="left" vertical="center" wrapText="1"/>
    </xf>
    <xf numFmtId="0" fontId="130" fillId="0" borderId="26" xfId="0" applyFont="1" applyBorder="1" applyAlignment="1"/>
    <xf numFmtId="0" fontId="130" fillId="0" borderId="27" xfId="0" applyFont="1" applyBorder="1" applyAlignment="1"/>
    <xf numFmtId="0" fontId="130" fillId="0" borderId="28" xfId="0" applyFont="1" applyBorder="1" applyAlignment="1"/>
    <xf numFmtId="0" fontId="0" fillId="12" borderId="297" xfId="0" applyFont="1" applyFill="1" applyBorder="1" applyAlignment="1">
      <alignment horizontal="center" wrapText="1"/>
    </xf>
    <xf numFmtId="0" fontId="0" fillId="12" borderId="305" xfId="0" applyFont="1" applyFill="1" applyBorder="1" applyAlignment="1">
      <alignment horizontal="center" wrapText="1"/>
    </xf>
    <xf numFmtId="0" fontId="0" fillId="12" borderId="304" xfId="0" applyFont="1" applyFill="1" applyBorder="1" applyAlignment="1">
      <alignment horizontal="center" wrapText="1"/>
    </xf>
    <xf numFmtId="0" fontId="0" fillId="12" borderId="50" xfId="0" applyFont="1" applyFill="1" applyBorder="1" applyAlignment="1">
      <alignment horizontal="center" wrapText="1"/>
    </xf>
    <xf numFmtId="0" fontId="131" fillId="0" borderId="238" xfId="0" applyFont="1" applyBorder="1" applyAlignment="1">
      <alignment horizontal="left" vertical="center" wrapText="1"/>
    </xf>
    <xf numFmtId="0" fontId="130" fillId="0" borderId="26" xfId="0" applyFont="1" applyBorder="1" applyAlignment="1">
      <alignment vertical="center" wrapText="1"/>
    </xf>
    <xf numFmtId="0" fontId="131" fillId="0" borderId="27" xfId="0" applyFont="1" applyBorder="1" applyAlignment="1">
      <alignment horizontal="left" vertical="center" wrapText="1"/>
    </xf>
    <xf numFmtId="0" fontId="130" fillId="0" borderId="28" xfId="0" applyFont="1" applyBorder="1" applyAlignment="1">
      <alignment vertical="center" wrapText="1"/>
    </xf>
    <xf numFmtId="0" fontId="55" fillId="0" borderId="42" xfId="0" applyFont="1" applyBorder="1" applyAlignment="1">
      <alignment horizontal="left" vertical="center" wrapText="1"/>
    </xf>
    <xf numFmtId="0" fontId="55" fillId="0" borderId="43" xfId="0" applyFont="1" applyBorder="1" applyAlignment="1">
      <alignment horizontal="left" vertical="center" wrapText="1"/>
    </xf>
    <xf numFmtId="0" fontId="55" fillId="0" borderId="238" xfId="0" applyFont="1" applyBorder="1" applyAlignment="1">
      <alignment horizontal="left" vertical="center" wrapText="1"/>
    </xf>
    <xf numFmtId="0" fontId="55" fillId="0" borderId="26" xfId="0" applyFont="1" applyBorder="1" applyAlignment="1">
      <alignment horizontal="left" vertical="center" wrapText="1"/>
    </xf>
    <xf numFmtId="0" fontId="55" fillId="0" borderId="27" xfId="0" applyFont="1" applyBorder="1" applyAlignment="1">
      <alignment horizontal="left" vertical="center" wrapText="1"/>
    </xf>
    <xf numFmtId="0" fontId="55" fillId="0" borderId="28" xfId="0" applyFont="1" applyBorder="1" applyAlignment="1">
      <alignment horizontal="left" vertical="center" wrapText="1"/>
    </xf>
    <xf numFmtId="0" fontId="52" fillId="0" borderId="49" xfId="0" applyFont="1" applyBorder="1" applyAlignment="1">
      <alignment horizontal="left" vertical="center" wrapText="1"/>
    </xf>
    <xf numFmtId="0" fontId="52" fillId="0" borderId="18" xfId="0" applyFont="1" applyBorder="1" applyAlignment="1">
      <alignment horizontal="left" vertical="center" wrapText="1"/>
    </xf>
    <xf numFmtId="0" fontId="52" fillId="0" borderId="65" xfId="0" applyFont="1" applyBorder="1" applyAlignment="1">
      <alignment horizontal="left" vertical="center" wrapText="1"/>
    </xf>
    <xf numFmtId="0" fontId="14" fillId="3" borderId="338" xfId="0" applyFont="1" applyFill="1" applyBorder="1" applyAlignment="1">
      <alignment horizontal="center" wrapText="1"/>
    </xf>
    <xf numFmtId="0" fontId="13" fillId="3" borderId="338" xfId="0" applyFont="1" applyFill="1" applyBorder="1" applyAlignment="1">
      <alignment horizontal="center" wrapText="1"/>
    </xf>
    <xf numFmtId="0" fontId="13" fillId="3" borderId="339" xfId="0" applyFont="1" applyFill="1" applyBorder="1" applyAlignment="1">
      <alignment horizontal="center" wrapText="1"/>
    </xf>
    <xf numFmtId="0" fontId="25" fillId="8" borderId="341" xfId="0" applyFont="1" applyFill="1" applyBorder="1" applyAlignment="1">
      <alignment horizontal="left"/>
    </xf>
    <xf numFmtId="0" fontId="26" fillId="8" borderId="342" xfId="0" applyFont="1" applyFill="1" applyBorder="1" applyAlignment="1">
      <alignment horizontal="left" wrapText="1"/>
    </xf>
    <xf numFmtId="0" fontId="25" fillId="12" borderId="341" xfId="0" applyFont="1" applyFill="1" applyBorder="1" applyAlignment="1">
      <alignment horizontal="left" wrapText="1"/>
    </xf>
    <xf numFmtId="0" fontId="34" fillId="12" borderId="337" xfId="0" applyFont="1" applyFill="1" applyBorder="1" applyAlignment="1">
      <alignment horizontal="center" wrapText="1"/>
    </xf>
    <xf numFmtId="0" fontId="26" fillId="12" borderId="342" xfId="0" applyFont="1" applyFill="1" applyBorder="1" applyAlignment="1">
      <alignment horizontal="center" wrapText="1"/>
    </xf>
    <xf numFmtId="0" fontId="25" fillId="13" borderId="341" xfId="0" applyFont="1" applyFill="1" applyBorder="1" applyAlignment="1">
      <alignment horizontal="left" wrapText="1"/>
    </xf>
    <xf numFmtId="0" fontId="34" fillId="13" borderId="337" xfId="0" applyFont="1" applyFill="1" applyBorder="1" applyAlignment="1">
      <alignment horizontal="center" wrapText="1"/>
    </xf>
    <xf numFmtId="0" fontId="26" fillId="13" borderId="343" xfId="0" applyFont="1" applyFill="1" applyBorder="1" applyAlignment="1">
      <alignment horizontal="center" wrapText="1"/>
    </xf>
    <xf numFmtId="0" fontId="26" fillId="13" borderId="344" xfId="0" applyFont="1" applyFill="1" applyBorder="1" applyAlignment="1">
      <alignment horizontal="center" wrapText="1"/>
    </xf>
    <xf numFmtId="0" fontId="26" fillId="13" borderId="346" xfId="0" applyFont="1" applyFill="1" applyBorder="1" applyAlignment="1">
      <alignment horizontal="center" wrapText="1"/>
    </xf>
    <xf numFmtId="0" fontId="25" fillId="13" borderId="336" xfId="0" applyFont="1" applyFill="1" applyBorder="1" applyAlignment="1">
      <alignment horizontal="left" wrapText="1"/>
    </xf>
    <xf numFmtId="0" fontId="26" fillId="13" borderId="347" xfId="0" applyFont="1" applyFill="1" applyBorder="1" applyAlignment="1">
      <alignment horizontal="center" wrapText="1"/>
    </xf>
    <xf numFmtId="0" fontId="26" fillId="13" borderId="342" xfId="0" applyFont="1" applyFill="1" applyBorder="1" applyAlignment="1">
      <alignment horizontal="center" wrapText="1"/>
    </xf>
    <xf numFmtId="0" fontId="15" fillId="14" borderId="338" xfId="0" applyFont="1" applyFill="1" applyBorder="1" applyAlignment="1">
      <alignment horizontal="center" wrapText="1"/>
    </xf>
    <xf numFmtId="0" fontId="25" fillId="14" borderId="341" xfId="0" applyFont="1" applyFill="1" applyBorder="1" applyAlignment="1">
      <alignment horizontal="left" wrapText="1"/>
    </xf>
    <xf numFmtId="0" fontId="12" fillId="14" borderId="337" xfId="0" applyFont="1" applyFill="1" applyBorder="1" applyAlignment="1">
      <alignment horizontal="center" wrapText="1"/>
    </xf>
    <xf numFmtId="0" fontId="26" fillId="14" borderId="342" xfId="0" applyFont="1" applyFill="1" applyBorder="1" applyAlignment="1">
      <alignment horizontal="center" wrapText="1"/>
    </xf>
    <xf numFmtId="0" fontId="26" fillId="14" borderId="338" xfId="0" applyFont="1" applyFill="1" applyBorder="1" applyAlignment="1">
      <alignment horizontal="center" wrapText="1"/>
    </xf>
    <xf numFmtId="0" fontId="26" fillId="14" borderId="339" xfId="0" applyFont="1" applyFill="1" applyBorder="1" applyAlignment="1">
      <alignment horizontal="center" wrapText="1"/>
    </xf>
    <xf numFmtId="0" fontId="6" fillId="2" borderId="362" xfId="0" applyFont="1" applyFill="1" applyBorder="1" applyAlignment="1">
      <alignment horizontal="left" vertical="top" wrapText="1"/>
    </xf>
    <xf numFmtId="0" fontId="14" fillId="3" borderId="370" xfId="0" applyFont="1" applyFill="1" applyBorder="1" applyAlignment="1">
      <alignment horizontal="center" wrapText="1"/>
    </xf>
    <xf numFmtId="0" fontId="13" fillId="3" borderId="370" xfId="0" applyFont="1" applyFill="1" applyBorder="1" applyAlignment="1">
      <alignment horizontal="center" wrapText="1"/>
    </xf>
    <xf numFmtId="0" fontId="13" fillId="3" borderId="371" xfId="0" applyFont="1" applyFill="1" applyBorder="1" applyAlignment="1">
      <alignment horizontal="center" wrapText="1"/>
    </xf>
    <xf numFmtId="0" fontId="25" fillId="8" borderId="373" xfId="0" applyFont="1" applyFill="1" applyBorder="1" applyAlignment="1">
      <alignment horizontal="left"/>
    </xf>
    <xf numFmtId="0" fontId="25" fillId="8" borderId="363" xfId="0" applyFont="1" applyFill="1" applyBorder="1" applyAlignment="1">
      <alignment horizontal="left"/>
    </xf>
    <xf numFmtId="0" fontId="26" fillId="8" borderId="374" xfId="0" applyFont="1" applyFill="1" applyBorder="1" applyAlignment="1">
      <alignment horizontal="left" wrapText="1"/>
    </xf>
    <xf numFmtId="0" fontId="25" fillId="12" borderId="373" xfId="0" applyFont="1" applyFill="1" applyBorder="1" applyAlignment="1">
      <alignment horizontal="left" wrapText="1"/>
    </xf>
    <xf numFmtId="0" fontId="25" fillId="12" borderId="363" xfId="0" applyFont="1" applyFill="1" applyBorder="1" applyAlignment="1">
      <alignment horizontal="left" wrapText="1"/>
    </xf>
    <xf numFmtId="0" fontId="34" fillId="12" borderId="369" xfId="0" applyFont="1" applyFill="1" applyBorder="1" applyAlignment="1">
      <alignment horizontal="center" wrapText="1"/>
    </xf>
    <xf numFmtId="0" fontId="26" fillId="12" borderId="374" xfId="0" applyFont="1" applyFill="1" applyBorder="1" applyAlignment="1">
      <alignment horizontal="center" wrapText="1"/>
    </xf>
    <xf numFmtId="0" fontId="25" fillId="13" borderId="373" xfId="0" applyFont="1" applyFill="1" applyBorder="1" applyAlignment="1">
      <alignment horizontal="left" wrapText="1"/>
    </xf>
    <xf numFmtId="0" fontId="25" fillId="13" borderId="363" xfId="0" applyFont="1" applyFill="1" applyBorder="1" applyAlignment="1">
      <alignment horizontal="left" wrapText="1"/>
    </xf>
    <xf numFmtId="0" fontId="34" fillId="13" borderId="369" xfId="0" applyFont="1" applyFill="1" applyBorder="1" applyAlignment="1">
      <alignment horizontal="center" wrapText="1"/>
    </xf>
    <xf numFmtId="0" fontId="26" fillId="13" borderId="375" xfId="0" applyFont="1" applyFill="1" applyBorder="1" applyAlignment="1">
      <alignment horizontal="center" wrapText="1"/>
    </xf>
    <xf numFmtId="0" fontId="26" fillId="13" borderId="376" xfId="0" applyFont="1" applyFill="1" applyBorder="1" applyAlignment="1">
      <alignment horizontal="center" wrapText="1"/>
    </xf>
    <xf numFmtId="0" fontId="26" fillId="13" borderId="378" xfId="0" applyFont="1" applyFill="1" applyBorder="1" applyAlignment="1">
      <alignment horizontal="center" wrapText="1"/>
    </xf>
    <xf numFmtId="0" fontId="25" fillId="13" borderId="368" xfId="0" applyFont="1" applyFill="1" applyBorder="1" applyAlignment="1">
      <alignment horizontal="left" wrapText="1"/>
    </xf>
    <xf numFmtId="0" fontId="26" fillId="13" borderId="379" xfId="0" applyFont="1" applyFill="1" applyBorder="1" applyAlignment="1">
      <alignment horizontal="center" wrapText="1"/>
    </xf>
    <xf numFmtId="0" fontId="26" fillId="13" borderId="374" xfId="0" applyFont="1" applyFill="1" applyBorder="1" applyAlignment="1">
      <alignment horizontal="center" wrapText="1"/>
    </xf>
    <xf numFmtId="0" fontId="15" fillId="14" borderId="370" xfId="0" applyFont="1" applyFill="1" applyBorder="1" applyAlignment="1">
      <alignment horizontal="center" wrapText="1"/>
    </xf>
    <xf numFmtId="0" fontId="25" fillId="14" borderId="373" xfId="0" applyFont="1" applyFill="1" applyBorder="1" applyAlignment="1">
      <alignment horizontal="left" wrapText="1"/>
    </xf>
    <xf numFmtId="0" fontId="25" fillId="14" borderId="363" xfId="0" applyFont="1" applyFill="1" applyBorder="1" applyAlignment="1">
      <alignment horizontal="left" wrapText="1"/>
    </xf>
    <xf numFmtId="0" fontId="12" fillId="14" borderId="369" xfId="0" applyFont="1" applyFill="1" applyBorder="1" applyAlignment="1">
      <alignment horizontal="center" wrapText="1"/>
    </xf>
    <xf numFmtId="0" fontId="26" fillId="14" borderId="374" xfId="0" applyFont="1" applyFill="1" applyBorder="1" applyAlignment="1">
      <alignment horizontal="center" wrapText="1"/>
    </xf>
    <xf numFmtId="0" fontId="26" fillId="14" borderId="370" xfId="0" applyFont="1" applyFill="1" applyBorder="1" applyAlignment="1">
      <alignment horizontal="center" wrapText="1"/>
    </xf>
    <xf numFmtId="0" fontId="26" fillId="14" borderId="371" xfId="0" applyFont="1" applyFill="1" applyBorder="1" applyAlignment="1">
      <alignment horizontal="center" wrapText="1"/>
    </xf>
    <xf numFmtId="0" fontId="73" fillId="0" borderId="235" xfId="0" applyFont="1" applyBorder="1" applyAlignment="1">
      <alignment horizontal="left" vertical="center" wrapText="1"/>
    </xf>
    <xf numFmtId="0" fontId="21" fillId="0" borderId="26" xfId="0" applyFont="1" applyBorder="1" applyAlignment="1"/>
    <xf numFmtId="0" fontId="73" fillId="0" borderId="27" xfId="0" applyFont="1" applyBorder="1" applyAlignment="1">
      <alignment horizontal="left"/>
    </xf>
    <xf numFmtId="0" fontId="21" fillId="0" borderId="28" xfId="0" applyFont="1" applyBorder="1" applyAlignment="1"/>
    <xf numFmtId="0" fontId="21" fillId="0" borderId="49"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65" xfId="0" applyFont="1" applyBorder="1" applyAlignment="1">
      <alignment horizontal="center" vertical="center" wrapText="1"/>
    </xf>
    <xf numFmtId="0" fontId="12" fillId="14" borderId="350" xfId="0" applyFont="1" applyFill="1" applyBorder="1" applyAlignment="1">
      <alignment horizontal="center" wrapText="1"/>
    </xf>
    <xf numFmtId="0" fontId="15" fillId="14" borderId="351" xfId="0" applyFont="1" applyFill="1" applyBorder="1" applyAlignment="1">
      <alignment horizontal="center" wrapText="1"/>
    </xf>
    <xf numFmtId="0" fontId="25" fillId="14" borderId="354" xfId="0" applyFont="1" applyFill="1" applyBorder="1" applyAlignment="1">
      <alignment horizontal="left" wrapText="1"/>
    </xf>
    <xf numFmtId="0" fontId="26" fillId="14" borderId="355" xfId="0" applyFont="1" applyFill="1" applyBorder="1" applyAlignment="1">
      <alignment horizontal="center" wrapText="1"/>
    </xf>
    <xf numFmtId="0" fontId="26" fillId="14" borderId="351" xfId="0" applyFont="1" applyFill="1" applyBorder="1" applyAlignment="1">
      <alignment horizontal="center" wrapText="1"/>
    </xf>
    <xf numFmtId="0" fontId="26" fillId="14" borderId="352" xfId="0" applyFont="1" applyFill="1" applyBorder="1" applyAlignment="1">
      <alignment horizontal="center" wrapText="1"/>
    </xf>
    <xf numFmtId="0" fontId="26" fillId="13" borderId="356" xfId="0" applyFont="1" applyFill="1" applyBorder="1" applyAlignment="1">
      <alignment horizontal="center" wrapText="1"/>
    </xf>
    <xf numFmtId="0" fontId="26" fillId="13" borderId="357" xfId="0" applyFont="1" applyFill="1" applyBorder="1" applyAlignment="1">
      <alignment horizontal="center" wrapText="1"/>
    </xf>
    <xf numFmtId="0" fontId="26" fillId="13" borderId="359" xfId="0" applyFont="1" applyFill="1" applyBorder="1" applyAlignment="1">
      <alignment horizontal="center" wrapText="1"/>
    </xf>
    <xf numFmtId="0" fontId="25" fillId="13" borderId="349" xfId="0" applyFont="1" applyFill="1" applyBorder="1" applyAlignment="1">
      <alignment horizontal="left" wrapText="1"/>
    </xf>
    <xf numFmtId="0" fontId="34" fillId="13" borderId="350" xfId="0" applyFont="1" applyFill="1" applyBorder="1" applyAlignment="1">
      <alignment horizontal="center" wrapText="1"/>
    </xf>
    <xf numFmtId="0" fontId="26" fillId="13" borderId="360" xfId="0" applyFont="1" applyFill="1" applyBorder="1" applyAlignment="1">
      <alignment horizontal="center" wrapText="1"/>
    </xf>
    <xf numFmtId="0" fontId="26" fillId="13" borderId="355" xfId="0" applyFont="1" applyFill="1" applyBorder="1" applyAlignment="1">
      <alignment horizontal="center" wrapText="1"/>
    </xf>
    <xf numFmtId="0" fontId="25" fillId="12" borderId="354" xfId="0" applyFont="1" applyFill="1" applyBorder="1" applyAlignment="1">
      <alignment horizontal="left" wrapText="1"/>
    </xf>
    <xf numFmtId="0" fontId="34" fillId="12" borderId="350" xfId="0" applyFont="1" applyFill="1" applyBorder="1" applyAlignment="1">
      <alignment horizontal="center" wrapText="1"/>
    </xf>
    <xf numFmtId="0" fontId="25" fillId="13" borderId="354" xfId="0" applyFont="1" applyFill="1" applyBorder="1" applyAlignment="1">
      <alignment horizontal="left" wrapText="1"/>
    </xf>
    <xf numFmtId="0" fontId="26" fillId="12" borderId="355" xfId="0" applyFont="1" applyFill="1" applyBorder="1" applyAlignment="1">
      <alignment horizontal="center" wrapText="1"/>
    </xf>
    <xf numFmtId="0" fontId="14" fillId="3" borderId="351" xfId="0" applyFont="1" applyFill="1" applyBorder="1" applyAlignment="1">
      <alignment horizontal="center" wrapText="1"/>
    </xf>
    <xf numFmtId="0" fontId="13" fillId="3" borderId="351" xfId="0" applyFont="1" applyFill="1" applyBorder="1" applyAlignment="1">
      <alignment horizontal="center" wrapText="1"/>
    </xf>
    <xf numFmtId="0" fontId="13" fillId="3" borderId="352" xfId="0" applyFont="1" applyFill="1" applyBorder="1" applyAlignment="1">
      <alignment horizontal="center" wrapText="1"/>
    </xf>
    <xf numFmtId="0" fontId="25" fillId="8" borderId="354" xfId="0" applyFont="1" applyFill="1" applyBorder="1" applyAlignment="1">
      <alignment horizontal="left"/>
    </xf>
    <xf numFmtId="0" fontId="26" fillId="8" borderId="355" xfId="0" applyFont="1" applyFill="1" applyBorder="1" applyAlignment="1">
      <alignment horizontal="left" wrapText="1"/>
    </xf>
    <xf numFmtId="0" fontId="1" fillId="0" borderId="49" xfId="0" applyFont="1" applyBorder="1" applyAlignment="1">
      <alignment horizontal="center" vertical="center" wrapText="1"/>
    </xf>
    <xf numFmtId="0" fontId="142" fillId="0" borderId="42" xfId="0" applyFont="1" applyBorder="1" applyAlignment="1">
      <alignment horizontal="center" vertical="center" wrapText="1"/>
    </xf>
    <xf numFmtId="0" fontId="141" fillId="0" borderId="235" xfId="0" applyFont="1" applyBorder="1" applyAlignment="1">
      <alignment horizontal="center" vertical="center" wrapText="1"/>
    </xf>
    <xf numFmtId="0" fontId="141" fillId="0" borderId="27" xfId="0" applyFont="1" applyBorder="1" applyAlignment="1">
      <alignment horizontal="center" vertical="center" wrapText="1"/>
    </xf>
    <xf numFmtId="0" fontId="143" fillId="0" borderId="235" xfId="0" applyFont="1" applyBorder="1" applyAlignment="1">
      <alignment horizontal="center" vertical="center" wrapText="1"/>
    </xf>
    <xf numFmtId="0" fontId="141" fillId="0" borderId="26" xfId="0" applyFont="1" applyBorder="1" applyAlignment="1">
      <alignment horizontal="center" vertical="center" wrapText="1"/>
    </xf>
    <xf numFmtId="0" fontId="143" fillId="0" borderId="27" xfId="0" applyFont="1" applyBorder="1" applyAlignment="1">
      <alignment horizontal="center" vertical="center" wrapText="1"/>
    </xf>
    <xf numFmtId="0" fontId="141" fillId="0" borderId="28" xfId="0" applyFont="1" applyBorder="1" applyAlignment="1">
      <alignment horizontal="center" vertical="center" wrapText="1"/>
    </xf>
    <xf numFmtId="0" fontId="141" fillId="0" borderId="235" xfId="0" applyFont="1" applyBorder="1" applyAlignment="1">
      <alignment horizontal="center"/>
    </xf>
    <xf numFmtId="0" fontId="141" fillId="0" borderId="27" xfId="0" applyFont="1" applyBorder="1" applyAlignment="1">
      <alignment horizontal="center"/>
    </xf>
    <xf numFmtId="0" fontId="0" fillId="0" borderId="43" xfId="0" applyNumberFormat="1" applyBorder="1" applyAlignment="1">
      <alignment wrapText="1"/>
    </xf>
    <xf numFmtId="0" fontId="0" fillId="0" borderId="26" xfId="0" applyNumberFormat="1" applyBorder="1" applyAlignment="1">
      <alignment wrapText="1"/>
    </xf>
    <xf numFmtId="0" fontId="0" fillId="0" borderId="28" xfId="0" applyNumberFormat="1" applyBorder="1" applyAlignment="1">
      <alignment wrapText="1"/>
    </xf>
    <xf numFmtId="0" fontId="138" fillId="0" borderId="235" xfId="0" applyFont="1" applyBorder="1" applyAlignment="1">
      <alignment horizontal="center" vertical="center" wrapText="1"/>
    </xf>
    <xf numFmtId="0" fontId="137" fillId="0" borderId="26" xfId="0" applyFont="1" applyBorder="1" applyAlignment="1">
      <alignment horizontal="center" vertical="center" wrapText="1"/>
    </xf>
    <xf numFmtId="0" fontId="138" fillId="0" borderId="27" xfId="0" applyFont="1" applyBorder="1" applyAlignment="1">
      <alignment horizontal="center" vertical="center" wrapText="1"/>
    </xf>
    <xf numFmtId="0" fontId="137" fillId="0" borderId="28" xfId="0" applyFont="1" applyBorder="1" applyAlignment="1">
      <alignment horizontal="center" vertical="center" wrapText="1"/>
    </xf>
    <xf numFmtId="0" fontId="137" fillId="0" borderId="235" xfId="0" applyFont="1" applyBorder="1" applyAlignment="1">
      <alignment horizontal="center" vertical="center" wrapText="1"/>
    </xf>
    <xf numFmtId="0" fontId="137" fillId="0" borderId="26" xfId="0" applyFont="1" applyBorder="1" applyAlignment="1">
      <alignment horizontal="center"/>
    </xf>
    <xf numFmtId="0" fontId="137" fillId="0" borderId="27" xfId="0" applyFont="1" applyBorder="1" applyAlignment="1">
      <alignment horizontal="center"/>
    </xf>
    <xf numFmtId="0" fontId="137" fillId="0" borderId="28" xfId="0" applyFont="1" applyBorder="1" applyAlignment="1">
      <alignment horizontal="center"/>
    </xf>
    <xf numFmtId="0" fontId="141" fillId="0" borderId="79" xfId="0" applyFont="1" applyBorder="1" applyAlignment="1">
      <alignment horizontal="center" wrapText="1"/>
    </xf>
    <xf numFmtId="0" fontId="141" fillId="0" borderId="43" xfId="0" applyFont="1" applyBorder="1" applyAlignment="1">
      <alignment horizontal="center" wrapText="1"/>
    </xf>
    <xf numFmtId="0" fontId="141" fillId="0" borderId="40" xfId="0" applyFont="1" applyBorder="1" applyAlignment="1">
      <alignment horizontal="center" wrapText="1"/>
    </xf>
    <xf numFmtId="0" fontId="141" fillId="0" borderId="26" xfId="0" applyFont="1" applyBorder="1" applyAlignment="1">
      <alignment horizontal="center" wrapText="1"/>
    </xf>
    <xf numFmtId="0" fontId="141" fillId="0" borderId="83" xfId="0" applyFont="1" applyBorder="1" applyAlignment="1">
      <alignment horizontal="center" wrapText="1"/>
    </xf>
    <xf numFmtId="0" fontId="141" fillId="0" borderId="28" xfId="0" applyFont="1" applyBorder="1" applyAlignment="1">
      <alignment horizontal="center" wrapText="1"/>
    </xf>
    <xf numFmtId="0" fontId="140" fillId="0" borderId="235" xfId="0" applyFont="1" applyBorder="1" applyAlignment="1">
      <alignment horizontal="center" vertical="center" wrapText="1"/>
    </xf>
    <xf numFmtId="0" fontId="140" fillId="0" borderId="26" xfId="0" applyFont="1" applyBorder="1" applyAlignment="1">
      <alignment horizontal="center"/>
    </xf>
    <xf numFmtId="0" fontId="140" fillId="0" borderId="27" xfId="0" applyFont="1" applyBorder="1" applyAlignment="1">
      <alignment horizontal="center"/>
    </xf>
    <xf numFmtId="0" fontId="140" fillId="0" borderId="28" xfId="0" applyFont="1" applyBorder="1" applyAlignment="1">
      <alignment horizontal="center"/>
    </xf>
    <xf numFmtId="0" fontId="137" fillId="0" borderId="235" xfId="0" applyFont="1" applyBorder="1" applyAlignment="1">
      <alignment horizontal="center"/>
    </xf>
    <xf numFmtId="0" fontId="139" fillId="0" borderId="235" xfId="0" applyFont="1" applyBorder="1" applyAlignment="1">
      <alignment horizontal="center" vertical="center" wrapText="1"/>
    </xf>
    <xf numFmtId="0" fontId="135" fillId="0" borderId="235" xfId="0" applyFont="1" applyBorder="1" applyAlignment="1">
      <alignment horizontal="center" vertical="center" wrapText="1"/>
    </xf>
    <xf numFmtId="0" fontId="0" fillId="0" borderId="235" xfId="0" applyBorder="1" applyAlignment="1"/>
    <xf numFmtId="0" fontId="0" fillId="0" borderId="0" xfId="0" applyAlignment="1"/>
    <xf numFmtId="0" fontId="136" fillId="0" borderId="26" xfId="0" applyFont="1" applyBorder="1" applyAlignment="1">
      <alignment horizontal="center" vertical="center" wrapText="1"/>
    </xf>
    <xf numFmtId="0" fontId="135" fillId="0" borderId="27" xfId="0" applyFont="1" applyBorder="1" applyAlignment="1">
      <alignment horizontal="center" vertical="center" wrapText="1"/>
    </xf>
    <xf numFmtId="0" fontId="136" fillId="0" borderId="28" xfId="0" applyFont="1" applyBorder="1" applyAlignment="1">
      <alignment horizontal="center" vertical="center" wrapText="1"/>
    </xf>
    <xf numFmtId="0" fontId="0" fillId="4" borderId="235" xfId="0" applyFill="1" applyBorder="1" applyAlignment="1">
      <alignment horizontal="center"/>
    </xf>
    <xf numFmtId="0" fontId="0" fillId="4" borderId="0" xfId="0" applyFill="1" applyBorder="1" applyAlignment="1">
      <alignment horizontal="center"/>
    </xf>
    <xf numFmtId="0" fontId="26" fillId="14" borderId="364" xfId="0" applyFont="1" applyFill="1" applyBorder="1" applyAlignment="1">
      <alignment horizontal="center" wrapText="1"/>
    </xf>
    <xf numFmtId="0" fontId="26" fillId="14" borderId="353" xfId="0" applyFont="1" applyFill="1" applyBorder="1" applyAlignment="1">
      <alignment horizontal="center" wrapText="1"/>
    </xf>
    <xf numFmtId="0" fontId="26" fillId="14" borderId="365" xfId="0" applyFont="1" applyFill="1" applyBorder="1" applyAlignment="1">
      <alignment horizontal="center" wrapText="1"/>
    </xf>
    <xf numFmtId="0" fontId="26" fillId="0" borderId="26" xfId="0" applyFont="1" applyBorder="1" applyAlignment="1">
      <alignment horizontal="left" vertical="center" wrapText="1"/>
    </xf>
    <xf numFmtId="0" fontId="26" fillId="0" borderId="27" xfId="0" applyFont="1" applyBorder="1" applyAlignment="1">
      <alignment horizontal="left" vertical="center" wrapText="1"/>
    </xf>
    <xf numFmtId="0" fontId="26" fillId="0" borderId="28" xfId="0" applyFont="1" applyBorder="1" applyAlignment="1">
      <alignment horizontal="left" vertical="center" wrapText="1"/>
    </xf>
    <xf numFmtId="0" fontId="12" fillId="14" borderId="354" xfId="0" applyFont="1" applyFill="1" applyBorder="1" applyAlignment="1">
      <alignment horizontal="left"/>
    </xf>
    <xf numFmtId="0" fontId="12" fillId="14" borderId="366" xfId="0" applyFont="1" applyFill="1" applyBorder="1" applyAlignment="1">
      <alignment horizontal="left"/>
    </xf>
    <xf numFmtId="0" fontId="15" fillId="14" borderId="350" xfId="0" applyFont="1" applyFill="1" applyBorder="1" applyAlignment="1">
      <alignment horizontal="center" wrapText="1"/>
    </xf>
    <xf numFmtId="0" fontId="15" fillId="14" borderId="53" xfId="0" applyFont="1" applyFill="1" applyBorder="1" applyAlignment="1">
      <alignment horizontal="center" wrapText="1"/>
    </xf>
    <xf numFmtId="0" fontId="15" fillId="14" borderId="275" xfId="0" applyFont="1" applyFill="1" applyBorder="1" applyAlignment="1">
      <alignment horizontal="center" wrapText="1"/>
    </xf>
    <xf numFmtId="0" fontId="15" fillId="14" borderId="352" xfId="0" applyFont="1" applyFill="1" applyBorder="1" applyAlignment="1">
      <alignment horizontal="center" wrapText="1"/>
    </xf>
    <xf numFmtId="0" fontId="29" fillId="0" borderId="26" xfId="0" applyFont="1" applyBorder="1" applyAlignment="1">
      <alignment horizontal="left" vertical="center" wrapText="1"/>
    </xf>
    <xf numFmtId="0" fontId="29" fillId="0" borderId="27" xfId="0" applyFont="1" applyBorder="1" applyAlignment="1">
      <alignment horizontal="left" vertical="center" wrapText="1"/>
    </xf>
    <xf numFmtId="0" fontId="29" fillId="0" borderId="28" xfId="0" applyFont="1" applyBorder="1" applyAlignment="1">
      <alignment horizontal="left" vertical="center" wrapText="1"/>
    </xf>
    <xf numFmtId="0" fontId="26" fillId="0" borderId="43" xfId="0" applyFont="1" applyBorder="1" applyAlignment="1">
      <alignment horizontal="left" wrapText="1"/>
    </xf>
    <xf numFmtId="0" fontId="26" fillId="0" borderId="26" xfId="0" applyFont="1" applyBorder="1" applyAlignment="1">
      <alignment horizontal="left" wrapText="1"/>
    </xf>
    <xf numFmtId="0" fontId="26" fillId="0" borderId="28" xfId="0" applyFont="1" applyBorder="1" applyAlignment="1">
      <alignment horizontal="left" wrapText="1"/>
    </xf>
    <xf numFmtId="0" fontId="23" fillId="0" borderId="43" xfId="0" applyFont="1" applyBorder="1" applyAlignment="1">
      <alignment horizontal="left" vertical="center" wrapText="1"/>
    </xf>
    <xf numFmtId="0" fontId="23" fillId="0" borderId="26" xfId="0" applyFont="1" applyBorder="1" applyAlignment="1">
      <alignment horizontal="left" vertical="center" wrapText="1"/>
    </xf>
    <xf numFmtId="0" fontId="23" fillId="0" borderId="28" xfId="0" applyFont="1" applyBorder="1" applyAlignment="1">
      <alignment horizontal="left" vertical="center" wrapText="1"/>
    </xf>
    <xf numFmtId="0" fontId="15" fillId="0" borderId="26" xfId="0" applyFont="1" applyBorder="1" applyAlignment="1">
      <alignment horizontal="left" vertical="center" wrapText="1"/>
    </xf>
    <xf numFmtId="0" fontId="15" fillId="0" borderId="28"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6" fillId="0" borderId="28" xfId="0" applyFont="1" applyBorder="1" applyAlignment="1">
      <alignment horizontal="left" vertical="center" wrapText="1"/>
    </xf>
    <xf numFmtId="0" fontId="0" fillId="4" borderId="235" xfId="0" applyFill="1" applyBorder="1" applyAlignment="1">
      <alignment horizontal="left" vertical="center"/>
    </xf>
    <xf numFmtId="0" fontId="0" fillId="4" borderId="0" xfId="0" applyFill="1" applyBorder="1" applyAlignment="1">
      <alignment horizontal="left" vertical="center"/>
    </xf>
    <xf numFmtId="0" fontId="0" fillId="4" borderId="235" xfId="0" applyFill="1" applyBorder="1" applyAlignment="1">
      <alignment horizontal="left"/>
    </xf>
    <xf numFmtId="0" fontId="0" fillId="4" borderId="0" xfId="0" applyFill="1" applyBorder="1" applyAlignment="1">
      <alignment horizontal="left"/>
    </xf>
    <xf numFmtId="0" fontId="22" fillId="4" borderId="0" xfId="0" applyFont="1" applyFill="1" applyBorder="1" applyAlignment="1">
      <alignment horizontal="left" vertical="center" wrapText="1"/>
    </xf>
    <xf numFmtId="0" fontId="22" fillId="4" borderId="0" xfId="0" applyFont="1" applyFill="1" applyBorder="1" applyAlignment="1">
      <alignment horizontal="left" vertical="top" wrapText="1"/>
    </xf>
    <xf numFmtId="0" fontId="24" fillId="4" borderId="0" xfId="0" applyFont="1" applyFill="1" applyBorder="1" applyAlignment="1">
      <alignment horizontal="left" wrapText="1"/>
    </xf>
    <xf numFmtId="0" fontId="14" fillId="3" borderId="352" xfId="0" applyFont="1" applyFill="1" applyBorder="1" applyAlignment="1">
      <alignment horizontal="center" wrapText="1"/>
    </xf>
    <xf numFmtId="0" fontId="24" fillId="4" borderId="235" xfId="0" applyFont="1" applyFill="1" applyBorder="1" applyAlignment="1">
      <alignment horizontal="left" wrapText="1"/>
    </xf>
    <xf numFmtId="0" fontId="15" fillId="0" borderId="235" xfId="0" applyFont="1" applyBorder="1" applyAlignment="1">
      <alignment horizontal="left" vertical="top" wrapText="1"/>
    </xf>
    <xf numFmtId="0" fontId="44" fillId="0" borderId="49" xfId="0" applyFont="1" applyBorder="1" applyAlignment="1">
      <alignment horizontal="left" vertical="top" wrapText="1"/>
    </xf>
    <xf numFmtId="0" fontId="16" fillId="0" borderId="42" xfId="0" applyFont="1" applyBorder="1" applyAlignment="1">
      <alignment horizontal="left" vertical="top" wrapText="1"/>
    </xf>
    <xf numFmtId="0" fontId="0" fillId="0" borderId="43" xfId="0" applyBorder="1" applyAlignment="1">
      <alignment horizontal="left" vertical="top" wrapText="1"/>
    </xf>
    <xf numFmtId="0" fontId="16" fillId="0" borderId="235" xfId="0" applyFont="1" applyBorder="1" applyAlignment="1">
      <alignment horizontal="left" vertical="top" wrapText="1"/>
    </xf>
    <xf numFmtId="0" fontId="16" fillId="0" borderId="27" xfId="0" applyFont="1" applyBorder="1" applyAlignment="1">
      <alignment horizontal="left" vertical="top" wrapText="1"/>
    </xf>
    <xf numFmtId="0" fontId="26" fillId="0" borderId="79" xfId="0" applyFont="1" applyBorder="1" applyAlignment="1">
      <alignment horizontal="left" vertical="top" wrapText="1"/>
    </xf>
    <xf numFmtId="0" fontId="26" fillId="0" borderId="40" xfId="0" applyFont="1" applyBorder="1" applyAlignment="1">
      <alignment horizontal="left" vertical="top" wrapText="1"/>
    </xf>
    <xf numFmtId="0" fontId="26" fillId="0" borderId="83" xfId="0" applyFont="1" applyBorder="1" applyAlignment="1">
      <alignment horizontal="left" vertical="top" wrapText="1"/>
    </xf>
    <xf numFmtId="0" fontId="54" fillId="0" borderId="235" xfId="0" applyFont="1" applyBorder="1" applyAlignment="1">
      <alignment horizontal="left" vertical="top" wrapText="1"/>
    </xf>
    <xf numFmtId="0" fontId="0" fillId="0" borderId="26" xfId="0" applyBorder="1" applyAlignment="1">
      <alignment horizontal="left" vertical="top"/>
    </xf>
    <xf numFmtId="0" fontId="26" fillId="0" borderId="235" xfId="0" applyFont="1" applyBorder="1" applyAlignment="1">
      <alignment horizontal="left" vertical="top" wrapText="1"/>
    </xf>
    <xf numFmtId="0" fontId="26" fillId="0" borderId="27" xfId="0" applyFont="1" applyBorder="1" applyAlignment="1">
      <alignment horizontal="left" vertical="top"/>
    </xf>
    <xf numFmtId="0" fontId="0" fillId="0" borderId="28" xfId="0" applyBorder="1" applyAlignment="1">
      <alignment horizontal="left" vertical="top"/>
    </xf>
    <xf numFmtId="0" fontId="23" fillId="0" borderId="235" xfId="0" applyFont="1" applyBorder="1" applyAlignment="1">
      <alignment horizontal="left" vertical="top" wrapText="1"/>
    </xf>
    <xf numFmtId="0" fontId="29" fillId="0" borderId="235" xfId="0" applyFont="1" applyBorder="1" applyAlignment="1">
      <alignment horizontal="left" vertical="top" wrapText="1"/>
    </xf>
    <xf numFmtId="0" fontId="54" fillId="0" borderId="235" xfId="0" applyFont="1" applyBorder="1" applyAlignment="1">
      <alignment horizontal="left" vertical="top" wrapText="1" readingOrder="1"/>
    </xf>
    <xf numFmtId="0" fontId="0" fillId="0" borderId="26" xfId="0" applyBorder="1" applyAlignment="1">
      <alignment horizontal="left" vertical="top" readingOrder="1"/>
    </xf>
    <xf numFmtId="0" fontId="26" fillId="0" borderId="235" xfId="0" applyFont="1" applyBorder="1" applyAlignment="1">
      <alignment horizontal="left" vertical="top" wrapText="1" readingOrder="1"/>
    </xf>
    <xf numFmtId="0" fontId="26" fillId="0" borderId="27" xfId="0" applyFont="1" applyBorder="1" applyAlignment="1">
      <alignment horizontal="left" vertical="top" readingOrder="1"/>
    </xf>
    <xf numFmtId="0" fontId="0" fillId="0" borderId="28" xfId="0" applyBorder="1" applyAlignment="1">
      <alignment horizontal="left" vertical="top" readingOrder="1"/>
    </xf>
    <xf numFmtId="0" fontId="54" fillId="0" borderId="235" xfId="0" applyFont="1" applyBorder="1" applyAlignment="1">
      <alignment horizontal="left" vertical="center"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8" fillId="0" borderId="235" xfId="0" applyFont="1" applyBorder="1" applyAlignment="1">
      <alignment horizontal="left" vertical="top" wrapText="1"/>
    </xf>
    <xf numFmtId="0" fontId="18" fillId="0" borderId="27" xfId="0" applyFont="1" applyBorder="1" applyAlignment="1">
      <alignment horizontal="left" vertical="top"/>
    </xf>
    <xf numFmtId="0" fontId="11" fillId="0" borderId="0" xfId="0" applyFont="1" applyAlignment="1"/>
    <xf numFmtId="0" fontId="144" fillId="0" borderId="0" xfId="0" applyFont="1" applyAlignment="1"/>
    <xf numFmtId="0" fontId="35" fillId="0" borderId="349" xfId="0" applyFont="1" applyBorder="1" applyAlignment="1">
      <alignment horizontal="left" vertical="top" wrapText="1"/>
    </xf>
    <xf numFmtId="0" fontId="0" fillId="0" borderId="367" xfId="0" applyBorder="1" applyAlignment="1">
      <alignment horizontal="left" vertical="top" wrapText="1"/>
    </xf>
    <xf numFmtId="0" fontId="21" fillId="0" borderId="235" xfId="3" applyFont="1" applyBorder="1" applyAlignment="1">
      <alignment horizontal="left" vertical="center" wrapText="1"/>
    </xf>
    <xf numFmtId="0" fontId="21" fillId="0" borderId="26" xfId="3" applyFont="1" applyBorder="1" applyAlignment="1">
      <alignment vertical="center" wrapText="1"/>
    </xf>
    <xf numFmtId="0" fontId="21" fillId="0" borderId="27" xfId="3" applyFont="1" applyBorder="1" applyAlignment="1">
      <alignment horizontal="left" vertical="center" wrapText="1"/>
    </xf>
    <xf numFmtId="0" fontId="21" fillId="0" borderId="28" xfId="3" applyFont="1" applyBorder="1" applyAlignment="1">
      <alignment vertical="center" wrapText="1"/>
    </xf>
    <xf numFmtId="0" fontId="25" fillId="14" borderId="388" xfId="0" applyFont="1" applyFill="1" applyBorder="1" applyAlignment="1">
      <alignment horizontal="left" wrapText="1"/>
    </xf>
    <xf numFmtId="0" fontId="25" fillId="12" borderId="388" xfId="0" applyFont="1" applyFill="1" applyBorder="1" applyAlignment="1">
      <alignment horizontal="left" wrapText="1"/>
    </xf>
    <xf numFmtId="0" fontId="25" fillId="13" borderId="388" xfId="0" applyFont="1" applyFill="1" applyBorder="1" applyAlignment="1">
      <alignment horizontal="left" wrapText="1"/>
    </xf>
    <xf numFmtId="0" fontId="14" fillId="3" borderId="384" xfId="0" applyFont="1" applyFill="1" applyBorder="1" applyAlignment="1">
      <alignment horizontal="center" wrapText="1"/>
    </xf>
    <xf numFmtId="0" fontId="35" fillId="0" borderId="235" xfId="0" applyFont="1" applyBorder="1" applyAlignment="1">
      <alignment horizontal="left" vertical="top" wrapText="1"/>
    </xf>
    <xf numFmtId="0" fontId="25" fillId="8" borderId="388" xfId="0" applyFont="1" applyFill="1" applyBorder="1" applyAlignment="1">
      <alignment horizontal="left"/>
    </xf>
    <xf numFmtId="2" fontId="24" fillId="4" borderId="21" xfId="0" applyNumberFormat="1" applyFont="1" applyFill="1" applyBorder="1"/>
    <xf numFmtId="164" fontId="102" fillId="0" borderId="218" xfId="2" applyFont="1" applyFill="1" applyBorder="1" applyAlignment="1">
      <alignment horizontal="left" vertical="top" wrapText="1"/>
    </xf>
    <xf numFmtId="164" fontId="102" fillId="0" borderId="225" xfId="2" applyFont="1" applyFill="1" applyBorder="1" applyAlignment="1">
      <alignment horizontal="left" vertical="top" wrapText="1"/>
    </xf>
    <xf numFmtId="165" fontId="158" fillId="0" borderId="216" xfId="2" applyNumberFormat="1" applyFont="1" applyBorder="1"/>
    <xf numFmtId="165" fontId="85" fillId="4" borderId="216" xfId="2" applyNumberFormat="1" applyFont="1" applyFill="1" applyBorder="1"/>
    <xf numFmtId="4" fontId="24" fillId="4" borderId="21" xfId="0" applyNumberFormat="1" applyFont="1" applyFill="1" applyBorder="1"/>
  </cellXfs>
  <cellStyles count="4">
    <cellStyle name="Excel Built-in Normal" xfId="2"/>
    <cellStyle name="Hiperłącze" xfId="3" builtinId="8"/>
    <cellStyle name="Normalny" xfId="0" builtinId="0"/>
    <cellStyle name="Normalny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Krajewska/Desktop/MOJE%20ZADANIA/MONITORING/2014-2020/sprawozdanie%20roczne%20z%20Planu%20Dzia&#322;ania%20za%20rok%202016%20(do%2020.02.2017)/MRiRW/IZ%20i%20JC_k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ZEM GZ"/>
      <sheetName val="RAZEM PB"/>
      <sheetName val="RAZEM ROW"/>
      <sheetName val="RAZEM SSO"/>
      <sheetName val="RAZEM SAR"/>
      <sheetName val="RAZEM RR"/>
      <sheetName val="RAZEM BPT"/>
      <sheetName val="WSS 2015 oraz WSS 2016"/>
    </sheetNames>
    <sheetDataSet>
      <sheetData sheetId="0">
        <row r="19">
          <cell r="G19">
            <v>1</v>
          </cell>
        </row>
        <row r="74">
          <cell r="G74">
            <v>0</v>
          </cell>
        </row>
        <row r="146">
          <cell r="I146">
            <v>0</v>
          </cell>
          <cell r="J146">
            <v>0</v>
          </cell>
          <cell r="K146">
            <v>0</v>
          </cell>
          <cell r="L146">
            <v>0</v>
          </cell>
          <cell r="M146">
            <v>0</v>
          </cell>
          <cell r="N146">
            <v>0</v>
          </cell>
        </row>
        <row r="157">
          <cell r="G157">
            <v>0</v>
          </cell>
        </row>
        <row r="180">
          <cell r="G180">
            <v>0</v>
          </cell>
        </row>
        <row r="191">
          <cell r="G191">
            <v>0</v>
          </cell>
        </row>
      </sheetData>
      <sheetData sheetId="1">
        <row r="19">
          <cell r="G19">
            <v>0</v>
          </cell>
        </row>
        <row r="74">
          <cell r="G74">
            <v>0</v>
          </cell>
        </row>
        <row r="146">
          <cell r="I146">
            <v>0</v>
          </cell>
          <cell r="J146">
            <v>0</v>
          </cell>
          <cell r="K146">
            <v>0</v>
          </cell>
          <cell r="L146">
            <v>0</v>
          </cell>
          <cell r="M146">
            <v>0</v>
          </cell>
          <cell r="N146">
            <v>0</v>
          </cell>
        </row>
        <row r="157">
          <cell r="G157">
            <v>0</v>
          </cell>
        </row>
        <row r="180">
          <cell r="G180">
            <v>19</v>
          </cell>
        </row>
        <row r="191">
          <cell r="G191">
            <v>493</v>
          </cell>
        </row>
      </sheetData>
      <sheetData sheetId="2">
        <row r="19">
          <cell r="G19">
            <v>1</v>
          </cell>
        </row>
        <row r="74">
          <cell r="G74">
            <v>0</v>
          </cell>
        </row>
        <row r="146">
          <cell r="I146">
            <v>11</v>
          </cell>
          <cell r="J146">
            <v>11</v>
          </cell>
          <cell r="K146">
            <v>2</v>
          </cell>
          <cell r="L146">
            <v>0</v>
          </cell>
          <cell r="M146">
            <v>0</v>
          </cell>
          <cell r="N146">
            <v>0</v>
          </cell>
        </row>
        <row r="157">
          <cell r="G157">
            <v>0</v>
          </cell>
        </row>
        <row r="180">
          <cell r="G180">
            <v>4</v>
          </cell>
        </row>
        <row r="191">
          <cell r="G191">
            <v>983</v>
          </cell>
        </row>
      </sheetData>
      <sheetData sheetId="3">
        <row r="19">
          <cell r="G19">
            <v>8</v>
          </cell>
        </row>
        <row r="74">
          <cell r="G74">
            <v>0</v>
          </cell>
        </row>
        <row r="146">
          <cell r="I146">
            <v>0</v>
          </cell>
          <cell r="J146">
            <v>0</v>
          </cell>
          <cell r="K146">
            <v>0</v>
          </cell>
          <cell r="L146">
            <v>0</v>
          </cell>
          <cell r="M146">
            <v>0</v>
          </cell>
          <cell r="N146">
            <v>0</v>
          </cell>
        </row>
        <row r="157">
          <cell r="G157">
            <v>0</v>
          </cell>
        </row>
        <row r="180">
          <cell r="G180">
            <v>0</v>
          </cell>
        </row>
        <row r="191">
          <cell r="G191">
            <v>0</v>
          </cell>
        </row>
      </sheetData>
      <sheetData sheetId="4">
        <row r="19">
          <cell r="G19">
            <v>6</v>
          </cell>
        </row>
        <row r="74">
          <cell r="G74">
            <v>0</v>
          </cell>
        </row>
        <row r="146">
          <cell r="I146">
            <v>1</v>
          </cell>
          <cell r="J146">
            <v>1</v>
          </cell>
          <cell r="K146">
            <v>0</v>
          </cell>
          <cell r="L146">
            <v>0</v>
          </cell>
          <cell r="M146">
            <v>0</v>
          </cell>
          <cell r="N146">
            <v>0</v>
          </cell>
        </row>
        <row r="157">
          <cell r="G157">
            <v>0</v>
          </cell>
        </row>
        <row r="180">
          <cell r="G180">
            <v>13</v>
          </cell>
        </row>
        <row r="191">
          <cell r="G191">
            <v>2370</v>
          </cell>
        </row>
      </sheetData>
      <sheetData sheetId="5">
        <row r="19">
          <cell r="G19">
            <v>12</v>
          </cell>
        </row>
        <row r="74">
          <cell r="G74">
            <v>183</v>
          </cell>
        </row>
        <row r="146">
          <cell r="I146">
            <v>0</v>
          </cell>
          <cell r="J146">
            <v>0</v>
          </cell>
          <cell r="K146">
            <v>0</v>
          </cell>
          <cell r="L146">
            <v>0</v>
          </cell>
          <cell r="M146">
            <v>0</v>
          </cell>
          <cell r="N146">
            <v>0</v>
          </cell>
        </row>
        <row r="157">
          <cell r="G157">
            <v>0</v>
          </cell>
        </row>
        <row r="180">
          <cell r="G180">
            <v>0</v>
          </cell>
        </row>
        <row r="191">
          <cell r="G191">
            <v>0</v>
          </cell>
        </row>
      </sheetData>
      <sheetData sheetId="6">
        <row r="19">
          <cell r="G19">
            <v>1</v>
          </cell>
        </row>
        <row r="74">
          <cell r="G74">
            <v>0</v>
          </cell>
        </row>
        <row r="146">
          <cell r="I146">
            <v>8</v>
          </cell>
          <cell r="J146">
            <v>8</v>
          </cell>
        </row>
        <row r="157">
          <cell r="G157">
            <v>0</v>
          </cell>
        </row>
        <row r="180">
          <cell r="G180">
            <v>0</v>
          </cell>
        </row>
        <row r="191">
          <cell r="G191">
            <v>0</v>
          </cell>
        </row>
      </sheetData>
      <sheetData sheetId="7"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Y227"/>
  <sheetViews>
    <sheetView topLeftCell="A202" workbookViewId="0">
      <selection activeCell="E220" sqref="E220"/>
    </sheetView>
  </sheetViews>
  <sheetFormatPr defaultColWidth="8.85546875" defaultRowHeight="15"/>
  <cols>
    <col min="1" max="1" width="91" customWidth="1"/>
    <col min="2" max="2" width="29.42578125" customWidth="1"/>
    <col min="3" max="3" width="16.140625" customWidth="1"/>
    <col min="4" max="6" width="17.7109375" customWidth="1"/>
    <col min="7" max="7" width="22.42578125" customWidth="1"/>
    <col min="8" max="8" width="24.85546875" customWidth="1"/>
    <col min="9" max="9" width="19.42578125" customWidth="1"/>
    <col min="10" max="10" width="20.85546875" customWidth="1"/>
    <col min="11" max="11" width="17.42578125" customWidth="1"/>
    <col min="12" max="12" width="15.42578125" customWidth="1"/>
    <col min="13" max="13" width="14.5703125" customWidth="1"/>
    <col min="14" max="14" width="14" customWidth="1"/>
    <col min="15" max="15" width="13.5703125" customWidth="1"/>
    <col min="16" max="16" width="18.7109375" customWidth="1"/>
    <col min="17" max="25" width="13.7109375" customWidth="1"/>
  </cols>
  <sheetData>
    <row r="1" spans="1:25" s="2" customFormat="1" ht="31.5">
      <c r="A1" s="1" t="s">
        <v>0</v>
      </c>
      <c r="B1" s="2076" t="s">
        <v>188</v>
      </c>
      <c r="C1" s="2077"/>
      <c r="D1" s="2077"/>
      <c r="E1" s="2077"/>
      <c r="F1" s="2077"/>
    </row>
    <row r="2" spans="1:25" s="2" customFormat="1" ht="20.100000000000001" customHeight="1" thickBot="1"/>
    <row r="3" spans="1:25" s="5" customFormat="1" ht="20.100000000000001" customHeight="1">
      <c r="A3" s="3" t="s">
        <v>1</v>
      </c>
      <c r="B3" s="4"/>
      <c r="C3" s="4"/>
      <c r="D3" s="4"/>
      <c r="E3" s="4"/>
      <c r="F3" s="2078"/>
      <c r="G3" s="2078"/>
      <c r="H3" s="2078"/>
      <c r="I3" s="2078"/>
      <c r="J3" s="2078"/>
      <c r="K3" s="2078"/>
      <c r="L3" s="2078"/>
      <c r="M3" s="2078"/>
      <c r="N3" s="2078"/>
      <c r="O3" s="2079"/>
    </row>
    <row r="4" spans="1:25" s="5" customFormat="1" ht="20.100000000000001" customHeight="1">
      <c r="A4" s="2080" t="s">
        <v>2</v>
      </c>
      <c r="B4" s="2081"/>
      <c r="C4" s="2081"/>
      <c r="D4" s="2081"/>
      <c r="E4" s="2081"/>
      <c r="F4" s="2081"/>
      <c r="G4" s="2081"/>
      <c r="H4" s="2081"/>
      <c r="I4" s="2081"/>
      <c r="J4" s="2081"/>
      <c r="K4" s="2081"/>
      <c r="L4" s="2081"/>
      <c r="M4" s="2081"/>
      <c r="N4" s="2081"/>
      <c r="O4" s="2082"/>
    </row>
    <row r="5" spans="1:25" s="5" customFormat="1" ht="20.100000000000001" customHeight="1">
      <c r="A5" s="2080"/>
      <c r="B5" s="2081"/>
      <c r="C5" s="2081"/>
      <c r="D5" s="2081"/>
      <c r="E5" s="2081"/>
      <c r="F5" s="2081"/>
      <c r="G5" s="2081"/>
      <c r="H5" s="2081"/>
      <c r="I5" s="2081"/>
      <c r="J5" s="2081"/>
      <c r="K5" s="2081"/>
      <c r="L5" s="2081"/>
      <c r="M5" s="2081"/>
      <c r="N5" s="2081"/>
      <c r="O5" s="2082"/>
    </row>
    <row r="6" spans="1:25" s="5" customFormat="1" ht="20.100000000000001" customHeight="1">
      <c r="A6" s="2080"/>
      <c r="B6" s="2081"/>
      <c r="C6" s="2081"/>
      <c r="D6" s="2081"/>
      <c r="E6" s="2081"/>
      <c r="F6" s="2081"/>
      <c r="G6" s="2081"/>
      <c r="H6" s="2081"/>
      <c r="I6" s="2081"/>
      <c r="J6" s="2081"/>
      <c r="K6" s="2081"/>
      <c r="L6" s="2081"/>
      <c r="M6" s="2081"/>
      <c r="N6" s="2081"/>
      <c r="O6" s="2082"/>
    </row>
    <row r="7" spans="1:25" s="5" customFormat="1" ht="20.100000000000001" customHeight="1">
      <c r="A7" s="2080"/>
      <c r="B7" s="2081"/>
      <c r="C7" s="2081"/>
      <c r="D7" s="2081"/>
      <c r="E7" s="2081"/>
      <c r="F7" s="2081"/>
      <c r="G7" s="2081"/>
      <c r="H7" s="2081"/>
      <c r="I7" s="2081"/>
      <c r="J7" s="2081"/>
      <c r="K7" s="2081"/>
      <c r="L7" s="2081"/>
      <c r="M7" s="2081"/>
      <c r="N7" s="2081"/>
      <c r="O7" s="2082"/>
    </row>
    <row r="8" spans="1:25" s="5" customFormat="1" ht="20.100000000000001" customHeight="1">
      <c r="A8" s="2080"/>
      <c r="B8" s="2081"/>
      <c r="C8" s="2081"/>
      <c r="D8" s="2081"/>
      <c r="E8" s="2081"/>
      <c r="F8" s="2081"/>
      <c r="G8" s="2081"/>
      <c r="H8" s="2081"/>
      <c r="I8" s="2081"/>
      <c r="J8" s="2081"/>
      <c r="K8" s="2081"/>
      <c r="L8" s="2081"/>
      <c r="M8" s="2081"/>
      <c r="N8" s="2081"/>
      <c r="O8" s="2082"/>
    </row>
    <row r="9" spans="1:25" s="5" customFormat="1" ht="20.100000000000001" customHeight="1">
      <c r="A9" s="2080"/>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8.25" customHeight="1" thickBot="1">
      <c r="P14" s="8"/>
      <c r="Q14" s="8"/>
      <c r="R14" s="8"/>
      <c r="S14" s="8"/>
      <c r="T14" s="8"/>
      <c r="U14" s="8"/>
      <c r="V14" s="8"/>
      <c r="W14" s="8"/>
      <c r="X14" s="8"/>
    </row>
    <row r="15" spans="1:25" s="19" customFormat="1" ht="29.25" customHeight="1">
      <c r="A15" s="9"/>
      <c r="B15" s="10"/>
      <c r="C15" s="11"/>
      <c r="D15" s="2086" t="s">
        <v>4</v>
      </c>
      <c r="E15" s="2087"/>
      <c r="F15" s="2087"/>
      <c r="G15" s="2087"/>
      <c r="H15" s="12"/>
      <c r="I15" s="13" t="s">
        <v>5</v>
      </c>
      <c r="J15" s="14"/>
      <c r="K15" s="14"/>
      <c r="L15" s="14"/>
      <c r="M15" s="14"/>
      <c r="N15" s="14"/>
      <c r="O15" s="15"/>
      <c r="P15" s="16"/>
      <c r="Q15" s="17"/>
      <c r="R15" s="18"/>
      <c r="S15" s="18"/>
      <c r="T15" s="18"/>
      <c r="U15" s="18"/>
      <c r="V15" s="18"/>
      <c r="W15" s="16"/>
      <c r="X15" s="16"/>
      <c r="Y15" s="17"/>
    </row>
    <row r="16" spans="1:25" s="31" customFormat="1" ht="154.5" customHeight="1">
      <c r="A16" s="20"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088" t="s">
        <v>21</v>
      </c>
      <c r="B17" s="2089"/>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088"/>
      <c r="B18" s="2089"/>
      <c r="C18" s="39">
        <v>2015</v>
      </c>
      <c r="D18" s="40">
        <f>1+7+2</f>
        <v>10</v>
      </c>
      <c r="E18" s="41">
        <f>3</f>
        <v>3</v>
      </c>
      <c r="F18" s="42"/>
      <c r="G18" s="35">
        <f>SUM(D18:F18)</f>
        <v>13</v>
      </c>
      <c r="H18" s="43">
        <f>1</f>
        <v>1</v>
      </c>
      <c r="I18" s="41">
        <f>4</f>
        <v>4</v>
      </c>
      <c r="J18" s="41"/>
      <c r="K18" s="41">
        <f>5</f>
        <v>5</v>
      </c>
      <c r="L18" s="41">
        <v>2</v>
      </c>
      <c r="M18" s="41"/>
      <c r="N18" s="41"/>
      <c r="O18" s="44">
        <v>1</v>
      </c>
      <c r="P18" s="38"/>
      <c r="Q18" s="38"/>
      <c r="R18" s="38"/>
      <c r="S18" s="38"/>
      <c r="T18" s="38"/>
      <c r="U18" s="38"/>
      <c r="V18" s="38"/>
      <c r="W18" s="38"/>
      <c r="X18" s="38"/>
      <c r="Y18" s="38"/>
    </row>
    <row r="19" spans="1:25">
      <c r="A19" s="2088"/>
      <c r="B19" s="2089"/>
      <c r="C19" s="39">
        <v>2016</v>
      </c>
      <c r="D19" s="45">
        <f>5+8</f>
        <v>13</v>
      </c>
      <c r="E19" s="1977">
        <v>2</v>
      </c>
      <c r="F19" s="46">
        <f>4-2</f>
        <v>2</v>
      </c>
      <c r="G19" s="47">
        <f t="shared" si="0"/>
        <v>17</v>
      </c>
      <c r="H19" s="48">
        <f>1+2</f>
        <v>3</v>
      </c>
      <c r="I19" s="46">
        <f>3</f>
        <v>3</v>
      </c>
      <c r="J19" s="46"/>
      <c r="K19" s="46">
        <f>2</f>
        <v>2</v>
      </c>
      <c r="L19" s="46"/>
      <c r="M19" s="46"/>
      <c r="N19" s="46"/>
      <c r="O19" s="49">
        <f>11-2</f>
        <v>9</v>
      </c>
      <c r="P19" s="38"/>
      <c r="Q19" s="38"/>
      <c r="R19" s="38"/>
      <c r="S19" s="38"/>
      <c r="T19" s="38"/>
      <c r="U19" s="38"/>
      <c r="V19" s="38"/>
      <c r="W19" s="38"/>
      <c r="X19" s="38"/>
      <c r="Y19" s="38"/>
    </row>
    <row r="20" spans="1:25">
      <c r="A20" s="2088"/>
      <c r="B20" s="2089"/>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2088"/>
      <c r="B21" s="2089"/>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2088"/>
      <c r="B22" s="2089"/>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2088"/>
      <c r="B23" s="2089"/>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39" customHeight="1" thickBot="1">
      <c r="A24" s="2090"/>
      <c r="B24" s="2091"/>
      <c r="C24" s="54" t="s">
        <v>12</v>
      </c>
      <c r="D24" s="55">
        <f>SUM(D17:D23)</f>
        <v>23</v>
      </c>
      <c r="E24" s="56">
        <f>SUM(E17:E23)</f>
        <v>5</v>
      </c>
      <c r="F24" s="56">
        <f>SUM(F17:F23)</f>
        <v>2</v>
      </c>
      <c r="G24" s="57">
        <f>SUM(D24:F24)</f>
        <v>30</v>
      </c>
      <c r="H24" s="58">
        <f>SUM(H17:H23)</f>
        <v>4</v>
      </c>
      <c r="I24" s="59">
        <f>SUM(I17:I23)</f>
        <v>7</v>
      </c>
      <c r="J24" s="59">
        <f t="shared" ref="J24:N24" si="1">SUM(J17:J23)</f>
        <v>0</v>
      </c>
      <c r="K24" s="59">
        <f t="shared" si="1"/>
        <v>7</v>
      </c>
      <c r="L24" s="59">
        <f t="shared" si="1"/>
        <v>2</v>
      </c>
      <c r="M24" s="59">
        <f t="shared" si="1"/>
        <v>0</v>
      </c>
      <c r="N24" s="59">
        <f t="shared" si="1"/>
        <v>0</v>
      </c>
      <c r="O24" s="60">
        <f>SUM(O17:O23)</f>
        <v>10</v>
      </c>
      <c r="P24" s="61"/>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9"/>
      <c r="B26" s="10"/>
      <c r="C26" s="63"/>
      <c r="D26" s="2092" t="s">
        <v>4</v>
      </c>
      <c r="E26" s="2093"/>
      <c r="F26" s="2093"/>
      <c r="G26" s="2094"/>
      <c r="H26" s="16"/>
      <c r="I26" s="17"/>
      <c r="J26" s="18"/>
      <c r="K26" s="18"/>
      <c r="L26" s="18"/>
      <c r="M26" s="18"/>
      <c r="N26" s="18"/>
      <c r="O26" s="16"/>
      <c r="P26" s="16"/>
    </row>
    <row r="27" spans="1:25" s="31" customFormat="1" ht="93" customHeight="1">
      <c r="A27" s="64"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095" t="s">
        <v>23</v>
      </c>
      <c r="B28" s="2096"/>
      <c r="C28" s="68">
        <v>2014</v>
      </c>
      <c r="D28" s="36"/>
      <c r="E28" s="34"/>
      <c r="F28" s="34"/>
      <c r="G28" s="69">
        <f>SUM(D28:F28)</f>
        <v>0</v>
      </c>
      <c r="H28" s="38"/>
      <c r="I28" s="38"/>
      <c r="J28" s="38"/>
      <c r="K28" s="38"/>
      <c r="L28" s="38"/>
      <c r="M28" s="38"/>
      <c r="N28" s="38"/>
      <c r="O28" s="38"/>
      <c r="P28" s="38"/>
      <c r="Q28" s="8"/>
    </row>
    <row r="29" spans="1:25">
      <c r="A29" s="2095"/>
      <c r="B29" s="2096"/>
      <c r="C29" s="70">
        <v>2015</v>
      </c>
      <c r="D29" s="43">
        <f>2394+2000</f>
        <v>4394</v>
      </c>
      <c r="E29" s="41">
        <f>10000+11000+60000</f>
        <v>81000</v>
      </c>
      <c r="F29" s="42"/>
      <c r="G29" s="69">
        <f t="shared" ref="G29:G35" si="2">SUM(D29:F29)</f>
        <v>85394</v>
      </c>
      <c r="H29" s="38"/>
      <c r="I29" s="38"/>
      <c r="J29" s="38"/>
      <c r="K29" s="38"/>
      <c r="L29" s="38"/>
      <c r="M29" s="38"/>
      <c r="N29" s="38"/>
      <c r="O29" s="38"/>
      <c r="P29" s="38"/>
      <c r="Q29" s="8"/>
    </row>
    <row r="30" spans="1:25">
      <c r="A30" s="2095"/>
      <c r="B30" s="2096"/>
      <c r="C30" s="70">
        <v>2016</v>
      </c>
      <c r="D30" s="46">
        <f>2000+3000+6000+600+210+5000+2500+1000+2000+2000+40+80+45</f>
        <v>24475</v>
      </c>
      <c r="E30" s="71">
        <f>12000+60000</f>
        <v>72000</v>
      </c>
      <c r="F30" s="46">
        <f>400000+20000</f>
        <v>420000</v>
      </c>
      <c r="G30" s="69">
        <f t="shared" si="2"/>
        <v>516475</v>
      </c>
      <c r="H30" s="38"/>
      <c r="I30" s="38"/>
      <c r="J30" s="38"/>
      <c r="K30" s="38"/>
      <c r="L30" s="38"/>
      <c r="M30" s="38"/>
      <c r="N30" s="38"/>
      <c r="O30" s="38"/>
      <c r="P30" s="38"/>
      <c r="Q30" s="8"/>
    </row>
    <row r="31" spans="1:25">
      <c r="A31" s="2095"/>
      <c r="B31" s="2096"/>
      <c r="C31" s="70">
        <v>2017</v>
      </c>
      <c r="D31" s="51"/>
      <c r="E31" s="42"/>
      <c r="F31" s="42"/>
      <c r="G31" s="69">
        <f t="shared" si="2"/>
        <v>0</v>
      </c>
      <c r="H31" s="38"/>
      <c r="I31" s="38"/>
      <c r="J31" s="38"/>
      <c r="K31" s="38"/>
      <c r="L31" s="38"/>
      <c r="M31" s="38"/>
      <c r="N31" s="38"/>
      <c r="O31" s="38"/>
      <c r="P31" s="38"/>
      <c r="Q31" s="8"/>
    </row>
    <row r="32" spans="1:25">
      <c r="A32" s="2095"/>
      <c r="B32" s="2096"/>
      <c r="C32" s="70">
        <v>2018</v>
      </c>
      <c r="D32" s="51"/>
      <c r="E32" s="42"/>
      <c r="F32" s="42"/>
      <c r="G32" s="69">
        <f>SUM(D32:F32)</f>
        <v>0</v>
      </c>
      <c r="I32" s="38"/>
      <c r="J32" s="38"/>
      <c r="K32" s="38"/>
      <c r="L32" s="38"/>
      <c r="M32" s="38"/>
      <c r="N32" s="38"/>
      <c r="O32" s="38"/>
      <c r="P32" s="38"/>
      <c r="Q32" s="8"/>
    </row>
    <row r="33" spans="1:17">
      <c r="A33" s="2095"/>
      <c r="B33" s="2096"/>
      <c r="C33" s="72">
        <v>2019</v>
      </c>
      <c r="D33" s="51"/>
      <c r="E33" s="42"/>
      <c r="F33" s="42"/>
      <c r="G33" s="69">
        <f t="shared" si="2"/>
        <v>0</v>
      </c>
      <c r="H33" s="38"/>
      <c r="I33" s="38"/>
      <c r="J33" s="38"/>
      <c r="K33" s="38"/>
      <c r="L33" s="38"/>
      <c r="M33" s="38"/>
      <c r="N33" s="38"/>
      <c r="O33" s="38"/>
      <c r="P33" s="38"/>
      <c r="Q33" s="8"/>
    </row>
    <row r="34" spans="1:17" ht="24" customHeight="1">
      <c r="A34" s="2095"/>
      <c r="B34" s="2096"/>
      <c r="C34" s="70">
        <v>2020</v>
      </c>
      <c r="D34" s="51"/>
      <c r="E34" s="42"/>
      <c r="F34" s="42"/>
      <c r="G34" s="69">
        <f t="shared" si="2"/>
        <v>0</v>
      </c>
      <c r="H34" s="38"/>
      <c r="I34" s="38"/>
      <c r="J34" s="38"/>
      <c r="K34" s="38"/>
      <c r="L34" s="38"/>
      <c r="M34" s="38"/>
      <c r="N34" s="38"/>
      <c r="O34" s="38"/>
      <c r="P34" s="38"/>
      <c r="Q34" s="8"/>
    </row>
    <row r="35" spans="1:17" ht="114.75" customHeight="1" thickBot="1">
      <c r="A35" s="2097"/>
      <c r="B35" s="2098"/>
      <c r="C35" s="73" t="s">
        <v>12</v>
      </c>
      <c r="D35" s="58">
        <f>SUM(D28:D34)</f>
        <v>28869</v>
      </c>
      <c r="E35" s="56">
        <f>SUM(E28:E34)</f>
        <v>153000</v>
      </c>
      <c r="F35" s="56">
        <f>SUM(F28:F34)</f>
        <v>420000</v>
      </c>
      <c r="G35" s="60">
        <f t="shared" si="2"/>
        <v>601869</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78" t="s">
        <v>25</v>
      </c>
      <c r="B39" s="79" t="s">
        <v>7</v>
      </c>
      <c r="C39" s="80" t="s">
        <v>8</v>
      </c>
      <c r="D39" s="81" t="s">
        <v>26</v>
      </c>
      <c r="E39" s="82" t="s">
        <v>27</v>
      </c>
      <c r="F39" s="83"/>
      <c r="G39" s="30"/>
      <c r="H39" s="30"/>
    </row>
    <row r="40" spans="1:17">
      <c r="A40" s="2007" t="s">
        <v>28</v>
      </c>
      <c r="B40" s="1988"/>
      <c r="C40" s="84">
        <v>2014</v>
      </c>
      <c r="D40" s="33"/>
      <c r="E40" s="68"/>
      <c r="F40" s="85"/>
      <c r="G40" s="38"/>
      <c r="H40" s="38"/>
    </row>
    <row r="41" spans="1:17">
      <c r="A41" s="1987"/>
      <c r="B41" s="1988"/>
      <c r="C41" s="86">
        <v>2015</v>
      </c>
      <c r="D41" s="87">
        <f>12267+5376</f>
        <v>17643</v>
      </c>
      <c r="E41" s="88">
        <f>8142+1496</f>
        <v>9638</v>
      </c>
      <c r="F41" s="85"/>
      <c r="G41" s="38"/>
      <c r="H41" s="38"/>
    </row>
    <row r="42" spans="1:17">
      <c r="A42" s="1987"/>
      <c r="B42" s="1988"/>
      <c r="C42" s="86">
        <v>2016</v>
      </c>
      <c r="D42" s="89">
        <f>23958+3892</f>
        <v>27850</v>
      </c>
      <c r="E42" s="89">
        <f>1374+2613</f>
        <v>3987</v>
      </c>
      <c r="F42" s="90"/>
      <c r="G42" s="38"/>
      <c r="H42" s="38"/>
    </row>
    <row r="43" spans="1:17">
      <c r="A43" s="1987"/>
      <c r="B43" s="1988"/>
      <c r="C43" s="86">
        <v>2017</v>
      </c>
      <c r="D43" s="50"/>
      <c r="E43" s="70"/>
      <c r="F43" s="85"/>
      <c r="G43" s="38"/>
      <c r="H43" s="38"/>
    </row>
    <row r="44" spans="1:17">
      <c r="A44" s="1987"/>
      <c r="B44" s="1988"/>
      <c r="C44" s="86">
        <v>2018</v>
      </c>
      <c r="D44" s="50"/>
      <c r="E44" s="70"/>
      <c r="F44" s="85"/>
      <c r="G44" s="38"/>
      <c r="H44" s="38"/>
    </row>
    <row r="45" spans="1:17">
      <c r="A45" s="1987"/>
      <c r="B45" s="1988"/>
      <c r="C45" s="86">
        <v>2019</v>
      </c>
      <c r="D45" s="50"/>
      <c r="E45" s="70"/>
      <c r="F45" s="85"/>
      <c r="G45" s="38"/>
      <c r="H45" s="38"/>
    </row>
    <row r="46" spans="1:17">
      <c r="A46" s="1987"/>
      <c r="B46" s="1988"/>
      <c r="C46" s="86">
        <v>2020</v>
      </c>
      <c r="D46" s="50"/>
      <c r="E46" s="70"/>
      <c r="F46" s="85"/>
      <c r="G46" s="38"/>
      <c r="H46" s="38"/>
    </row>
    <row r="47" spans="1:17" ht="15.75" thickBot="1">
      <c r="A47" s="1989"/>
      <c r="B47" s="1990"/>
      <c r="C47" s="54" t="s">
        <v>12</v>
      </c>
      <c r="D47" s="55">
        <f>SUM(D40:D46)</f>
        <v>45493</v>
      </c>
      <c r="E47" s="57">
        <f>SUM(E40:E46)</f>
        <v>13625</v>
      </c>
      <c r="F47" s="90"/>
      <c r="G47" s="38"/>
      <c r="H47" s="38"/>
    </row>
    <row r="48" spans="1:17" s="38" customFormat="1" ht="15.75" thickBot="1">
      <c r="A48" s="91"/>
      <c r="B48" s="92"/>
      <c r="C48" s="93"/>
    </row>
    <row r="49" spans="1:15" ht="83.25" customHeight="1">
      <c r="A49" s="94" t="s">
        <v>29</v>
      </c>
      <c r="B49" s="79" t="s">
        <v>7</v>
      </c>
      <c r="C49" s="95" t="s">
        <v>8</v>
      </c>
      <c r="D49" s="81" t="s">
        <v>30</v>
      </c>
      <c r="E49" s="96" t="s">
        <v>31</v>
      </c>
      <c r="F49" s="96" t="s">
        <v>32</v>
      </c>
      <c r="G49" s="96" t="s">
        <v>33</v>
      </c>
      <c r="H49" s="96" t="s">
        <v>34</v>
      </c>
      <c r="I49" s="96" t="s">
        <v>35</v>
      </c>
      <c r="J49" s="96" t="s">
        <v>36</v>
      </c>
      <c r="K49" s="97" t="s">
        <v>37</v>
      </c>
    </row>
    <row r="50" spans="1:15" ht="17.25" customHeight="1">
      <c r="A50" s="2005"/>
      <c r="B50" s="2012"/>
      <c r="C50" s="98" t="s">
        <v>38</v>
      </c>
      <c r="D50" s="33"/>
      <c r="E50" s="34"/>
      <c r="F50" s="34"/>
      <c r="G50" s="34"/>
      <c r="H50" s="34"/>
      <c r="I50" s="34"/>
      <c r="J50" s="34"/>
      <c r="K50" s="37"/>
    </row>
    <row r="51" spans="1:15" ht="15" customHeight="1">
      <c r="A51" s="2007"/>
      <c r="B51" s="2014"/>
      <c r="C51" s="86">
        <v>2014</v>
      </c>
      <c r="D51" s="50"/>
      <c r="E51" s="42"/>
      <c r="F51" s="42"/>
      <c r="G51" s="42"/>
      <c r="H51" s="42"/>
      <c r="I51" s="42"/>
      <c r="J51" s="42"/>
      <c r="K51" s="99"/>
    </row>
    <row r="52" spans="1:15">
      <c r="A52" s="2007"/>
      <c r="B52" s="2014"/>
      <c r="C52" s="86">
        <v>2015</v>
      </c>
      <c r="D52" s="50"/>
      <c r="E52" s="42"/>
      <c r="F52" s="42"/>
      <c r="G52" s="42"/>
      <c r="H52" s="42"/>
      <c r="I52" s="42"/>
      <c r="J52" s="42"/>
      <c r="K52" s="99"/>
    </row>
    <row r="53" spans="1:15">
      <c r="A53" s="2007"/>
      <c r="B53" s="2014"/>
      <c r="C53" s="86">
        <v>2016</v>
      </c>
      <c r="D53" s="50"/>
      <c r="E53" s="42"/>
      <c r="F53" s="42"/>
      <c r="G53" s="42"/>
      <c r="H53" s="42"/>
      <c r="I53" s="42"/>
      <c r="J53" s="42"/>
      <c r="K53" s="99"/>
    </row>
    <row r="54" spans="1:15">
      <c r="A54" s="2007"/>
      <c r="B54" s="2014"/>
      <c r="C54" s="86">
        <v>2017</v>
      </c>
      <c r="D54" s="50"/>
      <c r="E54" s="42"/>
      <c r="F54" s="42"/>
      <c r="G54" s="42"/>
      <c r="H54" s="42"/>
      <c r="I54" s="42"/>
      <c r="J54" s="42"/>
      <c r="K54" s="99"/>
    </row>
    <row r="55" spans="1:15">
      <c r="A55" s="2007"/>
      <c r="B55" s="2014"/>
      <c r="C55" s="86">
        <v>2018</v>
      </c>
      <c r="D55" s="50"/>
      <c r="E55" s="42"/>
      <c r="F55" s="42"/>
      <c r="G55" s="42"/>
      <c r="H55" s="42"/>
      <c r="I55" s="42"/>
      <c r="J55" s="42"/>
      <c r="K55" s="99"/>
    </row>
    <row r="56" spans="1:15">
      <c r="A56" s="2007"/>
      <c r="B56" s="2014"/>
      <c r="C56" s="86">
        <v>2019</v>
      </c>
      <c r="D56" s="50"/>
      <c r="E56" s="42"/>
      <c r="F56" s="42"/>
      <c r="G56" s="42"/>
      <c r="H56" s="42"/>
      <c r="I56" s="42"/>
      <c r="J56" s="42"/>
      <c r="K56" s="99"/>
    </row>
    <row r="57" spans="1:15">
      <c r="A57" s="2007"/>
      <c r="B57" s="2014"/>
      <c r="C57" s="86">
        <v>2020</v>
      </c>
      <c r="D57" s="50"/>
      <c r="E57" s="42"/>
      <c r="F57" s="42"/>
      <c r="G57" s="42"/>
      <c r="H57" s="42"/>
      <c r="I57" s="42"/>
      <c r="J57" s="42"/>
      <c r="K57" s="100"/>
    </row>
    <row r="58" spans="1:15" ht="20.25" customHeight="1" thickBot="1">
      <c r="A58" s="2009"/>
      <c r="B58" s="2016"/>
      <c r="C58" s="54" t="s">
        <v>12</v>
      </c>
      <c r="D58" s="55">
        <f>SUM(D51:D57)</f>
        <v>0</v>
      </c>
      <c r="E58" s="56">
        <f>SUM(E51:E57)</f>
        <v>0</v>
      </c>
      <c r="F58" s="56">
        <f>SUM(F51:F57)</f>
        <v>0</v>
      </c>
      <c r="G58" s="56">
        <f>SUM(G51:G57)</f>
        <v>0</v>
      </c>
      <c r="H58" s="56">
        <f>SUM(H51:H57)</f>
        <v>0</v>
      </c>
      <c r="I58" s="56">
        <f t="shared" ref="I58" si="3">SUM(I51:I57)</f>
        <v>0</v>
      </c>
      <c r="J58" s="56">
        <f>SUM(J51:J57)</f>
        <v>0</v>
      </c>
      <c r="K58" s="60">
        <f>SUM(K50:K56)</f>
        <v>0</v>
      </c>
    </row>
    <row r="59" spans="1:15" ht="15.75" thickBot="1"/>
    <row r="60" spans="1:15" ht="21" customHeight="1">
      <c r="A60" s="2099" t="s">
        <v>39</v>
      </c>
      <c r="B60" s="101"/>
      <c r="C60" s="2101" t="s">
        <v>8</v>
      </c>
      <c r="D60" s="2074" t="s">
        <v>40</v>
      </c>
      <c r="E60" s="102" t="s">
        <v>5</v>
      </c>
      <c r="F60" s="103"/>
      <c r="G60" s="103"/>
      <c r="H60" s="103"/>
      <c r="I60" s="103"/>
      <c r="J60" s="103"/>
      <c r="K60" s="103"/>
      <c r="L60" s="104"/>
    </row>
    <row r="61" spans="1:15" ht="115.5" customHeight="1">
      <c r="A61" s="2100"/>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064" t="s">
        <v>41</v>
      </c>
      <c r="B62" s="2065"/>
      <c r="C62" s="112">
        <v>2014</v>
      </c>
      <c r="D62" s="113"/>
      <c r="E62" s="114"/>
      <c r="F62" s="115"/>
      <c r="G62" s="115"/>
      <c r="H62" s="115"/>
      <c r="I62" s="115"/>
      <c r="J62" s="115"/>
      <c r="K62" s="115"/>
      <c r="L62" s="37"/>
      <c r="M62" s="8"/>
      <c r="N62" s="8"/>
      <c r="O62" s="8"/>
    </row>
    <row r="63" spans="1:15">
      <c r="A63" s="2066"/>
      <c r="B63" s="2065"/>
      <c r="C63" s="116">
        <v>2015</v>
      </c>
      <c r="D63" s="117"/>
      <c r="E63" s="118"/>
      <c r="F63" s="42"/>
      <c r="G63" s="42"/>
      <c r="H63" s="42"/>
      <c r="I63" s="42"/>
      <c r="J63" s="42"/>
      <c r="K63" s="42"/>
      <c r="L63" s="99"/>
      <c r="M63" s="8"/>
      <c r="N63" s="8"/>
      <c r="O63" s="8"/>
    </row>
    <row r="64" spans="1:15">
      <c r="A64" s="2066"/>
      <c r="B64" s="2065"/>
      <c r="C64" s="116">
        <v>2016</v>
      </c>
      <c r="D64" s="119">
        <v>4</v>
      </c>
      <c r="E64" s="120"/>
      <c r="F64" s="41"/>
      <c r="G64" s="41"/>
      <c r="H64" s="41"/>
      <c r="I64" s="41"/>
      <c r="J64" s="41"/>
      <c r="K64" s="41"/>
      <c r="L64" s="44">
        <v>4</v>
      </c>
      <c r="M64" s="8"/>
      <c r="N64" s="8"/>
      <c r="O64" s="8"/>
    </row>
    <row r="65" spans="1:20">
      <c r="A65" s="2066"/>
      <c r="B65" s="2065"/>
      <c r="C65" s="116">
        <v>2017</v>
      </c>
      <c r="D65" s="117"/>
      <c r="E65" s="118"/>
      <c r="F65" s="42"/>
      <c r="G65" s="42"/>
      <c r="H65" s="42"/>
      <c r="I65" s="42"/>
      <c r="J65" s="42"/>
      <c r="K65" s="42"/>
      <c r="L65" s="99"/>
      <c r="M65" s="8"/>
      <c r="N65" s="8"/>
      <c r="O65" s="8"/>
    </row>
    <row r="66" spans="1:20">
      <c r="A66" s="2066"/>
      <c r="B66" s="2065"/>
      <c r="C66" s="116">
        <v>2018</v>
      </c>
      <c r="D66" s="117"/>
      <c r="E66" s="118"/>
      <c r="F66" s="42"/>
      <c r="G66" s="42"/>
      <c r="H66" s="42"/>
      <c r="I66" s="42"/>
      <c r="J66" s="42"/>
      <c r="K66" s="42"/>
      <c r="L66" s="99"/>
      <c r="M66" s="8"/>
      <c r="N66" s="8"/>
      <c r="O66" s="8"/>
    </row>
    <row r="67" spans="1:20" ht="17.25" customHeight="1">
      <c r="A67" s="2066"/>
      <c r="B67" s="2065"/>
      <c r="C67" s="116">
        <v>2019</v>
      </c>
      <c r="D67" s="117"/>
      <c r="E67" s="118"/>
      <c r="F67" s="42"/>
      <c r="G67" s="42"/>
      <c r="H67" s="42"/>
      <c r="I67" s="42"/>
      <c r="J67" s="42"/>
      <c r="K67" s="42"/>
      <c r="L67" s="99"/>
      <c r="M67" s="8"/>
      <c r="N67" s="8"/>
      <c r="O67" s="8"/>
    </row>
    <row r="68" spans="1:20" ht="16.5" customHeight="1">
      <c r="A68" s="2066"/>
      <c r="B68" s="2065"/>
      <c r="C68" s="116">
        <v>2020</v>
      </c>
      <c r="D68" s="117"/>
      <c r="E68" s="118"/>
      <c r="F68" s="42"/>
      <c r="G68" s="42"/>
      <c r="H68" s="42"/>
      <c r="I68" s="42"/>
      <c r="J68" s="42"/>
      <c r="K68" s="42"/>
      <c r="L68" s="99"/>
      <c r="M68" s="121"/>
      <c r="N68" s="121"/>
      <c r="O68" s="121"/>
    </row>
    <row r="69" spans="1:20" ht="18" customHeight="1" thickBot="1">
      <c r="A69" s="2067"/>
      <c r="B69" s="2068"/>
      <c r="C69" s="122" t="s">
        <v>12</v>
      </c>
      <c r="D69" s="123">
        <f>SUM(D62:D68)</f>
        <v>4</v>
      </c>
      <c r="E69" s="124">
        <f>SUM(E62:E68)</f>
        <v>0</v>
      </c>
      <c r="F69" s="125">
        <f t="shared" ref="F69:I69" si="4">SUM(F62:F68)</f>
        <v>0</v>
      </c>
      <c r="G69" s="125">
        <f t="shared" si="4"/>
        <v>0</v>
      </c>
      <c r="H69" s="125">
        <f t="shared" si="4"/>
        <v>0</v>
      </c>
      <c r="I69" s="125">
        <f t="shared" si="4"/>
        <v>0</v>
      </c>
      <c r="J69" s="125"/>
      <c r="K69" s="125">
        <f>SUM(K62:K68)</f>
        <v>0</v>
      </c>
      <c r="L69" s="126">
        <f>SUM(L62:L68)</f>
        <v>4</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78" t="s">
        <v>42</v>
      </c>
      <c r="B71" s="79" t="s">
        <v>7</v>
      </c>
      <c r="C71" s="80" t="s">
        <v>8</v>
      </c>
      <c r="D71" s="132" t="s">
        <v>43</v>
      </c>
      <c r="E71" s="132" t="s">
        <v>44</v>
      </c>
      <c r="F71" s="133" t="s">
        <v>45</v>
      </c>
      <c r="G71" s="134" t="s">
        <v>46</v>
      </c>
      <c r="H71" s="135" t="s">
        <v>13</v>
      </c>
      <c r="I71" s="136" t="s">
        <v>14</v>
      </c>
      <c r="J71" s="137" t="s">
        <v>15</v>
      </c>
      <c r="K71" s="136" t="s">
        <v>16</v>
      </c>
      <c r="L71" s="136" t="s">
        <v>17</v>
      </c>
      <c r="M71" s="138" t="s">
        <v>18</v>
      </c>
      <c r="N71" s="137" t="s">
        <v>19</v>
      </c>
      <c r="O71" s="139" t="s">
        <v>20</v>
      </c>
    </row>
    <row r="72" spans="1:20" ht="15" customHeight="1">
      <c r="A72" s="2069" t="s">
        <v>47</v>
      </c>
      <c r="B72" s="2065"/>
      <c r="C72" s="84">
        <v>2014</v>
      </c>
      <c r="D72" s="140"/>
      <c r="E72" s="140"/>
      <c r="F72" s="140"/>
      <c r="G72" s="141">
        <f>SUM(D72:F72)</f>
        <v>0</v>
      </c>
      <c r="H72" s="33"/>
      <c r="I72" s="142"/>
      <c r="J72" s="115"/>
      <c r="K72" s="115"/>
      <c r="L72" s="115"/>
      <c r="M72" s="115"/>
      <c r="N72" s="115"/>
      <c r="O72" s="143"/>
    </row>
    <row r="73" spans="1:20">
      <c r="A73" s="2070"/>
      <c r="B73" s="2065"/>
      <c r="C73" s="86">
        <v>2015</v>
      </c>
      <c r="D73" s="144">
        <f>3+3</f>
        <v>6</v>
      </c>
      <c r="E73" s="144">
        <v>1</v>
      </c>
      <c r="F73" s="144"/>
      <c r="G73" s="141">
        <f t="shared" ref="G73:G78" si="5">SUM(D73:F73)</f>
        <v>7</v>
      </c>
      <c r="H73" s="40">
        <f>3</f>
        <v>3</v>
      </c>
      <c r="I73" s="40"/>
      <c r="J73" s="41"/>
      <c r="K73" s="41">
        <f>2+1</f>
        <v>3</v>
      </c>
      <c r="L73" s="41">
        <v>1</v>
      </c>
      <c r="M73" s="42"/>
      <c r="N73" s="42"/>
      <c r="O73" s="99"/>
    </row>
    <row r="74" spans="1:20">
      <c r="A74" s="2070"/>
      <c r="B74" s="2065"/>
      <c r="C74" s="86">
        <v>2016</v>
      </c>
      <c r="D74" s="145">
        <f>7+1</f>
        <v>8</v>
      </c>
      <c r="E74" s="145">
        <v>2</v>
      </c>
      <c r="F74" s="145"/>
      <c r="G74" s="146">
        <f t="shared" si="5"/>
        <v>10</v>
      </c>
      <c r="H74" s="45"/>
      <c r="I74" s="45"/>
      <c r="J74" s="46"/>
      <c r="K74" s="46">
        <f>5+1</f>
        <v>6</v>
      </c>
      <c r="L74" s="46">
        <v>2</v>
      </c>
      <c r="M74" s="42"/>
      <c r="N74" s="42"/>
      <c r="O74" s="44">
        <f>1+1</f>
        <v>2</v>
      </c>
    </row>
    <row r="75" spans="1:20">
      <c r="A75" s="2070"/>
      <c r="B75" s="2065"/>
      <c r="C75" s="86">
        <v>2017</v>
      </c>
      <c r="D75" s="147"/>
      <c r="E75" s="147"/>
      <c r="F75" s="147"/>
      <c r="G75" s="141">
        <f t="shared" si="5"/>
        <v>0</v>
      </c>
      <c r="H75" s="40"/>
      <c r="I75" s="40"/>
      <c r="J75" s="41"/>
      <c r="K75" s="41"/>
      <c r="L75" s="41"/>
      <c r="M75" s="42"/>
      <c r="N75" s="42"/>
      <c r="O75" s="99"/>
    </row>
    <row r="76" spans="1:20">
      <c r="A76" s="2070"/>
      <c r="B76" s="2065"/>
      <c r="C76" s="86">
        <v>2018</v>
      </c>
      <c r="D76" s="147"/>
      <c r="E76" s="147"/>
      <c r="F76" s="147"/>
      <c r="G76" s="141">
        <f t="shared" si="5"/>
        <v>0</v>
      </c>
      <c r="H76" s="50"/>
      <c r="I76" s="50"/>
      <c r="J76" s="42"/>
      <c r="K76" s="42"/>
      <c r="L76" s="42"/>
      <c r="M76" s="42"/>
      <c r="N76" s="42"/>
      <c r="O76" s="99"/>
    </row>
    <row r="77" spans="1:20" ht="15.75" customHeight="1">
      <c r="A77" s="2070"/>
      <c r="B77" s="2065"/>
      <c r="C77" s="86">
        <v>2019</v>
      </c>
      <c r="D77" s="147"/>
      <c r="E77" s="147"/>
      <c r="F77" s="147"/>
      <c r="G77" s="141">
        <f t="shared" si="5"/>
        <v>0</v>
      </c>
      <c r="H77" s="50"/>
      <c r="I77" s="50"/>
      <c r="J77" s="42"/>
      <c r="K77" s="42"/>
      <c r="L77" s="42"/>
      <c r="M77" s="42"/>
      <c r="N77" s="42"/>
      <c r="O77" s="99"/>
    </row>
    <row r="78" spans="1:20" ht="17.25" customHeight="1">
      <c r="A78" s="2070"/>
      <c r="B78" s="2065"/>
      <c r="C78" s="86">
        <v>2020</v>
      </c>
      <c r="D78" s="147"/>
      <c r="E78" s="147"/>
      <c r="F78" s="147"/>
      <c r="G78" s="141">
        <f t="shared" si="5"/>
        <v>0</v>
      </c>
      <c r="H78" s="50"/>
      <c r="I78" s="50"/>
      <c r="J78" s="42"/>
      <c r="K78" s="42"/>
      <c r="L78" s="42"/>
      <c r="M78" s="42"/>
      <c r="N78" s="42"/>
      <c r="O78" s="99"/>
    </row>
    <row r="79" spans="1:20" ht="20.25" customHeight="1" thickBot="1">
      <c r="A79" s="2067"/>
      <c r="B79" s="2068"/>
      <c r="C79" s="148" t="s">
        <v>12</v>
      </c>
      <c r="D79" s="123">
        <f>SUM(D72:D78)</f>
        <v>14</v>
      </c>
      <c r="E79" s="123">
        <f>SUM(E72:E78)</f>
        <v>3</v>
      </c>
      <c r="F79" s="123">
        <f>SUM(F72:F78)</f>
        <v>0</v>
      </c>
      <c r="G79" s="149">
        <f>SUM(G72:G78)</f>
        <v>17</v>
      </c>
      <c r="H79" s="150">
        <f>SUM(H73:H78)</f>
        <v>3</v>
      </c>
      <c r="I79" s="151">
        <f t="shared" ref="I79:O79" si="6">SUM(I72:I78)</f>
        <v>0</v>
      </c>
      <c r="J79" s="125">
        <f t="shared" si="6"/>
        <v>0</v>
      </c>
      <c r="K79" s="125">
        <f t="shared" si="6"/>
        <v>9</v>
      </c>
      <c r="L79" s="125">
        <f t="shared" si="6"/>
        <v>3</v>
      </c>
      <c r="M79" s="125">
        <f t="shared" si="6"/>
        <v>0</v>
      </c>
      <c r="N79" s="125">
        <f t="shared" si="6"/>
        <v>0</v>
      </c>
      <c r="O79" s="126">
        <f t="shared" si="6"/>
        <v>2</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50.75" customHeight="1">
      <c r="A84" s="159" t="s">
        <v>49</v>
      </c>
      <c r="B84" s="160" t="s">
        <v>50</v>
      </c>
      <c r="C84" s="161" t="s">
        <v>8</v>
      </c>
      <c r="D84" s="162" t="s">
        <v>51</v>
      </c>
      <c r="E84" s="163" t="s">
        <v>52</v>
      </c>
      <c r="F84" s="164" t="s">
        <v>53</v>
      </c>
      <c r="G84" s="164" t="s">
        <v>54</v>
      </c>
      <c r="H84" s="164" t="s">
        <v>55</v>
      </c>
      <c r="I84" s="164" t="s">
        <v>56</v>
      </c>
      <c r="J84" s="164" t="s">
        <v>57</v>
      </c>
      <c r="K84" s="165" t="s">
        <v>58</v>
      </c>
    </row>
    <row r="85" spans="1:16" ht="15" customHeight="1">
      <c r="A85" s="2071"/>
      <c r="B85" s="2025"/>
      <c r="C85" s="84">
        <v>2014</v>
      </c>
      <c r="D85" s="166"/>
      <c r="E85" s="167"/>
      <c r="F85" s="34"/>
      <c r="G85" s="34"/>
      <c r="H85" s="34"/>
      <c r="I85" s="34"/>
      <c r="J85" s="34"/>
      <c r="K85" s="37"/>
    </row>
    <row r="86" spans="1:16">
      <c r="A86" s="2072"/>
      <c r="B86" s="2025"/>
      <c r="C86" s="86">
        <v>2015</v>
      </c>
      <c r="D86" s="168"/>
      <c r="E86" s="118"/>
      <c r="F86" s="42"/>
      <c r="G86" s="42"/>
      <c r="H86" s="42"/>
      <c r="I86" s="42"/>
      <c r="J86" s="42"/>
      <c r="K86" s="99"/>
    </row>
    <row r="87" spans="1:16">
      <c r="A87" s="2072"/>
      <c r="B87" s="2025"/>
      <c r="C87" s="86">
        <v>2016</v>
      </c>
      <c r="D87" s="168"/>
      <c r="E87" s="118"/>
      <c r="F87" s="42"/>
      <c r="G87" s="42"/>
      <c r="H87" s="42"/>
      <c r="I87" s="42"/>
      <c r="J87" s="42"/>
      <c r="K87" s="99"/>
    </row>
    <row r="88" spans="1:16">
      <c r="A88" s="2072"/>
      <c r="B88" s="2025"/>
      <c r="C88" s="86">
        <v>2017</v>
      </c>
      <c r="D88" s="168"/>
      <c r="E88" s="118"/>
      <c r="F88" s="42"/>
      <c r="G88" s="42"/>
      <c r="H88" s="42"/>
      <c r="I88" s="42"/>
      <c r="J88" s="42"/>
      <c r="K88" s="99"/>
    </row>
    <row r="89" spans="1:16">
      <c r="A89" s="2072"/>
      <c r="B89" s="2025"/>
      <c r="C89" s="86">
        <v>2018</v>
      </c>
      <c r="D89" s="168"/>
      <c r="E89" s="118"/>
      <c r="F89" s="42"/>
      <c r="G89" s="42"/>
      <c r="H89" s="42"/>
      <c r="I89" s="42"/>
      <c r="J89" s="42"/>
      <c r="K89" s="99"/>
    </row>
    <row r="90" spans="1:16">
      <c r="A90" s="2072"/>
      <c r="B90" s="2025"/>
      <c r="C90" s="86">
        <v>2019</v>
      </c>
      <c r="D90" s="168"/>
      <c r="E90" s="118"/>
      <c r="F90" s="42"/>
      <c r="G90" s="42"/>
      <c r="H90" s="42"/>
      <c r="I90" s="42"/>
      <c r="J90" s="42"/>
      <c r="K90" s="99"/>
    </row>
    <row r="91" spans="1:16">
      <c r="A91" s="2072"/>
      <c r="B91" s="2025"/>
      <c r="C91" s="86">
        <v>2020</v>
      </c>
      <c r="D91" s="168"/>
      <c r="E91" s="118"/>
      <c r="F91" s="42"/>
      <c r="G91" s="42"/>
      <c r="H91" s="42"/>
      <c r="I91" s="42"/>
      <c r="J91" s="42"/>
      <c r="K91" s="99"/>
    </row>
    <row r="92" spans="1:16" ht="18" customHeight="1" thickBot="1">
      <c r="A92" s="2073"/>
      <c r="B92" s="2027"/>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040" t="s">
        <v>60</v>
      </c>
      <c r="B96" s="2042" t="s">
        <v>61</v>
      </c>
      <c r="C96" s="2055" t="s">
        <v>8</v>
      </c>
      <c r="D96" s="2047" t="s">
        <v>62</v>
      </c>
      <c r="E96" s="2048"/>
      <c r="F96" s="174" t="s">
        <v>63</v>
      </c>
      <c r="G96" s="175"/>
      <c r="H96" s="175"/>
      <c r="I96" s="175"/>
      <c r="J96" s="175"/>
      <c r="K96" s="175"/>
      <c r="L96" s="175"/>
      <c r="M96" s="176"/>
      <c r="N96" s="177"/>
      <c r="O96" s="177"/>
      <c r="P96" s="177"/>
    </row>
    <row r="97" spans="1:16" ht="100.5" customHeight="1">
      <c r="A97" s="2041"/>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049" t="s">
        <v>68</v>
      </c>
      <c r="B98" s="2052"/>
      <c r="C98" s="112">
        <v>2014</v>
      </c>
      <c r="D98" s="33"/>
      <c r="E98" s="34"/>
      <c r="F98" s="186"/>
      <c r="G98" s="187"/>
      <c r="H98" s="187"/>
      <c r="I98" s="187"/>
      <c r="J98" s="187"/>
      <c r="K98" s="187"/>
      <c r="L98" s="187"/>
      <c r="M98" s="188"/>
      <c r="N98" s="177"/>
      <c r="O98" s="177"/>
      <c r="P98" s="177"/>
    </row>
    <row r="99" spans="1:16" ht="16.5" customHeight="1">
      <c r="A99" s="2050"/>
      <c r="B99" s="2053"/>
      <c r="C99" s="116">
        <v>2015</v>
      </c>
      <c r="D99" s="40">
        <v>1</v>
      </c>
      <c r="E99" s="41">
        <v>3</v>
      </c>
      <c r="F99" s="189"/>
      <c r="G99" s="190"/>
      <c r="H99" s="190"/>
      <c r="I99" s="190"/>
      <c r="J99" s="190"/>
      <c r="K99" s="190"/>
      <c r="L99" s="190"/>
      <c r="M99" s="191">
        <v>1</v>
      </c>
      <c r="N99" s="177"/>
      <c r="O99" s="177"/>
      <c r="P99" s="177"/>
    </row>
    <row r="100" spans="1:16" ht="16.5" customHeight="1">
      <c r="A100" s="2050"/>
      <c r="B100" s="2053"/>
      <c r="C100" s="116">
        <v>2016</v>
      </c>
      <c r="D100" s="40">
        <v>1</v>
      </c>
      <c r="E100" s="41">
        <v>9</v>
      </c>
      <c r="F100" s="189"/>
      <c r="G100" s="190"/>
      <c r="H100" s="190"/>
      <c r="I100" s="190"/>
      <c r="J100" s="190"/>
      <c r="K100" s="190"/>
      <c r="L100" s="190"/>
      <c r="M100" s="192">
        <v>1</v>
      </c>
      <c r="N100" s="177"/>
      <c r="O100" s="177"/>
      <c r="P100" s="177"/>
    </row>
    <row r="101" spans="1:16" ht="16.5" customHeight="1">
      <c r="A101" s="2050"/>
      <c r="B101" s="2053"/>
      <c r="C101" s="116">
        <v>2017</v>
      </c>
      <c r="D101" s="40"/>
      <c r="E101" s="41"/>
      <c r="F101" s="189"/>
      <c r="G101" s="190"/>
      <c r="H101" s="190"/>
      <c r="I101" s="190"/>
      <c r="J101" s="190"/>
      <c r="K101" s="190"/>
      <c r="L101" s="190"/>
      <c r="M101" s="193"/>
      <c r="N101" s="177"/>
      <c r="O101" s="177"/>
      <c r="P101" s="177"/>
    </row>
    <row r="102" spans="1:16" ht="15.75" customHeight="1">
      <c r="A102" s="2050"/>
      <c r="B102" s="2053"/>
      <c r="C102" s="116">
        <v>2018</v>
      </c>
      <c r="D102" s="50"/>
      <c r="E102" s="42"/>
      <c r="F102" s="189"/>
      <c r="G102" s="190"/>
      <c r="H102" s="190"/>
      <c r="I102" s="190"/>
      <c r="J102" s="190"/>
      <c r="K102" s="190"/>
      <c r="L102" s="190"/>
      <c r="M102" s="193"/>
      <c r="N102" s="177"/>
      <c r="O102" s="177"/>
      <c r="P102" s="177"/>
    </row>
    <row r="103" spans="1:16" ht="14.25" customHeight="1">
      <c r="A103" s="2050"/>
      <c r="B103" s="2053"/>
      <c r="C103" s="116">
        <v>2019</v>
      </c>
      <c r="D103" s="50"/>
      <c r="E103" s="42"/>
      <c r="F103" s="189"/>
      <c r="G103" s="190"/>
      <c r="H103" s="190"/>
      <c r="I103" s="190"/>
      <c r="J103" s="190"/>
      <c r="K103" s="190"/>
      <c r="L103" s="190"/>
      <c r="M103" s="193"/>
      <c r="N103" s="177"/>
      <c r="O103" s="177"/>
      <c r="P103" s="177"/>
    </row>
    <row r="104" spans="1:16" ht="14.25" customHeight="1">
      <c r="A104" s="2050"/>
      <c r="B104" s="2053"/>
      <c r="C104" s="116">
        <v>2020</v>
      </c>
      <c r="D104" s="50"/>
      <c r="E104" s="42"/>
      <c r="F104" s="189"/>
      <c r="G104" s="190"/>
      <c r="H104" s="190"/>
      <c r="I104" s="190"/>
      <c r="J104" s="190"/>
      <c r="K104" s="190"/>
      <c r="L104" s="190"/>
      <c r="M104" s="193"/>
      <c r="N104" s="177"/>
      <c r="O104" s="177"/>
      <c r="P104" s="177"/>
    </row>
    <row r="105" spans="1:16" ht="19.5" customHeight="1" thickBot="1">
      <c r="A105" s="2051"/>
      <c r="B105" s="2054"/>
      <c r="C105" s="122" t="s">
        <v>12</v>
      </c>
      <c r="D105" s="151">
        <f>SUM(D98:D104)</f>
        <v>2</v>
      </c>
      <c r="E105" s="125">
        <f t="shared" ref="E105:K105" si="8">SUM(E98:E104)</f>
        <v>12</v>
      </c>
      <c r="F105" s="194">
        <f t="shared" si="8"/>
        <v>0</v>
      </c>
      <c r="G105" s="195">
        <f t="shared" si="8"/>
        <v>0</v>
      </c>
      <c r="H105" s="195">
        <f t="shared" si="8"/>
        <v>0</v>
      </c>
      <c r="I105" s="195">
        <f>SUM(I98:I104)</f>
        <v>0</v>
      </c>
      <c r="J105" s="195">
        <f t="shared" si="8"/>
        <v>0</v>
      </c>
      <c r="K105" s="195">
        <f t="shared" si="8"/>
        <v>0</v>
      </c>
      <c r="L105" s="195">
        <f>SUM(L98:L104)</f>
        <v>0</v>
      </c>
      <c r="M105" s="196">
        <f>SUM(M98:M104)</f>
        <v>2</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040" t="s">
        <v>69</v>
      </c>
      <c r="B107" s="2042" t="s">
        <v>61</v>
      </c>
      <c r="C107" s="2055" t="s">
        <v>8</v>
      </c>
      <c r="D107" s="2057" t="s">
        <v>70</v>
      </c>
      <c r="E107" s="174" t="s">
        <v>71</v>
      </c>
      <c r="F107" s="175"/>
      <c r="G107" s="175"/>
      <c r="H107" s="175"/>
      <c r="I107" s="175"/>
      <c r="J107" s="175"/>
      <c r="K107" s="175"/>
      <c r="L107" s="176"/>
      <c r="M107" s="199"/>
      <c r="N107" s="199"/>
    </row>
    <row r="108" spans="1:16" ht="103.5" customHeight="1">
      <c r="A108" s="2041"/>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059"/>
      <c r="B109" s="2060"/>
      <c r="C109" s="112">
        <v>2014</v>
      </c>
      <c r="D109" s="34"/>
      <c r="E109" s="186"/>
      <c r="F109" s="187"/>
      <c r="G109" s="187"/>
      <c r="H109" s="187"/>
      <c r="I109" s="187"/>
      <c r="J109" s="187"/>
      <c r="K109" s="187"/>
      <c r="L109" s="188"/>
      <c r="M109" s="199"/>
      <c r="N109" s="199"/>
    </row>
    <row r="110" spans="1:16">
      <c r="A110" s="2061"/>
      <c r="B110" s="2060"/>
      <c r="C110" s="116">
        <v>2015</v>
      </c>
      <c r="D110" s="42"/>
      <c r="E110" s="189"/>
      <c r="F110" s="190"/>
      <c r="G110" s="190"/>
      <c r="H110" s="190"/>
      <c r="I110" s="190"/>
      <c r="J110" s="190"/>
      <c r="K110" s="190"/>
      <c r="L110" s="193"/>
      <c r="M110" s="199"/>
      <c r="N110" s="199"/>
    </row>
    <row r="111" spans="1:16">
      <c r="A111" s="2061"/>
      <c r="B111" s="2060"/>
      <c r="C111" s="116">
        <v>2016</v>
      </c>
      <c r="D111" s="42"/>
      <c r="E111" s="189"/>
      <c r="F111" s="190"/>
      <c r="G111" s="190"/>
      <c r="H111" s="190"/>
      <c r="I111" s="190"/>
      <c r="J111" s="190"/>
      <c r="K111" s="190"/>
      <c r="L111" s="193"/>
      <c r="M111" s="199"/>
      <c r="N111" s="199"/>
    </row>
    <row r="112" spans="1:16">
      <c r="A112" s="2061"/>
      <c r="B112" s="2060"/>
      <c r="C112" s="116">
        <v>2017</v>
      </c>
      <c r="D112" s="42"/>
      <c r="E112" s="189"/>
      <c r="F112" s="190"/>
      <c r="G112" s="190"/>
      <c r="H112" s="190"/>
      <c r="I112" s="190"/>
      <c r="J112" s="190"/>
      <c r="K112" s="190"/>
      <c r="L112" s="193"/>
      <c r="M112" s="199"/>
      <c r="N112" s="199"/>
    </row>
    <row r="113" spans="1:14">
      <c r="A113" s="2061"/>
      <c r="B113" s="2060"/>
      <c r="C113" s="116">
        <v>2018</v>
      </c>
      <c r="D113" s="42"/>
      <c r="E113" s="189"/>
      <c r="F113" s="190"/>
      <c r="G113" s="190"/>
      <c r="H113" s="190"/>
      <c r="I113" s="190"/>
      <c r="J113" s="190"/>
      <c r="K113" s="190"/>
      <c r="L113" s="193"/>
      <c r="M113" s="199"/>
      <c r="N113" s="199"/>
    </row>
    <row r="114" spans="1:14">
      <c r="A114" s="2061"/>
      <c r="B114" s="2060"/>
      <c r="C114" s="116">
        <v>2019</v>
      </c>
      <c r="D114" s="42"/>
      <c r="E114" s="189"/>
      <c r="F114" s="190"/>
      <c r="G114" s="190"/>
      <c r="H114" s="190"/>
      <c r="I114" s="190"/>
      <c r="J114" s="190"/>
      <c r="K114" s="190"/>
      <c r="L114" s="193"/>
      <c r="M114" s="199"/>
      <c r="N114" s="199"/>
    </row>
    <row r="115" spans="1:14">
      <c r="A115" s="2061"/>
      <c r="B115" s="2060"/>
      <c r="C115" s="116">
        <v>2020</v>
      </c>
      <c r="D115" s="42"/>
      <c r="E115" s="189"/>
      <c r="F115" s="190"/>
      <c r="G115" s="190"/>
      <c r="H115" s="190"/>
      <c r="I115" s="190"/>
      <c r="J115" s="190"/>
      <c r="K115" s="190"/>
      <c r="L115" s="193"/>
      <c r="M115" s="199"/>
      <c r="N115" s="199"/>
    </row>
    <row r="116" spans="1:14" ht="25.5" customHeight="1" thickBot="1">
      <c r="A116" s="2062"/>
      <c r="B116" s="2063"/>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040" t="s">
        <v>72</v>
      </c>
      <c r="B118" s="2042" t="s">
        <v>61</v>
      </c>
      <c r="C118" s="2055" t="s">
        <v>8</v>
      </c>
      <c r="D118" s="2057" t="s">
        <v>73</v>
      </c>
      <c r="E118" s="174" t="s">
        <v>71</v>
      </c>
      <c r="F118" s="175"/>
      <c r="G118" s="175"/>
      <c r="H118" s="175"/>
      <c r="I118" s="175"/>
      <c r="J118" s="175"/>
      <c r="K118" s="175"/>
      <c r="L118" s="176"/>
      <c r="M118" s="199"/>
      <c r="N118" s="199"/>
    </row>
    <row r="119" spans="1:14" ht="120.75" customHeight="1">
      <c r="A119" s="2041"/>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031"/>
      <c r="B120" s="2025"/>
      <c r="C120" s="112">
        <v>2014</v>
      </c>
      <c r="D120" s="34"/>
      <c r="E120" s="186"/>
      <c r="F120" s="187"/>
      <c r="G120" s="187"/>
      <c r="H120" s="187"/>
      <c r="I120" s="187"/>
      <c r="J120" s="187"/>
      <c r="K120" s="187"/>
      <c r="L120" s="188"/>
      <c r="M120" s="199"/>
      <c r="N120" s="199"/>
    </row>
    <row r="121" spans="1:14">
      <c r="A121" s="2024"/>
      <c r="B121" s="2025"/>
      <c r="C121" s="116">
        <v>2015</v>
      </c>
      <c r="D121" s="42"/>
      <c r="E121" s="189"/>
      <c r="F121" s="190"/>
      <c r="G121" s="190"/>
      <c r="H121" s="190"/>
      <c r="I121" s="190"/>
      <c r="J121" s="190"/>
      <c r="K121" s="190"/>
      <c r="L121" s="193"/>
      <c r="M121" s="199"/>
      <c r="N121" s="199"/>
    </row>
    <row r="122" spans="1:14">
      <c r="A122" s="2024"/>
      <c r="B122" s="2025"/>
      <c r="C122" s="116">
        <v>2016</v>
      </c>
      <c r="D122" s="42"/>
      <c r="E122" s="189"/>
      <c r="F122" s="190"/>
      <c r="G122" s="190"/>
      <c r="H122" s="190"/>
      <c r="I122" s="190"/>
      <c r="J122" s="190"/>
      <c r="K122" s="190"/>
      <c r="L122" s="193"/>
      <c r="M122" s="199"/>
      <c r="N122" s="199"/>
    </row>
    <row r="123" spans="1:14">
      <c r="A123" s="2024"/>
      <c r="B123" s="2025"/>
      <c r="C123" s="116">
        <v>2017</v>
      </c>
      <c r="D123" s="42"/>
      <c r="E123" s="189"/>
      <c r="F123" s="190"/>
      <c r="G123" s="190"/>
      <c r="H123" s="190"/>
      <c r="I123" s="190"/>
      <c r="J123" s="190"/>
      <c r="K123" s="190"/>
      <c r="L123" s="193"/>
      <c r="M123" s="199"/>
      <c r="N123" s="199"/>
    </row>
    <row r="124" spans="1:14">
      <c r="A124" s="2024"/>
      <c r="B124" s="2025"/>
      <c r="C124" s="116">
        <v>2018</v>
      </c>
      <c r="D124" s="42"/>
      <c r="E124" s="189"/>
      <c r="F124" s="190"/>
      <c r="G124" s="190"/>
      <c r="H124" s="190"/>
      <c r="I124" s="190"/>
      <c r="J124" s="190"/>
      <c r="K124" s="190"/>
      <c r="L124" s="193"/>
      <c r="M124" s="199"/>
      <c r="N124" s="199"/>
    </row>
    <row r="125" spans="1:14">
      <c r="A125" s="2024"/>
      <c r="B125" s="2025"/>
      <c r="C125" s="116">
        <v>2019</v>
      </c>
      <c r="D125" s="42"/>
      <c r="E125" s="189"/>
      <c r="F125" s="190"/>
      <c r="G125" s="190"/>
      <c r="H125" s="190"/>
      <c r="I125" s="190"/>
      <c r="J125" s="190"/>
      <c r="K125" s="190"/>
      <c r="L125" s="193"/>
      <c r="M125" s="199"/>
      <c r="N125" s="199"/>
    </row>
    <row r="126" spans="1:14">
      <c r="A126" s="2024"/>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040" t="s">
        <v>74</v>
      </c>
      <c r="B129" s="2042" t="s">
        <v>61</v>
      </c>
      <c r="C129" s="202" t="s">
        <v>8</v>
      </c>
      <c r="D129" s="203" t="s">
        <v>75</v>
      </c>
      <c r="E129" s="204"/>
      <c r="F129" s="204"/>
      <c r="G129" s="205"/>
      <c r="H129" s="199"/>
      <c r="I129" s="199"/>
      <c r="J129" s="199"/>
      <c r="K129" s="199"/>
      <c r="L129" s="199"/>
      <c r="M129" s="199"/>
      <c r="N129" s="199"/>
    </row>
    <row r="130" spans="1:16" ht="77.25" customHeight="1">
      <c r="A130" s="2041"/>
      <c r="B130" s="2043"/>
      <c r="C130" s="206"/>
      <c r="D130" s="178" t="s">
        <v>76</v>
      </c>
      <c r="E130" s="207" t="s">
        <v>77</v>
      </c>
      <c r="F130" s="179" t="s">
        <v>78</v>
      </c>
      <c r="G130" s="208" t="s">
        <v>12</v>
      </c>
      <c r="H130" s="199"/>
      <c r="I130" s="199"/>
      <c r="J130" s="199"/>
      <c r="K130" s="199"/>
      <c r="L130" s="199"/>
      <c r="M130" s="199"/>
      <c r="N130" s="199"/>
    </row>
    <row r="131" spans="1:16" ht="15" customHeight="1">
      <c r="A131" s="2007"/>
      <c r="B131" s="1988"/>
      <c r="C131" s="340">
        <v>2015</v>
      </c>
      <c r="D131" s="341">
        <v>21</v>
      </c>
      <c r="E131" s="342"/>
      <c r="F131" s="342"/>
      <c r="G131" s="209">
        <f t="shared" ref="G131:G136" si="11">SUM(D131:F131)</f>
        <v>21</v>
      </c>
      <c r="H131" s="199"/>
      <c r="I131" s="199"/>
      <c r="J131" s="199"/>
      <c r="K131" s="199"/>
      <c r="L131" s="199"/>
      <c r="M131" s="199"/>
      <c r="N131" s="199"/>
    </row>
    <row r="132" spans="1:16">
      <c r="A132" s="1987"/>
      <c r="B132" s="1988"/>
      <c r="C132" s="116">
        <v>2016</v>
      </c>
      <c r="D132" s="40">
        <f>5*13</f>
        <v>65</v>
      </c>
      <c r="E132" s="42"/>
      <c r="F132" s="42"/>
      <c r="G132" s="209">
        <f>SUM(D132:F132)</f>
        <v>65</v>
      </c>
      <c r="H132" s="199"/>
      <c r="I132" s="199"/>
      <c r="J132" s="199"/>
      <c r="K132" s="199"/>
      <c r="L132" s="199"/>
      <c r="M132" s="199"/>
      <c r="N132" s="199"/>
    </row>
    <row r="133" spans="1:16">
      <c r="A133" s="1987"/>
      <c r="B133" s="1988"/>
      <c r="C133" s="116">
        <v>2017</v>
      </c>
      <c r="E133" s="42"/>
      <c r="F133" s="42"/>
      <c r="G133" s="209">
        <f t="shared" si="11"/>
        <v>0</v>
      </c>
      <c r="H133" s="199"/>
      <c r="I133" s="199"/>
      <c r="J133" s="199"/>
      <c r="K133" s="199"/>
      <c r="L133" s="199"/>
      <c r="M133" s="199"/>
      <c r="N133" s="199"/>
    </row>
    <row r="134" spans="1:16">
      <c r="A134" s="1987"/>
      <c r="B134" s="1988"/>
      <c r="C134" s="116">
        <v>2018</v>
      </c>
      <c r="D134" s="50"/>
      <c r="E134" s="42"/>
      <c r="F134" s="42"/>
      <c r="G134" s="209">
        <f t="shared" si="11"/>
        <v>0</v>
      </c>
      <c r="H134" s="199"/>
      <c r="I134" s="199"/>
      <c r="J134" s="199"/>
      <c r="K134" s="199"/>
      <c r="L134" s="199"/>
      <c r="M134" s="199"/>
      <c r="N134" s="199"/>
    </row>
    <row r="135" spans="1:16">
      <c r="A135" s="1987"/>
      <c r="B135" s="1988"/>
      <c r="C135" s="116">
        <v>2019</v>
      </c>
      <c r="D135" s="50"/>
      <c r="E135" s="42"/>
      <c r="F135" s="42"/>
      <c r="G135" s="209">
        <f t="shared" si="11"/>
        <v>0</v>
      </c>
      <c r="H135" s="199"/>
      <c r="I135" s="199"/>
      <c r="J135" s="199"/>
      <c r="K135" s="199"/>
      <c r="L135" s="199"/>
      <c r="M135" s="199"/>
      <c r="N135" s="199"/>
    </row>
    <row r="136" spans="1:16">
      <c r="A136" s="1987"/>
      <c r="B136" s="1988"/>
      <c r="C136" s="116">
        <v>2020</v>
      </c>
      <c r="D136" s="50"/>
      <c r="E136" s="42"/>
      <c r="F136" s="42"/>
      <c r="G136" s="209">
        <f t="shared" si="11"/>
        <v>0</v>
      </c>
      <c r="H136" s="199"/>
      <c r="I136" s="199"/>
      <c r="J136" s="199"/>
      <c r="K136" s="199"/>
      <c r="L136" s="199"/>
      <c r="M136" s="199"/>
      <c r="N136" s="199"/>
    </row>
    <row r="137" spans="1:16" ht="17.25" customHeight="1" thickBot="1">
      <c r="A137" s="1989"/>
      <c r="B137" s="1990"/>
      <c r="C137" s="122" t="s">
        <v>12</v>
      </c>
      <c r="D137" s="151">
        <f>SUM(D131:D136)</f>
        <v>86</v>
      </c>
      <c r="E137" s="151">
        <f t="shared" ref="E137:F137" si="12">SUM(E131:E136)</f>
        <v>0</v>
      </c>
      <c r="F137" s="151">
        <f t="shared" si="12"/>
        <v>0</v>
      </c>
      <c r="G137" s="210">
        <f>SUM(G131:G136)</f>
        <v>86</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044" t="s">
        <v>80</v>
      </c>
      <c r="B142" s="2034" t="s">
        <v>61</v>
      </c>
      <c r="C142" s="2038" t="s">
        <v>8</v>
      </c>
      <c r="D142" s="217" t="s">
        <v>81</v>
      </c>
      <c r="E142" s="218"/>
      <c r="F142" s="218"/>
      <c r="G142" s="218"/>
      <c r="H142" s="218"/>
      <c r="I142" s="219"/>
      <c r="J142" s="2028" t="s">
        <v>82</v>
      </c>
      <c r="K142" s="2029"/>
      <c r="L142" s="2029"/>
      <c r="M142" s="2029"/>
      <c r="N142" s="2030"/>
      <c r="O142" s="177"/>
      <c r="P142" s="177"/>
    </row>
    <row r="143" spans="1:16" ht="113.25" customHeight="1">
      <c r="A143" s="2045"/>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031"/>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024"/>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024"/>
      <c r="B146" s="2025"/>
      <c r="C146" s="116">
        <v>2016</v>
      </c>
      <c r="D146" s="50"/>
      <c r="E146" s="50"/>
      <c r="F146" s="42"/>
      <c r="G146" s="190"/>
      <c r="H146" s="190"/>
      <c r="I146" s="227">
        <f t="shared" si="13"/>
        <v>0</v>
      </c>
      <c r="J146" s="231"/>
      <c r="K146" s="232"/>
      <c r="L146" s="231"/>
      <c r="M146" s="232"/>
      <c r="N146" s="233"/>
      <c r="O146" s="177"/>
      <c r="P146" s="177"/>
    </row>
    <row r="147" spans="1:16" ht="17.25" customHeight="1">
      <c r="A147" s="2024"/>
      <c r="B147" s="2025"/>
      <c r="C147" s="116">
        <v>2017</v>
      </c>
      <c r="D147" s="50"/>
      <c r="E147" s="50"/>
      <c r="F147" s="42"/>
      <c r="G147" s="190"/>
      <c r="H147" s="190"/>
      <c r="I147" s="227">
        <f t="shared" si="13"/>
        <v>0</v>
      </c>
      <c r="J147" s="231"/>
      <c r="K147" s="232"/>
      <c r="L147" s="231"/>
      <c r="M147" s="232"/>
      <c r="N147" s="233"/>
      <c r="O147" s="177"/>
      <c r="P147" s="177"/>
    </row>
    <row r="148" spans="1:16" ht="19.5" customHeight="1">
      <c r="A148" s="2024"/>
      <c r="B148" s="2025"/>
      <c r="C148" s="116">
        <v>2018</v>
      </c>
      <c r="D148" s="50"/>
      <c r="E148" s="50"/>
      <c r="F148" s="42"/>
      <c r="G148" s="190"/>
      <c r="H148" s="190"/>
      <c r="I148" s="227">
        <f t="shared" si="13"/>
        <v>0</v>
      </c>
      <c r="J148" s="231"/>
      <c r="K148" s="232"/>
      <c r="L148" s="231"/>
      <c r="M148" s="232"/>
      <c r="N148" s="233"/>
      <c r="O148" s="177"/>
      <c r="P148" s="177"/>
    </row>
    <row r="149" spans="1:16" ht="19.5" customHeight="1">
      <c r="A149" s="2024"/>
      <c r="B149" s="2025"/>
      <c r="C149" s="116">
        <v>2019</v>
      </c>
      <c r="D149" s="50"/>
      <c r="E149" s="50"/>
      <c r="F149" s="42"/>
      <c r="G149" s="190"/>
      <c r="H149" s="190"/>
      <c r="I149" s="227">
        <f t="shared" si="13"/>
        <v>0</v>
      </c>
      <c r="J149" s="231"/>
      <c r="K149" s="232"/>
      <c r="L149" s="231"/>
      <c r="M149" s="232"/>
      <c r="N149" s="233"/>
      <c r="O149" s="177"/>
      <c r="P149" s="177"/>
    </row>
    <row r="150" spans="1:16" ht="18.75" customHeight="1">
      <c r="A150" s="2024"/>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57.75" customHeight="1">
      <c r="A153" s="2032" t="s">
        <v>93</v>
      </c>
      <c r="B153" s="2034" t="s">
        <v>61</v>
      </c>
      <c r="C153" s="2036" t="s">
        <v>8</v>
      </c>
      <c r="D153" s="239" t="s">
        <v>94</v>
      </c>
      <c r="E153" s="239"/>
      <c r="F153" s="240"/>
      <c r="G153" s="240"/>
      <c r="H153" s="239" t="s">
        <v>95</v>
      </c>
      <c r="I153" s="239"/>
      <c r="J153" s="241"/>
      <c r="K153" s="31"/>
      <c r="L153" s="31"/>
      <c r="M153" s="31"/>
      <c r="N153" s="31"/>
      <c r="O153" s="177"/>
      <c r="P153" s="177"/>
    </row>
    <row r="154" spans="1:16" ht="49.5" customHeight="1">
      <c r="A154" s="2033"/>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031"/>
      <c r="B155" s="2025"/>
      <c r="C155" s="247">
        <v>2014</v>
      </c>
      <c r="D155" s="228"/>
      <c r="E155" s="187"/>
      <c r="F155" s="229"/>
      <c r="G155" s="227">
        <f>SUM(D155:F155)</f>
        <v>0</v>
      </c>
      <c r="H155" s="228"/>
      <c r="I155" s="187"/>
      <c r="J155" s="188"/>
      <c r="O155" s="177"/>
      <c r="P155" s="177"/>
    </row>
    <row r="156" spans="1:16" ht="19.5" customHeight="1">
      <c r="A156" s="2024"/>
      <c r="B156" s="2025"/>
      <c r="C156" s="248">
        <v>2015</v>
      </c>
      <c r="D156" s="231"/>
      <c r="E156" s="190"/>
      <c r="F156" s="232"/>
      <c r="G156" s="227">
        <f t="shared" ref="G156:G161" si="15">SUM(D156:F156)</f>
        <v>0</v>
      </c>
      <c r="H156" s="231"/>
      <c r="I156" s="190"/>
      <c r="J156" s="193"/>
      <c r="O156" s="177"/>
      <c r="P156" s="177"/>
    </row>
    <row r="157" spans="1:16" ht="17.25" customHeight="1">
      <c r="A157" s="2024"/>
      <c r="B157" s="2025"/>
      <c r="C157" s="248">
        <v>2016</v>
      </c>
      <c r="D157" s="231"/>
      <c r="E157" s="190"/>
      <c r="F157" s="232"/>
      <c r="G157" s="227">
        <f t="shared" si="15"/>
        <v>0</v>
      </c>
      <c r="H157" s="231"/>
      <c r="I157" s="190"/>
      <c r="J157" s="193"/>
      <c r="O157" s="177"/>
      <c r="P157" s="177"/>
    </row>
    <row r="158" spans="1:16" ht="15" customHeight="1">
      <c r="A158" s="2024"/>
      <c r="B158" s="2025"/>
      <c r="C158" s="248">
        <v>2017</v>
      </c>
      <c r="D158" s="231"/>
      <c r="E158" s="190"/>
      <c r="F158" s="232"/>
      <c r="G158" s="227">
        <f t="shared" si="15"/>
        <v>0</v>
      </c>
      <c r="H158" s="231"/>
      <c r="I158" s="190"/>
      <c r="J158" s="193"/>
      <c r="O158" s="177"/>
      <c r="P158" s="177"/>
    </row>
    <row r="159" spans="1:16" ht="19.5" customHeight="1">
      <c r="A159" s="2024"/>
      <c r="B159" s="2025"/>
      <c r="C159" s="248">
        <v>2018</v>
      </c>
      <c r="D159" s="231"/>
      <c r="E159" s="190"/>
      <c r="F159" s="232"/>
      <c r="G159" s="227">
        <f t="shared" si="15"/>
        <v>0</v>
      </c>
      <c r="H159" s="231"/>
      <c r="I159" s="190"/>
      <c r="J159" s="193"/>
      <c r="O159" s="177"/>
      <c r="P159" s="177"/>
    </row>
    <row r="160" spans="1:16" ht="15" customHeight="1">
      <c r="A160" s="2024"/>
      <c r="B160" s="2025"/>
      <c r="C160" s="248">
        <v>2019</v>
      </c>
      <c r="D160" s="231"/>
      <c r="E160" s="190"/>
      <c r="F160" s="232"/>
      <c r="G160" s="227">
        <f t="shared" si="15"/>
        <v>0</v>
      </c>
      <c r="H160" s="231"/>
      <c r="I160" s="190"/>
      <c r="J160" s="193"/>
      <c r="O160" s="177"/>
      <c r="P160" s="177"/>
    </row>
    <row r="161" spans="1:18" ht="17.25" customHeight="1">
      <c r="A161" s="2024"/>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254"/>
      <c r="F163" s="177"/>
      <c r="G163" s="177"/>
      <c r="H163" s="177"/>
      <c r="I163" s="177"/>
      <c r="J163" s="255"/>
      <c r="K163" s="256"/>
    </row>
    <row r="164" spans="1:18" ht="95.25" customHeight="1">
      <c r="A164" s="257" t="s">
        <v>102</v>
      </c>
      <c r="B164" s="258" t="s">
        <v>103</v>
      </c>
      <c r="C164" s="259" t="s">
        <v>8</v>
      </c>
      <c r="D164" s="260" t="s">
        <v>104</v>
      </c>
      <c r="E164" s="260" t="s">
        <v>105</v>
      </c>
      <c r="F164" s="261" t="s">
        <v>106</v>
      </c>
      <c r="G164" s="260" t="s">
        <v>107</v>
      </c>
      <c r="H164" s="260" t="s">
        <v>108</v>
      </c>
      <c r="I164" s="262" t="s">
        <v>109</v>
      </c>
      <c r="J164" s="263" t="s">
        <v>110</v>
      </c>
      <c r="K164" s="263" t="s">
        <v>111</v>
      </c>
      <c r="L164" s="264"/>
    </row>
    <row r="165" spans="1:18" ht="15.75" customHeight="1">
      <c r="A165" s="2011"/>
      <c r="B165" s="2012"/>
      <c r="C165" s="265">
        <v>2014</v>
      </c>
      <c r="D165" s="187"/>
      <c r="E165" s="187"/>
      <c r="F165" s="187"/>
      <c r="G165" s="187"/>
      <c r="H165" s="187"/>
      <c r="I165" s="188"/>
      <c r="J165" s="266">
        <f>SUM(D165,F165,H165)</f>
        <v>0</v>
      </c>
      <c r="K165" s="267">
        <f>SUM(E165,G165,I165)</f>
        <v>0</v>
      </c>
      <c r="L165" s="264"/>
    </row>
    <row r="166" spans="1:18">
      <c r="A166" s="2013"/>
      <c r="B166" s="2014"/>
      <c r="C166" s="268">
        <v>2015</v>
      </c>
      <c r="D166" s="269"/>
      <c r="E166" s="269"/>
      <c r="F166" s="269"/>
      <c r="G166" s="269"/>
      <c r="H166" s="269"/>
      <c r="I166" s="270"/>
      <c r="J166" s="271">
        <f t="shared" ref="J166:K171" si="17">SUM(D166,F166,H166)</f>
        <v>0</v>
      </c>
      <c r="K166" s="272">
        <f t="shared" si="17"/>
        <v>0</v>
      </c>
      <c r="L166" s="264"/>
    </row>
    <row r="167" spans="1:18">
      <c r="A167" s="2013"/>
      <c r="B167" s="2014"/>
      <c r="C167" s="268">
        <v>2016</v>
      </c>
      <c r="D167" s="269"/>
      <c r="E167" s="269"/>
      <c r="F167" s="269"/>
      <c r="G167" s="269"/>
      <c r="H167" s="269"/>
      <c r="I167" s="270"/>
      <c r="J167" s="271">
        <f t="shared" si="17"/>
        <v>0</v>
      </c>
      <c r="K167" s="272">
        <f t="shared" si="17"/>
        <v>0</v>
      </c>
    </row>
    <row r="168" spans="1:18">
      <c r="A168" s="2013"/>
      <c r="B168" s="2014"/>
      <c r="C168" s="268">
        <v>2017</v>
      </c>
      <c r="D168" s="269"/>
      <c r="E168" s="177"/>
      <c r="F168" s="269"/>
      <c r="G168" s="269"/>
      <c r="H168" s="269"/>
      <c r="I168" s="270"/>
      <c r="J168" s="271">
        <f t="shared" si="17"/>
        <v>0</v>
      </c>
      <c r="K168" s="272">
        <f t="shared" si="17"/>
        <v>0</v>
      </c>
    </row>
    <row r="169" spans="1:18">
      <c r="A169" s="2013"/>
      <c r="B169" s="2014"/>
      <c r="C169" s="273">
        <v>2018</v>
      </c>
      <c r="D169" s="269"/>
      <c r="E169" s="269"/>
      <c r="F169" s="269"/>
      <c r="G169" s="274"/>
      <c r="H169" s="269"/>
      <c r="I169" s="270"/>
      <c r="J169" s="271">
        <f t="shared" si="17"/>
        <v>0</v>
      </c>
      <c r="K169" s="272">
        <f t="shared" si="17"/>
        <v>0</v>
      </c>
      <c r="L169" s="264"/>
    </row>
    <row r="170" spans="1:18">
      <c r="A170" s="2013"/>
      <c r="B170" s="2014"/>
      <c r="C170" s="268">
        <v>2019</v>
      </c>
      <c r="D170" s="177"/>
      <c r="E170" s="269"/>
      <c r="F170" s="269"/>
      <c r="G170" s="269"/>
      <c r="H170" s="274"/>
      <c r="I170" s="270"/>
      <c r="J170" s="271">
        <f t="shared" si="17"/>
        <v>0</v>
      </c>
      <c r="K170" s="272">
        <f t="shared" si="17"/>
        <v>0</v>
      </c>
      <c r="L170" s="264"/>
    </row>
    <row r="171" spans="1:18">
      <c r="A171" s="2013"/>
      <c r="B171" s="2014"/>
      <c r="C171" s="273">
        <v>2020</v>
      </c>
      <c r="D171" s="269"/>
      <c r="E171" s="269"/>
      <c r="F171" s="269"/>
      <c r="G171" s="269"/>
      <c r="H171" s="269"/>
      <c r="I171" s="270"/>
      <c r="J171" s="271">
        <f t="shared" si="17"/>
        <v>0</v>
      </c>
      <c r="K171" s="272">
        <f t="shared" si="17"/>
        <v>0</v>
      </c>
      <c r="L171" s="264"/>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264"/>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017" t="s">
        <v>113</v>
      </c>
      <c r="B176" s="1996" t="s">
        <v>114</v>
      </c>
      <c r="C176" s="2019" t="s">
        <v>8</v>
      </c>
      <c r="D176" s="282" t="s">
        <v>115</v>
      </c>
      <c r="E176" s="283"/>
      <c r="F176" s="283"/>
      <c r="G176" s="284"/>
      <c r="H176" s="285"/>
      <c r="I176" s="2021" t="s">
        <v>116</v>
      </c>
      <c r="J176" s="2022"/>
      <c r="K176" s="2022"/>
      <c r="L176" s="2022"/>
      <c r="M176" s="2022"/>
      <c r="N176" s="2022"/>
      <c r="O176" s="2023"/>
    </row>
    <row r="177" spans="1:15" s="31" customFormat="1" ht="129.75" customHeight="1">
      <c r="A177" s="2018"/>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024"/>
      <c r="B178" s="2025"/>
      <c r="C178" s="112">
        <v>2014</v>
      </c>
      <c r="D178" s="33"/>
      <c r="E178" s="34"/>
      <c r="F178" s="34"/>
      <c r="G178" s="293">
        <f>SUM(D178:F178)</f>
        <v>0</v>
      </c>
      <c r="H178" s="167"/>
      <c r="I178" s="167"/>
      <c r="J178" s="34"/>
      <c r="K178" s="34"/>
      <c r="L178" s="34"/>
      <c r="M178" s="34"/>
      <c r="N178" s="34"/>
      <c r="O178" s="37"/>
    </row>
    <row r="179" spans="1:15">
      <c r="A179" s="2024"/>
      <c r="B179" s="2025"/>
      <c r="C179" s="116">
        <v>2015</v>
      </c>
      <c r="D179" s="40">
        <v>3</v>
      </c>
      <c r="E179" s="42"/>
      <c r="F179" s="42"/>
      <c r="G179" s="293">
        <f t="shared" ref="G179:G184" si="19">SUM(D179:F179)</f>
        <v>3</v>
      </c>
      <c r="H179" s="294">
        <v>3</v>
      </c>
      <c r="I179" s="118"/>
      <c r="J179" s="42"/>
      <c r="K179" s="42"/>
      <c r="L179" s="41">
        <v>2</v>
      </c>
      <c r="M179" s="41">
        <v>1</v>
      </c>
      <c r="N179" s="42"/>
      <c r="O179" s="99"/>
    </row>
    <row r="180" spans="1:15">
      <c r="A180" s="2024"/>
      <c r="B180" s="2025"/>
      <c r="C180" s="116">
        <v>2016</v>
      </c>
      <c r="D180" s="40">
        <v>4</v>
      </c>
      <c r="E180" s="42"/>
      <c r="F180" s="42"/>
      <c r="G180" s="293">
        <f t="shared" si="19"/>
        <v>4</v>
      </c>
      <c r="H180" s="294">
        <v>4</v>
      </c>
      <c r="I180" s="118"/>
      <c r="J180" s="42"/>
      <c r="K180" s="42"/>
      <c r="L180" s="41">
        <v>3</v>
      </c>
      <c r="M180" s="41">
        <v>1</v>
      </c>
      <c r="N180" s="42"/>
      <c r="O180" s="99"/>
    </row>
    <row r="181" spans="1:15">
      <c r="A181" s="2024"/>
      <c r="B181" s="2025"/>
      <c r="C181" s="116">
        <v>2017</v>
      </c>
      <c r="D181" s="40"/>
      <c r="E181" s="42"/>
      <c r="F181" s="42"/>
      <c r="G181" s="293">
        <f t="shared" si="19"/>
        <v>0</v>
      </c>
      <c r="H181" s="294"/>
      <c r="I181" s="118"/>
      <c r="J181" s="42"/>
      <c r="K181" s="42"/>
      <c r="L181" s="42"/>
      <c r="M181" s="42"/>
      <c r="N181" s="42"/>
      <c r="O181" s="99"/>
    </row>
    <row r="182" spans="1:15">
      <c r="A182" s="2024"/>
      <c r="B182" s="2025"/>
      <c r="C182" s="116">
        <v>2018</v>
      </c>
      <c r="D182" s="50"/>
      <c r="E182" s="42"/>
      <c r="F182" s="42"/>
      <c r="G182" s="293">
        <f t="shared" si="19"/>
        <v>0</v>
      </c>
      <c r="H182" s="294"/>
      <c r="I182" s="118"/>
      <c r="J182" s="42"/>
      <c r="K182" s="42"/>
      <c r="L182" s="42"/>
      <c r="M182" s="42"/>
      <c r="N182" s="42"/>
      <c r="O182" s="99"/>
    </row>
    <row r="183" spans="1:15">
      <c r="A183" s="2024"/>
      <c r="B183" s="2025"/>
      <c r="C183" s="116">
        <v>2019</v>
      </c>
      <c r="D183" s="50"/>
      <c r="E183" s="42"/>
      <c r="F183" s="42"/>
      <c r="G183" s="293">
        <f t="shared" si="19"/>
        <v>0</v>
      </c>
      <c r="H183" s="294"/>
      <c r="I183" s="118"/>
      <c r="J183" s="42"/>
      <c r="K183" s="42"/>
      <c r="L183" s="42"/>
      <c r="M183" s="42"/>
      <c r="N183" s="42"/>
      <c r="O183" s="99"/>
    </row>
    <row r="184" spans="1:15">
      <c r="A184" s="2024"/>
      <c r="B184" s="2025"/>
      <c r="C184" s="116">
        <v>2020</v>
      </c>
      <c r="D184" s="50"/>
      <c r="E184" s="42"/>
      <c r="F184" s="42"/>
      <c r="G184" s="293">
        <f t="shared" si="19"/>
        <v>0</v>
      </c>
      <c r="H184" s="294"/>
      <c r="I184" s="118"/>
      <c r="J184" s="42"/>
      <c r="K184" s="42"/>
      <c r="L184" s="42"/>
      <c r="M184" s="42"/>
      <c r="N184" s="42"/>
      <c r="O184" s="99"/>
    </row>
    <row r="185" spans="1:15" ht="45" customHeight="1" thickBot="1">
      <c r="A185" s="2026"/>
      <c r="B185" s="2027"/>
      <c r="C185" s="122" t="s">
        <v>12</v>
      </c>
      <c r="D185" s="151">
        <f>SUM(D178:D184)</f>
        <v>7</v>
      </c>
      <c r="E185" s="125">
        <f>SUM(E178:E184)</f>
        <v>0</v>
      </c>
      <c r="F185" s="125">
        <f>SUM(F178:F184)</f>
        <v>0</v>
      </c>
      <c r="G185" s="234">
        <f t="shared" ref="G185:O185" si="20">SUM(G178:G184)</f>
        <v>7</v>
      </c>
      <c r="H185" s="295">
        <f t="shared" si="20"/>
        <v>7</v>
      </c>
      <c r="I185" s="124">
        <f t="shared" si="20"/>
        <v>0</v>
      </c>
      <c r="J185" s="125">
        <f t="shared" si="20"/>
        <v>0</v>
      </c>
      <c r="K185" s="125">
        <f t="shared" si="20"/>
        <v>0</v>
      </c>
      <c r="L185" s="125">
        <f t="shared" si="20"/>
        <v>5</v>
      </c>
      <c r="M185" s="125">
        <f t="shared" si="20"/>
        <v>2</v>
      </c>
      <c r="N185" s="125">
        <f t="shared" si="20"/>
        <v>0</v>
      </c>
      <c r="O185" s="126">
        <f t="shared" si="20"/>
        <v>0</v>
      </c>
    </row>
    <row r="186" spans="1:15" ht="33" customHeight="1" thickBot="1"/>
    <row r="187" spans="1:15" ht="19.5" customHeight="1">
      <c r="A187" s="1994" t="s">
        <v>122</v>
      </c>
      <c r="B187" s="1996" t="s">
        <v>114</v>
      </c>
      <c r="C187" s="1998" t="s">
        <v>8</v>
      </c>
      <c r="D187" s="2000" t="s">
        <v>123</v>
      </c>
      <c r="E187" s="2001"/>
      <c r="F187" s="2001"/>
      <c r="G187" s="2002"/>
      <c r="H187" s="2003"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005" t="s">
        <v>133</v>
      </c>
      <c r="B189" s="2006"/>
      <c r="C189" s="300">
        <v>2014</v>
      </c>
      <c r="D189" s="142"/>
      <c r="E189" s="115"/>
      <c r="F189" s="115"/>
      <c r="G189" s="301">
        <f>SUM(D189:F189)</f>
        <v>0</v>
      </c>
      <c r="H189" s="114"/>
      <c r="I189" s="115"/>
      <c r="J189" s="115"/>
      <c r="K189" s="115"/>
      <c r="L189" s="143"/>
    </row>
    <row r="190" spans="1:15">
      <c r="A190" s="2007"/>
      <c r="B190" s="2008"/>
      <c r="C190" s="302">
        <v>2015</v>
      </c>
      <c r="D190" s="50">
        <v>197</v>
      </c>
      <c r="E190" s="42"/>
      <c r="F190" s="42"/>
      <c r="G190" s="301">
        <f t="shared" ref="G190:G195" si="21">SUM(D190:F190)</f>
        <v>197</v>
      </c>
      <c r="H190" s="118">
        <v>0</v>
      </c>
      <c r="I190" s="42">
        <v>54</v>
      </c>
      <c r="J190" s="42"/>
      <c r="K190" s="42"/>
      <c r="L190" s="99">
        <v>143</v>
      </c>
    </row>
    <row r="191" spans="1:15">
      <c r="A191" s="2007"/>
      <c r="B191" s="2008"/>
      <c r="C191" s="302">
        <v>2016</v>
      </c>
      <c r="D191" s="50">
        <v>221</v>
      </c>
      <c r="E191" s="42"/>
      <c r="F191" s="42"/>
      <c r="G191" s="301">
        <f t="shared" si="21"/>
        <v>221</v>
      </c>
      <c r="H191" s="118">
        <v>0</v>
      </c>
      <c r="I191" s="42">
        <v>55</v>
      </c>
      <c r="J191" s="42"/>
      <c r="K191" s="42"/>
      <c r="L191" s="99">
        <v>166</v>
      </c>
    </row>
    <row r="192" spans="1:15">
      <c r="A192" s="2007"/>
      <c r="B192" s="2008"/>
      <c r="C192" s="302">
        <v>2017</v>
      </c>
      <c r="D192" s="50"/>
      <c r="E192" s="42"/>
      <c r="F192" s="42"/>
      <c r="G192" s="301">
        <f t="shared" si="21"/>
        <v>0</v>
      </c>
      <c r="H192" s="118"/>
      <c r="I192" s="42"/>
      <c r="J192" s="42"/>
      <c r="K192" s="42"/>
      <c r="L192" s="99"/>
    </row>
    <row r="193" spans="1:14">
      <c r="A193" s="2007"/>
      <c r="B193" s="2008"/>
      <c r="C193" s="302">
        <v>2018</v>
      </c>
      <c r="D193" s="50"/>
      <c r="E193" s="42"/>
      <c r="F193" s="42"/>
      <c r="G193" s="301">
        <f t="shared" si="21"/>
        <v>0</v>
      </c>
      <c r="H193" s="118"/>
      <c r="I193" s="42"/>
      <c r="J193" s="42"/>
      <c r="K193" s="42"/>
      <c r="L193" s="99"/>
    </row>
    <row r="194" spans="1:14">
      <c r="A194" s="2007"/>
      <c r="B194" s="2008"/>
      <c r="C194" s="302">
        <v>2019</v>
      </c>
      <c r="D194" s="50"/>
      <c r="E194" s="42"/>
      <c r="F194" s="42"/>
      <c r="G194" s="301">
        <f t="shared" si="21"/>
        <v>0</v>
      </c>
      <c r="H194" s="118"/>
      <c r="I194" s="42"/>
      <c r="J194" s="42"/>
      <c r="K194" s="42"/>
      <c r="L194" s="99"/>
    </row>
    <row r="195" spans="1:14">
      <c r="A195" s="2007"/>
      <c r="B195" s="2008"/>
      <c r="C195" s="302">
        <v>2020</v>
      </c>
      <c r="D195" s="50"/>
      <c r="E195" s="42"/>
      <c r="F195" s="42"/>
      <c r="G195" s="301">
        <f t="shared" si="21"/>
        <v>0</v>
      </c>
      <c r="H195" s="118"/>
      <c r="I195" s="42"/>
      <c r="J195" s="42"/>
      <c r="K195" s="42"/>
      <c r="L195" s="99"/>
    </row>
    <row r="196" spans="1:14" ht="15.75" thickBot="1">
      <c r="A196" s="2009"/>
      <c r="B196" s="2010"/>
      <c r="C196" s="303" t="s">
        <v>12</v>
      </c>
      <c r="D196" s="151">
        <f t="shared" ref="D196:L196" si="22">SUM(D189:D195)</f>
        <v>418</v>
      </c>
      <c r="E196" s="125">
        <f t="shared" si="22"/>
        <v>0</v>
      </c>
      <c r="F196" s="125">
        <f t="shared" si="22"/>
        <v>0</v>
      </c>
      <c r="G196" s="304">
        <f t="shared" si="22"/>
        <v>418</v>
      </c>
      <c r="H196" s="124">
        <f t="shared" si="22"/>
        <v>0</v>
      </c>
      <c r="I196" s="125">
        <f t="shared" si="22"/>
        <v>109</v>
      </c>
      <c r="J196" s="125">
        <f t="shared" si="22"/>
        <v>0</v>
      </c>
      <c r="K196" s="125">
        <f t="shared" si="22"/>
        <v>0</v>
      </c>
      <c r="L196" s="126">
        <f t="shared" si="22"/>
        <v>309</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308" t="s">
        <v>135</v>
      </c>
      <c r="B201" s="309" t="s">
        <v>114</v>
      </c>
      <c r="C201" s="310" t="s">
        <v>8</v>
      </c>
      <c r="D201" s="311" t="s">
        <v>136</v>
      </c>
      <c r="E201" s="312" t="s">
        <v>137</v>
      </c>
      <c r="F201" s="312" t="s">
        <v>138</v>
      </c>
      <c r="G201" s="310" t="s">
        <v>139</v>
      </c>
      <c r="H201" s="313" t="s">
        <v>140</v>
      </c>
      <c r="I201" s="314" t="s">
        <v>141</v>
      </c>
      <c r="J201" s="315" t="s">
        <v>142</v>
      </c>
      <c r="K201" s="312" t="s">
        <v>143</v>
      </c>
      <c r="L201" s="316" t="s">
        <v>144</v>
      </c>
    </row>
    <row r="202" spans="1:14" ht="15" customHeight="1">
      <c r="A202" s="1987"/>
      <c r="B202" s="1988"/>
      <c r="C202" s="84">
        <v>2014</v>
      </c>
      <c r="D202" s="33"/>
      <c r="E202" s="34"/>
      <c r="F202" s="34"/>
      <c r="G202" s="32"/>
      <c r="H202" s="317"/>
      <c r="I202" s="318"/>
      <c r="J202" s="319"/>
      <c r="K202" s="34"/>
      <c r="L202" s="37"/>
    </row>
    <row r="203" spans="1:14">
      <c r="A203" s="1987"/>
      <c r="B203" s="1988"/>
      <c r="C203" s="86">
        <v>2015</v>
      </c>
      <c r="D203" s="50"/>
      <c r="E203" s="42"/>
      <c r="F203" s="42"/>
      <c r="G203" s="39"/>
      <c r="H203" s="320"/>
      <c r="I203" s="321"/>
      <c r="J203" s="322"/>
      <c r="K203" s="42"/>
      <c r="L203" s="99"/>
    </row>
    <row r="204" spans="1:14">
      <c r="A204" s="1987"/>
      <c r="B204" s="1988"/>
      <c r="C204" s="86">
        <v>2016</v>
      </c>
      <c r="D204" s="50"/>
      <c r="E204" s="42"/>
      <c r="F204" s="42"/>
      <c r="G204" s="39"/>
      <c r="H204" s="320"/>
      <c r="I204" s="321"/>
      <c r="J204" s="322"/>
      <c r="K204" s="42"/>
      <c r="L204" s="99"/>
    </row>
    <row r="205" spans="1:14">
      <c r="A205" s="1987"/>
      <c r="B205" s="1988"/>
      <c r="C205" s="86">
        <v>2017</v>
      </c>
      <c r="D205" s="50"/>
      <c r="E205" s="42"/>
      <c r="F205" s="42"/>
      <c r="G205" s="39"/>
      <c r="H205" s="320"/>
      <c r="I205" s="321"/>
      <c r="J205" s="322"/>
      <c r="K205" s="42"/>
      <c r="L205" s="99"/>
    </row>
    <row r="206" spans="1:14">
      <c r="A206" s="1987"/>
      <c r="B206" s="1988"/>
      <c r="C206" s="86">
        <v>2018</v>
      </c>
      <c r="D206" s="50"/>
      <c r="E206" s="42"/>
      <c r="F206" s="42"/>
      <c r="G206" s="39"/>
      <c r="H206" s="320"/>
      <c r="I206" s="321"/>
      <c r="J206" s="322"/>
      <c r="K206" s="42"/>
      <c r="L206" s="99"/>
    </row>
    <row r="207" spans="1:14">
      <c r="A207" s="1987"/>
      <c r="B207" s="1988"/>
      <c r="C207" s="86">
        <v>2019</v>
      </c>
      <c r="D207" s="50"/>
      <c r="E207" s="42"/>
      <c r="F207" s="42"/>
      <c r="G207" s="39"/>
      <c r="H207" s="320"/>
      <c r="I207" s="321"/>
      <c r="J207" s="322"/>
      <c r="K207" s="42"/>
      <c r="L207" s="99"/>
    </row>
    <row r="208" spans="1:14">
      <c r="A208" s="1987"/>
      <c r="B208" s="1988"/>
      <c r="C208" s="86">
        <v>2020</v>
      </c>
      <c r="D208" s="323"/>
      <c r="E208" s="324"/>
      <c r="F208" s="324"/>
      <c r="G208" s="325"/>
      <c r="H208" s="326"/>
      <c r="I208" s="327"/>
      <c r="J208" s="328"/>
      <c r="K208" s="324"/>
      <c r="L208" s="329"/>
    </row>
    <row r="209" spans="1:12" ht="20.25" customHeight="1" thickBot="1">
      <c r="A209" s="1989"/>
      <c r="B209" s="1990"/>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330" t="s">
        <v>145</v>
      </c>
      <c r="B212" s="331" t="s">
        <v>146</v>
      </c>
      <c r="C212" s="332">
        <v>2014</v>
      </c>
      <c r="D212" s="333">
        <v>2015</v>
      </c>
      <c r="E212" s="333">
        <v>2016</v>
      </c>
      <c r="F212" s="333">
        <v>2017</v>
      </c>
      <c r="G212" s="333">
        <v>2018</v>
      </c>
      <c r="H212" s="333">
        <v>2019</v>
      </c>
      <c r="I212" s="334">
        <v>2020</v>
      </c>
    </row>
    <row r="213" spans="1:12" ht="15" customHeight="1">
      <c r="A213" t="s">
        <v>147</v>
      </c>
      <c r="B213" s="1991" t="s">
        <v>148</v>
      </c>
      <c r="C213" s="84"/>
      <c r="D213" s="144">
        <f>D214+D216+D217</f>
        <v>272181.88</v>
      </c>
      <c r="E213" s="145">
        <f>E214+E216+E217</f>
        <v>627874.43000000005</v>
      </c>
      <c r="F213" s="147"/>
      <c r="G213" s="147"/>
      <c r="H213" s="147"/>
      <c r="I213" s="335"/>
    </row>
    <row r="214" spans="1:12">
      <c r="A214" t="s">
        <v>149</v>
      </c>
      <c r="B214" s="1992"/>
      <c r="C214" s="84"/>
      <c r="D214" s="144">
        <f>45812.54+197206.34-67040.98-4858.5</f>
        <v>171119.40000000002</v>
      </c>
      <c r="E214" s="145">
        <f>452148.32-32338</f>
        <v>419810.32</v>
      </c>
      <c r="F214" s="147"/>
      <c r="G214" s="147"/>
      <c r="H214" s="147"/>
      <c r="I214" s="335"/>
    </row>
    <row r="215" spans="1:12">
      <c r="A215" t="s">
        <v>150</v>
      </c>
      <c r="B215" s="1992"/>
      <c r="C215" s="84"/>
      <c r="D215" s="144">
        <v>0</v>
      </c>
      <c r="E215" s="145">
        <v>0</v>
      </c>
      <c r="F215" s="147"/>
      <c r="G215" s="147"/>
      <c r="H215" s="147"/>
      <c r="I215" s="335"/>
    </row>
    <row r="216" spans="1:12">
      <c r="A216" t="s">
        <v>151</v>
      </c>
      <c r="B216" s="1992"/>
      <c r="C216" s="84"/>
      <c r="D216" s="144">
        <f>18000+4858.5+67040.98</f>
        <v>89899.48</v>
      </c>
      <c r="E216" s="145">
        <f>73800+62715.08+13777.43+42000</f>
        <v>192292.51</v>
      </c>
      <c r="F216" s="147"/>
      <c r="G216" s="147"/>
      <c r="H216" s="147"/>
      <c r="I216" s="335"/>
    </row>
    <row r="217" spans="1:12">
      <c r="A217" t="s">
        <v>152</v>
      </c>
      <c r="B217" s="1992"/>
      <c r="C217" s="84"/>
      <c r="D217" s="144">
        <v>11163</v>
      </c>
      <c r="E217" s="145">
        <f>15771.6</f>
        <v>15771.6</v>
      </c>
      <c r="F217" s="147"/>
      <c r="G217" s="147"/>
      <c r="H217" s="147"/>
      <c r="I217" s="335"/>
    </row>
    <row r="218" spans="1:12" ht="30">
      <c r="A218" s="31" t="s">
        <v>153</v>
      </c>
      <c r="B218" s="1992"/>
      <c r="C218" s="84"/>
      <c r="D218" s="144">
        <f>16911.27+86683.9+7302.12</f>
        <v>110897.29</v>
      </c>
      <c r="E218" s="145">
        <f>237305.13+36602.34+32338</f>
        <v>306245.46999999997</v>
      </c>
      <c r="F218" s="147"/>
      <c r="G218" s="147"/>
      <c r="H218" s="147"/>
      <c r="I218" s="335"/>
    </row>
    <row r="219" spans="1:12" ht="42.75" customHeight="1" thickBot="1">
      <c r="A219" s="336"/>
      <c r="B219" s="1993"/>
      <c r="C219" s="54" t="s">
        <v>12</v>
      </c>
      <c r="D219" s="337">
        <f>SUM(D214:D218)</f>
        <v>383079.17</v>
      </c>
      <c r="E219" s="338">
        <f t="shared" ref="E219:I219" si="24">SUM(E214:E218)</f>
        <v>934119.9</v>
      </c>
      <c r="F219" s="337">
        <f t="shared" si="24"/>
        <v>0</v>
      </c>
      <c r="G219" s="337">
        <f t="shared" si="24"/>
        <v>0</v>
      </c>
      <c r="H219" s="337">
        <f t="shared" si="24"/>
        <v>0</v>
      </c>
      <c r="I219" s="337">
        <f t="shared" si="24"/>
        <v>0</v>
      </c>
    </row>
    <row r="220" spans="1:12">
      <c r="D220" s="31"/>
    </row>
    <row r="223" spans="1:12">
      <c r="G223" t="s">
        <v>154</v>
      </c>
    </row>
    <row r="225" spans="1:7">
      <c r="G225" t="s">
        <v>155</v>
      </c>
    </row>
    <row r="227" spans="1:7">
      <c r="A227" s="31"/>
    </row>
  </sheetData>
  <mergeCells count="57">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A105"/>
    <mergeCell ref="B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0"/>
  <dimension ref="A1:Y227"/>
  <sheetViews>
    <sheetView topLeftCell="A211" workbookViewId="0">
      <selection activeCell="D228" sqref="D228"/>
    </sheetView>
  </sheetViews>
  <sheetFormatPr defaultColWidth="8.85546875" defaultRowHeight="15"/>
  <cols>
    <col min="1" max="1" width="91" customWidth="1"/>
    <col min="2" max="2" width="44"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257</v>
      </c>
      <c r="C1" s="2077"/>
      <c r="D1" s="2077"/>
      <c r="E1" s="2077"/>
      <c r="F1" s="2077"/>
    </row>
    <row r="2" spans="1:25" s="2" customFormat="1" ht="20.100000000000001" customHeight="1" thickBot="1"/>
    <row r="3" spans="1:25" s="5" customFormat="1" ht="20.100000000000001" customHeight="1">
      <c r="A3" s="522" t="s">
        <v>1</v>
      </c>
      <c r="B3" s="523"/>
      <c r="C3" s="523"/>
      <c r="D3" s="523"/>
      <c r="E3" s="523"/>
      <c r="F3" s="2236"/>
      <c r="G3" s="2236"/>
      <c r="H3" s="2236"/>
      <c r="I3" s="2236"/>
      <c r="J3" s="2236"/>
      <c r="K3" s="2236"/>
      <c r="L3" s="2236"/>
      <c r="M3" s="2236"/>
      <c r="N3" s="2236"/>
      <c r="O3" s="2237"/>
    </row>
    <row r="4" spans="1:25" s="5" customFormat="1" ht="20.100000000000001" customHeight="1">
      <c r="A4" s="2080" t="s">
        <v>2</v>
      </c>
      <c r="B4" s="2081"/>
      <c r="C4" s="2081"/>
      <c r="D4" s="2081"/>
      <c r="E4" s="2081"/>
      <c r="F4" s="2081"/>
      <c r="G4" s="2081"/>
      <c r="H4" s="2081"/>
      <c r="I4" s="2081"/>
      <c r="J4" s="2081"/>
      <c r="K4" s="2081"/>
      <c r="L4" s="2081"/>
      <c r="M4" s="2081"/>
      <c r="N4" s="2081"/>
      <c r="O4" s="2082"/>
    </row>
    <row r="5" spans="1:25" s="5" customFormat="1" ht="20.100000000000001" customHeight="1">
      <c r="A5" s="2080"/>
      <c r="B5" s="2081"/>
      <c r="C5" s="2081"/>
      <c r="D5" s="2081"/>
      <c r="E5" s="2081"/>
      <c r="F5" s="2081"/>
      <c r="G5" s="2081"/>
      <c r="H5" s="2081"/>
      <c r="I5" s="2081"/>
      <c r="J5" s="2081"/>
      <c r="K5" s="2081"/>
      <c r="L5" s="2081"/>
      <c r="M5" s="2081"/>
      <c r="N5" s="2081"/>
      <c r="O5" s="2082"/>
    </row>
    <row r="6" spans="1:25" s="5" customFormat="1" ht="20.100000000000001" customHeight="1">
      <c r="A6" s="2080"/>
      <c r="B6" s="2081"/>
      <c r="C6" s="2081"/>
      <c r="D6" s="2081"/>
      <c r="E6" s="2081"/>
      <c r="F6" s="2081"/>
      <c r="G6" s="2081"/>
      <c r="H6" s="2081"/>
      <c r="I6" s="2081"/>
      <c r="J6" s="2081"/>
      <c r="K6" s="2081"/>
      <c r="L6" s="2081"/>
      <c r="M6" s="2081"/>
      <c r="N6" s="2081"/>
      <c r="O6" s="2082"/>
    </row>
    <row r="7" spans="1:25" s="5" customFormat="1" ht="20.100000000000001" customHeight="1">
      <c r="A7" s="2080"/>
      <c r="B7" s="2081"/>
      <c r="C7" s="2081"/>
      <c r="D7" s="2081"/>
      <c r="E7" s="2081"/>
      <c r="F7" s="2081"/>
      <c r="G7" s="2081"/>
      <c r="H7" s="2081"/>
      <c r="I7" s="2081"/>
      <c r="J7" s="2081"/>
      <c r="K7" s="2081"/>
      <c r="L7" s="2081"/>
      <c r="M7" s="2081"/>
      <c r="N7" s="2081"/>
      <c r="O7" s="2082"/>
    </row>
    <row r="8" spans="1:25" s="5" customFormat="1" ht="20.100000000000001" customHeight="1">
      <c r="A8" s="2080"/>
      <c r="B8" s="2081"/>
      <c r="C8" s="2081"/>
      <c r="D8" s="2081"/>
      <c r="E8" s="2081"/>
      <c r="F8" s="2081"/>
      <c r="G8" s="2081"/>
      <c r="H8" s="2081"/>
      <c r="I8" s="2081"/>
      <c r="J8" s="2081"/>
      <c r="K8" s="2081"/>
      <c r="L8" s="2081"/>
      <c r="M8" s="2081"/>
      <c r="N8" s="2081"/>
      <c r="O8" s="2082"/>
    </row>
    <row r="9" spans="1:25" s="5" customFormat="1" ht="20.100000000000001" customHeight="1">
      <c r="A9" s="2080"/>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570"/>
      <c r="B15" s="571"/>
      <c r="C15" s="11"/>
      <c r="D15" s="2238" t="s">
        <v>4</v>
      </c>
      <c r="E15" s="2239"/>
      <c r="F15" s="2239"/>
      <c r="G15" s="2239"/>
      <c r="H15" s="12"/>
      <c r="I15" s="13" t="s">
        <v>5</v>
      </c>
      <c r="J15" s="14"/>
      <c r="K15" s="14"/>
      <c r="L15" s="14"/>
      <c r="M15" s="14"/>
      <c r="N15" s="14"/>
      <c r="O15" s="15"/>
      <c r="P15" s="16"/>
      <c r="Q15" s="17"/>
      <c r="R15" s="18"/>
      <c r="S15" s="18"/>
      <c r="T15" s="18"/>
      <c r="U15" s="18"/>
      <c r="V15" s="18"/>
      <c r="W15" s="16"/>
      <c r="X15" s="16"/>
      <c r="Y15" s="17"/>
    </row>
    <row r="16" spans="1:25" s="31" customFormat="1" ht="129" customHeight="1">
      <c r="A16" s="20"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7.25" customHeight="1">
      <c r="A17" s="2405" t="s">
        <v>242</v>
      </c>
      <c r="B17" s="2406"/>
      <c r="C17" s="32">
        <v>2014</v>
      </c>
      <c r="D17" s="33"/>
      <c r="E17" s="34"/>
      <c r="F17" s="34"/>
      <c r="G17" s="914">
        <f t="shared" ref="G17:G23" si="0">SUM(D17:F17)</f>
        <v>0</v>
      </c>
      <c r="H17" s="36"/>
      <c r="I17" s="34"/>
      <c r="J17" s="34"/>
      <c r="K17" s="34"/>
      <c r="L17" s="34"/>
      <c r="M17" s="34"/>
      <c r="N17" s="34"/>
      <c r="O17" s="37"/>
      <c r="P17" s="38"/>
      <c r="Q17" s="38"/>
      <c r="R17" s="38"/>
      <c r="S17" s="38"/>
      <c r="T17" s="38"/>
      <c r="U17" s="38"/>
      <c r="V17" s="38"/>
      <c r="W17" s="38"/>
      <c r="X17" s="38"/>
      <c r="Y17" s="38"/>
    </row>
    <row r="18" spans="1:25" ht="21.75" customHeight="1">
      <c r="A18" s="2407"/>
      <c r="B18" s="2406"/>
      <c r="C18" s="39">
        <v>2015</v>
      </c>
      <c r="D18" s="915">
        <v>11</v>
      </c>
      <c r="E18" s="916">
        <v>2</v>
      </c>
      <c r="F18" s="916">
        <v>0</v>
      </c>
      <c r="G18" s="917">
        <f>SUM(D18:F18)</f>
        <v>13</v>
      </c>
      <c r="H18" s="918">
        <v>0</v>
      </c>
      <c r="I18" s="916">
        <v>3</v>
      </c>
      <c r="J18" s="916">
        <v>1</v>
      </c>
      <c r="K18" s="916">
        <v>4</v>
      </c>
      <c r="L18" s="916">
        <v>0</v>
      </c>
      <c r="M18" s="916">
        <v>0</v>
      </c>
      <c r="N18" s="916">
        <v>0</v>
      </c>
      <c r="O18" s="919">
        <v>5</v>
      </c>
      <c r="P18" s="38"/>
      <c r="Q18" s="38"/>
      <c r="R18" s="38"/>
      <c r="S18" s="38"/>
      <c r="T18" s="38"/>
      <c r="U18" s="38"/>
      <c r="V18" s="38"/>
      <c r="W18" s="38"/>
      <c r="X18" s="38"/>
      <c r="Y18" s="38"/>
    </row>
    <row r="19" spans="1:25" ht="18.75" customHeight="1">
      <c r="A19" s="2407"/>
      <c r="B19" s="2406"/>
      <c r="C19" s="39">
        <v>2016</v>
      </c>
      <c r="D19" s="915">
        <v>23</v>
      </c>
      <c r="E19" s="916">
        <v>1</v>
      </c>
      <c r="F19" s="916">
        <v>0</v>
      </c>
      <c r="G19" s="917">
        <f t="shared" si="0"/>
        <v>24</v>
      </c>
      <c r="H19" s="918">
        <v>0</v>
      </c>
      <c r="I19" s="916">
        <v>8</v>
      </c>
      <c r="J19" s="916">
        <v>0</v>
      </c>
      <c r="K19" s="916">
        <v>9</v>
      </c>
      <c r="L19" s="916">
        <v>0</v>
      </c>
      <c r="M19" s="916">
        <v>0</v>
      </c>
      <c r="N19" s="916">
        <v>0</v>
      </c>
      <c r="O19" s="919">
        <v>7</v>
      </c>
      <c r="P19" s="38"/>
      <c r="Q19" s="38"/>
      <c r="R19" s="38"/>
      <c r="S19" s="38"/>
      <c r="T19" s="38"/>
      <c r="U19" s="38"/>
      <c r="V19" s="38"/>
      <c r="W19" s="38"/>
      <c r="X19" s="38"/>
      <c r="Y19" s="38"/>
    </row>
    <row r="20" spans="1:25" ht="16.5" customHeight="1">
      <c r="A20" s="2407"/>
      <c r="B20" s="2406"/>
      <c r="C20" s="39">
        <v>2017</v>
      </c>
      <c r="D20" s="915"/>
      <c r="E20" s="916"/>
      <c r="F20" s="916"/>
      <c r="G20" s="917">
        <f t="shared" si="0"/>
        <v>0</v>
      </c>
      <c r="H20" s="918"/>
      <c r="I20" s="916"/>
      <c r="J20" s="916"/>
      <c r="K20" s="916"/>
      <c r="L20" s="916"/>
      <c r="M20" s="916"/>
      <c r="N20" s="916"/>
      <c r="O20" s="919"/>
      <c r="P20" s="38"/>
      <c r="Q20" s="38"/>
      <c r="R20" s="38"/>
      <c r="S20" s="38"/>
      <c r="T20" s="38"/>
      <c r="U20" s="38"/>
      <c r="V20" s="38"/>
      <c r="W20" s="38"/>
      <c r="X20" s="38"/>
      <c r="Y20" s="38"/>
    </row>
    <row r="21" spans="1:25" ht="17.25" customHeight="1">
      <c r="A21" s="2407"/>
      <c r="B21" s="2406"/>
      <c r="C21" s="39">
        <v>2018</v>
      </c>
      <c r="D21" s="915"/>
      <c r="E21" s="916"/>
      <c r="F21" s="916"/>
      <c r="G21" s="917">
        <f t="shared" si="0"/>
        <v>0</v>
      </c>
      <c r="H21" s="918"/>
      <c r="I21" s="916"/>
      <c r="J21" s="916"/>
      <c r="K21" s="916"/>
      <c r="L21" s="916"/>
      <c r="M21" s="916"/>
      <c r="N21" s="916"/>
      <c r="O21" s="919"/>
      <c r="P21" s="38"/>
      <c r="Q21" s="38"/>
      <c r="R21" s="38"/>
      <c r="S21" s="38"/>
      <c r="T21" s="38"/>
      <c r="U21" s="38"/>
      <c r="V21" s="38"/>
      <c r="W21" s="38"/>
      <c r="X21" s="38"/>
      <c r="Y21" s="38"/>
    </row>
    <row r="22" spans="1:25" ht="18.75" customHeight="1">
      <c r="A22" s="2407"/>
      <c r="B22" s="2406"/>
      <c r="C22" s="53">
        <v>2019</v>
      </c>
      <c r="D22" s="915"/>
      <c r="E22" s="916"/>
      <c r="F22" s="916"/>
      <c r="G22" s="917">
        <f>SUM(D22:F22)</f>
        <v>0</v>
      </c>
      <c r="H22" s="918"/>
      <c r="I22" s="916"/>
      <c r="J22" s="916"/>
      <c r="K22" s="916"/>
      <c r="L22" s="916"/>
      <c r="M22" s="916"/>
      <c r="N22" s="916"/>
      <c r="O22" s="919"/>
      <c r="P22" s="38"/>
      <c r="Q22" s="38"/>
      <c r="R22" s="38"/>
      <c r="S22" s="38"/>
      <c r="T22" s="38"/>
      <c r="U22" s="38"/>
      <c r="V22" s="38"/>
      <c r="W22" s="38"/>
      <c r="X22" s="38"/>
      <c r="Y22" s="38"/>
    </row>
    <row r="23" spans="1:25" ht="17.25" customHeight="1">
      <c r="A23" s="2407"/>
      <c r="B23" s="2406"/>
      <c r="C23" s="39">
        <v>2020</v>
      </c>
      <c r="D23" s="915"/>
      <c r="E23" s="916"/>
      <c r="F23" s="916"/>
      <c r="G23" s="917">
        <f t="shared" si="0"/>
        <v>0</v>
      </c>
      <c r="H23" s="918"/>
      <c r="I23" s="916"/>
      <c r="J23" s="916"/>
      <c r="K23" s="916"/>
      <c r="L23" s="916"/>
      <c r="M23" s="916"/>
      <c r="N23" s="916"/>
      <c r="O23" s="919"/>
      <c r="P23" s="38"/>
      <c r="Q23" s="38"/>
      <c r="R23" s="38"/>
      <c r="S23" s="38"/>
      <c r="T23" s="38"/>
      <c r="U23" s="38"/>
      <c r="V23" s="38"/>
      <c r="W23" s="38"/>
      <c r="X23" s="38"/>
      <c r="Y23" s="38"/>
    </row>
    <row r="24" spans="1:25" ht="46.5" customHeight="1" thickBot="1">
      <c r="A24" s="2408"/>
      <c r="B24" s="2409"/>
      <c r="C24" s="920" t="s">
        <v>12</v>
      </c>
      <c r="D24" s="921">
        <f>SUM(D17:D23)</f>
        <v>34</v>
      </c>
      <c r="E24" s="922">
        <f>SUM(E17:E23)</f>
        <v>3</v>
      </c>
      <c r="F24" s="922">
        <f>SUM(F17:F23)</f>
        <v>0</v>
      </c>
      <c r="G24" s="923">
        <f>SUM(D24:F24)</f>
        <v>37</v>
      </c>
      <c r="H24" s="924">
        <f>SUM(H17:H23)</f>
        <v>0</v>
      </c>
      <c r="I24" s="925">
        <f>SUM(I17:I23)</f>
        <v>11</v>
      </c>
      <c r="J24" s="925">
        <f t="shared" ref="J24:N24" si="1">SUM(J17:J23)</f>
        <v>1</v>
      </c>
      <c r="K24" s="925">
        <f t="shared" si="1"/>
        <v>13</v>
      </c>
      <c r="L24" s="925">
        <f t="shared" si="1"/>
        <v>0</v>
      </c>
      <c r="M24" s="925">
        <f t="shared" si="1"/>
        <v>0</v>
      </c>
      <c r="N24" s="925">
        <f t="shared" si="1"/>
        <v>0</v>
      </c>
      <c r="O24" s="926">
        <f>SUM(O17:O23)</f>
        <v>12</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570"/>
      <c r="B26" s="571"/>
      <c r="C26" s="63"/>
      <c r="D26" s="2244" t="s">
        <v>4</v>
      </c>
      <c r="E26" s="2245"/>
      <c r="F26" s="2245"/>
      <c r="G26" s="2246"/>
      <c r="H26" s="16"/>
      <c r="I26" s="17"/>
      <c r="J26" s="18"/>
      <c r="K26" s="18"/>
      <c r="L26" s="18"/>
      <c r="M26" s="18"/>
      <c r="N26" s="18"/>
      <c r="O26" s="16"/>
      <c r="P26" s="16"/>
    </row>
    <row r="27" spans="1:25" s="31" customFormat="1" ht="93" customHeight="1">
      <c r="A27" s="64"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007" t="s">
        <v>243</v>
      </c>
      <c r="B28" s="1988"/>
      <c r="C28" s="68">
        <v>2014</v>
      </c>
      <c r="D28" s="927"/>
      <c r="E28" s="928"/>
      <c r="F28" s="928"/>
      <c r="G28" s="929">
        <f>SUM(D28:F28)</f>
        <v>0</v>
      </c>
      <c r="H28" s="38"/>
      <c r="I28" s="38"/>
      <c r="J28" s="38"/>
      <c r="K28" s="38"/>
      <c r="L28" s="38"/>
      <c r="M28" s="38"/>
      <c r="N28" s="38"/>
      <c r="O28" s="38"/>
      <c r="P28" s="38"/>
      <c r="Q28" s="8"/>
    </row>
    <row r="29" spans="1:25">
      <c r="A29" s="1987"/>
      <c r="B29" s="1988"/>
      <c r="C29" s="70">
        <v>2015</v>
      </c>
      <c r="D29" s="930">
        <v>989</v>
      </c>
      <c r="E29" s="931">
        <v>71000</v>
      </c>
      <c r="F29" s="931">
        <v>0</v>
      </c>
      <c r="G29" s="929">
        <f t="shared" ref="G29:G35" si="2">SUM(D29:F29)</f>
        <v>71989</v>
      </c>
      <c r="H29" s="38"/>
      <c r="I29" s="38"/>
      <c r="J29" s="38"/>
      <c r="K29" s="38"/>
      <c r="L29" s="38"/>
      <c r="M29" s="38"/>
      <c r="N29" s="38"/>
      <c r="O29" s="38"/>
      <c r="P29" s="38"/>
      <c r="Q29" s="8"/>
    </row>
    <row r="30" spans="1:25">
      <c r="A30" s="1987"/>
      <c r="B30" s="1988"/>
      <c r="C30" s="70">
        <v>2016</v>
      </c>
      <c r="D30" s="930">
        <v>2815</v>
      </c>
      <c r="E30" s="931">
        <v>35000</v>
      </c>
      <c r="F30" s="931">
        <v>0</v>
      </c>
      <c r="G30" s="929">
        <f t="shared" si="2"/>
        <v>37815</v>
      </c>
      <c r="H30" s="38"/>
      <c r="I30" s="38"/>
      <c r="J30" s="38"/>
      <c r="K30" s="38"/>
      <c r="L30" s="38"/>
      <c r="M30" s="38"/>
      <c r="N30" s="38"/>
      <c r="O30" s="38"/>
      <c r="P30" s="38"/>
      <c r="Q30" s="8"/>
    </row>
    <row r="31" spans="1:25">
      <c r="A31" s="1987"/>
      <c r="B31" s="1988"/>
      <c r="C31" s="70">
        <v>2017</v>
      </c>
      <c r="D31" s="930"/>
      <c r="E31" s="931"/>
      <c r="F31" s="931"/>
      <c r="G31" s="929">
        <f t="shared" si="2"/>
        <v>0</v>
      </c>
      <c r="H31" s="38"/>
      <c r="I31" s="38"/>
      <c r="J31" s="38"/>
      <c r="K31" s="38"/>
      <c r="L31" s="38"/>
      <c r="M31" s="38"/>
      <c r="N31" s="38"/>
      <c r="O31" s="38"/>
      <c r="P31" s="38"/>
      <c r="Q31" s="8"/>
    </row>
    <row r="32" spans="1:25">
      <c r="A32" s="1987"/>
      <c r="B32" s="1988"/>
      <c r="C32" s="70">
        <v>2018</v>
      </c>
      <c r="D32" s="930"/>
      <c r="E32" s="931"/>
      <c r="F32" s="931"/>
      <c r="G32" s="929">
        <f>SUM(D32:F32)</f>
        <v>0</v>
      </c>
      <c r="H32" s="38"/>
      <c r="I32" s="38"/>
      <c r="J32" s="38"/>
      <c r="K32" s="38"/>
      <c r="L32" s="38"/>
      <c r="M32" s="38"/>
      <c r="N32" s="38"/>
      <c r="O32" s="38"/>
      <c r="P32" s="38"/>
      <c r="Q32" s="8"/>
    </row>
    <row r="33" spans="1:17">
      <c r="A33" s="1987"/>
      <c r="B33" s="1988"/>
      <c r="C33" s="72">
        <v>2019</v>
      </c>
      <c r="D33" s="930"/>
      <c r="E33" s="931"/>
      <c r="F33" s="931"/>
      <c r="G33" s="929">
        <f t="shared" si="2"/>
        <v>0</v>
      </c>
      <c r="H33" s="38"/>
      <c r="I33" s="38"/>
      <c r="J33" s="38"/>
      <c r="K33" s="38"/>
      <c r="L33" s="38"/>
      <c r="M33" s="38"/>
      <c r="N33" s="38"/>
      <c r="O33" s="38"/>
      <c r="P33" s="38"/>
      <c r="Q33" s="8"/>
    </row>
    <row r="34" spans="1:17">
      <c r="A34" s="1987"/>
      <c r="B34" s="1988"/>
      <c r="C34" s="70">
        <v>2020</v>
      </c>
      <c r="D34" s="930"/>
      <c r="E34" s="931"/>
      <c r="F34" s="931"/>
      <c r="G34" s="929">
        <f t="shared" si="2"/>
        <v>0</v>
      </c>
      <c r="H34" s="38"/>
      <c r="I34" s="38"/>
      <c r="J34" s="38"/>
      <c r="K34" s="38"/>
      <c r="L34" s="38"/>
      <c r="M34" s="38"/>
      <c r="N34" s="38"/>
      <c r="O34" s="38"/>
      <c r="P34" s="38"/>
      <c r="Q34" s="8"/>
    </row>
    <row r="35" spans="1:17" ht="20.25" customHeight="1" thickBot="1">
      <c r="A35" s="1989"/>
      <c r="B35" s="1990"/>
      <c r="C35" s="73" t="s">
        <v>12</v>
      </c>
      <c r="D35" s="932">
        <f>SUM(D28:D34)</f>
        <v>3804</v>
      </c>
      <c r="E35" s="933">
        <f>SUM(E28:E34)</f>
        <v>106000</v>
      </c>
      <c r="F35" s="933">
        <f>SUM(F28:F34)</f>
        <v>0</v>
      </c>
      <c r="G35" s="934">
        <f t="shared" si="2"/>
        <v>109804</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F38" s="38"/>
      <c r="G38" s="38"/>
      <c r="H38" s="38"/>
    </row>
    <row r="39" spans="1:17" ht="88.5" customHeight="1">
      <c r="A39" s="576" t="s">
        <v>25</v>
      </c>
      <c r="B39" s="577" t="s">
        <v>7</v>
      </c>
      <c r="C39" s="80" t="s">
        <v>8</v>
      </c>
      <c r="D39" s="546" t="s">
        <v>26</v>
      </c>
      <c r="E39" s="82" t="s">
        <v>27</v>
      </c>
      <c r="F39" s="38"/>
      <c r="G39" s="30"/>
      <c r="H39" s="38"/>
    </row>
    <row r="40" spans="1:17">
      <c r="A40" s="2287" t="s">
        <v>244</v>
      </c>
      <c r="B40" s="2288"/>
      <c r="C40" s="84">
        <v>2014</v>
      </c>
      <c r="D40" s="33"/>
      <c r="E40" s="68"/>
      <c r="F40" s="38"/>
      <c r="G40" s="38"/>
      <c r="H40" s="38"/>
    </row>
    <row r="41" spans="1:17">
      <c r="A41" s="2289"/>
      <c r="B41" s="2288"/>
      <c r="C41" s="86">
        <v>2015</v>
      </c>
      <c r="D41" s="935" t="s">
        <v>245</v>
      </c>
      <c r="E41" s="936" t="s">
        <v>245</v>
      </c>
      <c r="F41" s="38"/>
      <c r="G41" s="38"/>
      <c r="H41" s="38"/>
    </row>
    <row r="42" spans="1:17">
      <c r="A42" s="2289"/>
      <c r="B42" s="2288"/>
      <c r="C42" s="86">
        <v>2016</v>
      </c>
      <c r="D42" s="937">
        <v>14310</v>
      </c>
      <c r="E42" s="938">
        <v>6685</v>
      </c>
      <c r="F42" s="38"/>
      <c r="G42" s="38"/>
      <c r="H42" s="38"/>
    </row>
    <row r="43" spans="1:17">
      <c r="A43" s="2289"/>
      <c r="B43" s="2288"/>
      <c r="C43" s="86">
        <v>2017</v>
      </c>
      <c r="D43" s="939"/>
      <c r="E43" s="940"/>
      <c r="F43" s="8"/>
      <c r="G43" s="38"/>
      <c r="H43" s="38"/>
    </row>
    <row r="44" spans="1:17">
      <c r="A44" s="2289"/>
      <c r="B44" s="2288"/>
      <c r="C44" s="86">
        <v>2018</v>
      </c>
      <c r="D44" s="939"/>
      <c r="E44" s="940"/>
      <c r="F44" s="8"/>
      <c r="G44" s="38"/>
      <c r="H44" s="38"/>
    </row>
    <row r="45" spans="1:17">
      <c r="A45" s="2289"/>
      <c r="B45" s="2288"/>
      <c r="C45" s="86">
        <v>2019</v>
      </c>
      <c r="D45" s="939"/>
      <c r="E45" s="940"/>
      <c r="F45" s="8"/>
      <c r="G45" s="38"/>
      <c r="H45" s="38"/>
    </row>
    <row r="46" spans="1:17">
      <c r="A46" s="2289"/>
      <c r="B46" s="2288"/>
      <c r="C46" s="86">
        <v>2020</v>
      </c>
      <c r="D46" s="939"/>
      <c r="E46" s="940"/>
      <c r="F46" s="8"/>
      <c r="G46" s="38"/>
      <c r="H46" s="38"/>
    </row>
    <row r="47" spans="1:17" ht="15.75" thickBot="1">
      <c r="A47" s="2290"/>
      <c r="B47" s="2291"/>
      <c r="C47" s="54" t="s">
        <v>12</v>
      </c>
      <c r="D47" s="941">
        <f>SUM(D40:D46)</f>
        <v>14310</v>
      </c>
      <c r="E47" s="942">
        <f>SUM(E40:E46)</f>
        <v>6685</v>
      </c>
      <c r="F47" s="8"/>
      <c r="G47" s="38"/>
      <c r="H47" s="38"/>
    </row>
    <row r="48" spans="1:17" s="38" customFormat="1" ht="15.75" thickBot="1">
      <c r="A48" s="549"/>
      <c r="B48" s="92"/>
      <c r="C48" s="93"/>
    </row>
    <row r="49" spans="1:15" ht="83.25" customHeight="1">
      <c r="A49" s="94" t="s">
        <v>29</v>
      </c>
      <c r="B49" s="577" t="s">
        <v>7</v>
      </c>
      <c r="C49" s="95" t="s">
        <v>8</v>
      </c>
      <c r="D49" s="546" t="s">
        <v>30</v>
      </c>
      <c r="E49" s="96" t="s">
        <v>31</v>
      </c>
      <c r="F49" s="96" t="s">
        <v>32</v>
      </c>
      <c r="G49" s="96" t="s">
        <v>33</v>
      </c>
      <c r="H49" s="96" t="s">
        <v>34</v>
      </c>
      <c r="I49" s="96" t="s">
        <v>35</v>
      </c>
      <c r="J49" s="96" t="s">
        <v>36</v>
      </c>
      <c r="K49" s="97" t="s">
        <v>37</v>
      </c>
    </row>
    <row r="50" spans="1:15" ht="17.25" customHeight="1">
      <c r="A50" s="2005" t="s">
        <v>246</v>
      </c>
      <c r="B50" s="2012"/>
      <c r="C50" s="98" t="s">
        <v>38</v>
      </c>
      <c r="D50" s="33"/>
      <c r="E50" s="34"/>
      <c r="F50" s="34"/>
      <c r="G50" s="34"/>
      <c r="H50" s="34"/>
      <c r="I50" s="34"/>
      <c r="J50" s="34"/>
      <c r="K50" s="37"/>
    </row>
    <row r="51" spans="1:15" ht="15" customHeight="1">
      <c r="A51" s="2007"/>
      <c r="B51" s="2014"/>
      <c r="C51" s="86">
        <v>2014</v>
      </c>
      <c r="D51" s="50"/>
      <c r="E51" s="42"/>
      <c r="F51" s="42"/>
      <c r="G51" s="42"/>
      <c r="H51" s="42"/>
      <c r="I51" s="42"/>
      <c r="J51" s="42"/>
      <c r="K51" s="99"/>
    </row>
    <row r="52" spans="1:15">
      <c r="A52" s="2007"/>
      <c r="B52" s="2014"/>
      <c r="C52" s="86">
        <v>2015</v>
      </c>
      <c r="D52" s="935">
        <v>2</v>
      </c>
      <c r="E52" s="916">
        <v>0</v>
      </c>
      <c r="F52" s="916">
        <v>0</v>
      </c>
      <c r="G52" s="943" t="s">
        <v>245</v>
      </c>
      <c r="H52" s="916">
        <v>0</v>
      </c>
      <c r="I52" s="916">
        <v>0</v>
      </c>
      <c r="J52" s="943">
        <v>5</v>
      </c>
      <c r="K52" s="944">
        <v>100</v>
      </c>
    </row>
    <row r="53" spans="1:15">
      <c r="A53" s="2007"/>
      <c r="B53" s="2014"/>
      <c r="C53" s="86">
        <v>2016</v>
      </c>
      <c r="D53" s="935">
        <v>2</v>
      </c>
      <c r="E53" s="916">
        <v>0</v>
      </c>
      <c r="F53" s="916">
        <v>0</v>
      </c>
      <c r="G53" s="943">
        <v>360</v>
      </c>
      <c r="H53" s="916">
        <v>0</v>
      </c>
      <c r="I53" s="916">
        <v>0</v>
      </c>
      <c r="J53" s="943">
        <v>119</v>
      </c>
      <c r="K53" s="944">
        <v>230</v>
      </c>
    </row>
    <row r="54" spans="1:15">
      <c r="A54" s="2007"/>
      <c r="B54" s="2014"/>
      <c r="C54" s="86">
        <v>2017</v>
      </c>
      <c r="D54" s="50"/>
      <c r="E54" s="42"/>
      <c r="F54" s="42"/>
      <c r="G54" s="42"/>
      <c r="H54" s="42"/>
      <c r="I54" s="42"/>
      <c r="J54" s="342"/>
      <c r="K54" s="616"/>
    </row>
    <row r="55" spans="1:15">
      <c r="A55" s="2007"/>
      <c r="B55" s="2014"/>
      <c r="C55" s="86">
        <v>2018</v>
      </c>
      <c r="D55" s="50"/>
      <c r="E55" s="42"/>
      <c r="F55" s="42"/>
      <c r="G55" s="42"/>
      <c r="H55" s="42"/>
      <c r="I55" s="42"/>
      <c r="J55" s="42"/>
      <c r="K55" s="99"/>
    </row>
    <row r="56" spans="1:15">
      <c r="A56" s="2007"/>
      <c r="B56" s="2014"/>
      <c r="C56" s="86">
        <v>2019</v>
      </c>
      <c r="D56" s="50"/>
      <c r="E56" s="42"/>
      <c r="F56" s="42"/>
      <c r="G56" s="42"/>
      <c r="H56" s="42"/>
      <c r="I56" s="42"/>
      <c r="J56" s="42"/>
      <c r="K56" s="99"/>
    </row>
    <row r="57" spans="1:15">
      <c r="A57" s="2007"/>
      <c r="B57" s="2014"/>
      <c r="C57" s="86">
        <v>2020</v>
      </c>
      <c r="D57" s="50"/>
      <c r="E57" s="42"/>
      <c r="F57" s="42"/>
      <c r="G57" s="42"/>
      <c r="H57" s="42"/>
      <c r="I57" s="42"/>
      <c r="J57" s="42"/>
      <c r="K57" s="100"/>
    </row>
    <row r="58" spans="1:15" ht="20.25" customHeight="1" thickBot="1">
      <c r="A58" s="2009"/>
      <c r="B58" s="2016"/>
      <c r="C58" s="54" t="s">
        <v>12</v>
      </c>
      <c r="D58" s="941">
        <f>SUM(D51:D57)</f>
        <v>4</v>
      </c>
      <c r="E58" s="933">
        <f>SUM(E51:E57)</f>
        <v>0</v>
      </c>
      <c r="F58" s="933">
        <f>SUM(F51:F57)</f>
        <v>0</v>
      </c>
      <c r="G58" s="933">
        <f>SUM(G51:G57)</f>
        <v>360</v>
      </c>
      <c r="H58" s="933">
        <f>SUM(H51:H57)</f>
        <v>0</v>
      </c>
      <c r="I58" s="933">
        <f t="shared" ref="I58" si="3">SUM(I51:I57)</f>
        <v>0</v>
      </c>
      <c r="J58" s="933">
        <f>SUM(J51:J57)</f>
        <v>124</v>
      </c>
      <c r="K58" s="934">
        <f>SUM(K50:K56)</f>
        <v>330</v>
      </c>
    </row>
    <row r="59" spans="1:15" ht="15.75" thickBot="1"/>
    <row r="60" spans="1:15" ht="21" customHeight="1">
      <c r="A60" s="2268" t="s">
        <v>39</v>
      </c>
      <c r="B60" s="580"/>
      <c r="C60" s="2269" t="s">
        <v>8</v>
      </c>
      <c r="D60" s="2197" t="s">
        <v>40</v>
      </c>
      <c r="E60" s="102" t="s">
        <v>5</v>
      </c>
      <c r="F60" s="484"/>
      <c r="G60" s="484"/>
      <c r="H60" s="484"/>
      <c r="I60" s="484"/>
      <c r="J60" s="484"/>
      <c r="K60" s="484"/>
      <c r="L60" s="485"/>
    </row>
    <row r="61" spans="1:15" ht="115.5" customHeight="1">
      <c r="A61" s="2100"/>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031" t="s">
        <v>247</v>
      </c>
      <c r="B62" s="2025"/>
      <c r="C62" s="112">
        <v>2014</v>
      </c>
      <c r="D62" s="113"/>
      <c r="E62" s="114"/>
      <c r="F62" s="115"/>
      <c r="G62" s="115"/>
      <c r="H62" s="115"/>
      <c r="I62" s="115"/>
      <c r="J62" s="115"/>
      <c r="K62" s="115"/>
      <c r="L62" s="37"/>
      <c r="M62" s="8"/>
      <c r="N62" s="8"/>
      <c r="O62" s="8"/>
    </row>
    <row r="63" spans="1:15">
      <c r="A63" s="2024"/>
      <c r="B63" s="2025"/>
      <c r="C63" s="116">
        <v>2015</v>
      </c>
      <c r="D63" s="945">
        <v>1</v>
      </c>
      <c r="E63" s="946">
        <v>0</v>
      </c>
      <c r="F63" s="931">
        <v>0</v>
      </c>
      <c r="G63" s="931">
        <v>0</v>
      </c>
      <c r="H63" s="931">
        <v>0</v>
      </c>
      <c r="I63" s="931">
        <v>1</v>
      </c>
      <c r="J63" s="931">
        <v>0</v>
      </c>
      <c r="K63" s="931">
        <v>0</v>
      </c>
      <c r="L63" s="947">
        <v>0</v>
      </c>
      <c r="M63" s="8"/>
      <c r="N63" s="8"/>
      <c r="O63" s="8"/>
    </row>
    <row r="64" spans="1:15">
      <c r="A64" s="2024"/>
      <c r="B64" s="2025"/>
      <c r="C64" s="116">
        <v>2016</v>
      </c>
      <c r="D64" s="945">
        <v>2</v>
      </c>
      <c r="E64" s="946">
        <v>0</v>
      </c>
      <c r="F64" s="931">
        <v>0</v>
      </c>
      <c r="G64" s="931">
        <v>0</v>
      </c>
      <c r="H64" s="931">
        <v>0</v>
      </c>
      <c r="I64" s="931">
        <v>1</v>
      </c>
      <c r="J64" s="931">
        <v>0</v>
      </c>
      <c r="K64" s="931">
        <v>0</v>
      </c>
      <c r="L64" s="947">
        <v>1</v>
      </c>
      <c r="M64" s="8"/>
      <c r="N64" s="8"/>
      <c r="O64" s="8"/>
    </row>
    <row r="65" spans="1:20">
      <c r="A65" s="2024"/>
      <c r="B65" s="2025"/>
      <c r="C65" s="116">
        <v>2017</v>
      </c>
      <c r="D65" s="117"/>
      <c r="E65" s="118"/>
      <c r="F65" s="42"/>
      <c r="G65" s="42"/>
      <c r="H65" s="42"/>
      <c r="I65" s="42"/>
      <c r="J65" s="42"/>
      <c r="K65" s="42"/>
      <c r="L65" s="99"/>
      <c r="M65" s="8"/>
      <c r="N65" s="8"/>
      <c r="O65" s="8"/>
    </row>
    <row r="66" spans="1:20">
      <c r="A66" s="2024"/>
      <c r="B66" s="2025"/>
      <c r="C66" s="116">
        <v>2018</v>
      </c>
      <c r="D66" s="117"/>
      <c r="E66" s="118"/>
      <c r="F66" s="42"/>
      <c r="G66" s="42"/>
      <c r="H66" s="42"/>
      <c r="I66" s="42"/>
      <c r="J66" s="42"/>
      <c r="K66" s="42"/>
      <c r="L66" s="99"/>
      <c r="M66" s="8"/>
      <c r="N66" s="8"/>
      <c r="O66" s="8"/>
    </row>
    <row r="67" spans="1:20" ht="17.25" customHeight="1">
      <c r="A67" s="2024"/>
      <c r="B67" s="2025"/>
      <c r="C67" s="116">
        <v>2019</v>
      </c>
      <c r="D67" s="117"/>
      <c r="E67" s="118"/>
      <c r="F67" s="42"/>
      <c r="G67" s="42"/>
      <c r="H67" s="42"/>
      <c r="I67" s="42"/>
      <c r="J67" s="42"/>
      <c r="K67" s="42"/>
      <c r="L67" s="99"/>
      <c r="M67" s="8"/>
      <c r="N67" s="8"/>
      <c r="O67" s="8"/>
    </row>
    <row r="68" spans="1:20" ht="16.5" customHeight="1">
      <c r="A68" s="2024"/>
      <c r="B68" s="2025"/>
      <c r="C68" s="116">
        <v>2020</v>
      </c>
      <c r="D68" s="117"/>
      <c r="E68" s="118"/>
      <c r="F68" s="42"/>
      <c r="G68" s="42"/>
      <c r="H68" s="42"/>
      <c r="I68" s="42"/>
      <c r="J68" s="42"/>
      <c r="K68" s="42"/>
      <c r="L68" s="99"/>
      <c r="M68" s="121"/>
      <c r="N68" s="121"/>
      <c r="O68" s="121"/>
    </row>
    <row r="69" spans="1:20" ht="18" customHeight="1" thickBot="1">
      <c r="A69" s="2134"/>
      <c r="B69" s="2027"/>
      <c r="C69" s="122" t="s">
        <v>12</v>
      </c>
      <c r="D69" s="948">
        <f>SUM(D62:D68)</f>
        <v>3</v>
      </c>
      <c r="E69" s="949">
        <f>SUM(E62:E68)</f>
        <v>0</v>
      </c>
      <c r="F69" s="948">
        <f t="shared" ref="F69:I69" si="4">SUM(F62:F68)</f>
        <v>0</v>
      </c>
      <c r="G69" s="948">
        <f t="shared" si="4"/>
        <v>0</v>
      </c>
      <c r="H69" s="948">
        <f t="shared" si="4"/>
        <v>0</v>
      </c>
      <c r="I69" s="948">
        <f t="shared" si="4"/>
        <v>2</v>
      </c>
      <c r="J69" s="948"/>
      <c r="K69" s="948">
        <f>SUM(K62:K68)</f>
        <v>0</v>
      </c>
      <c r="L69" s="950">
        <f>SUM(L62:L68)</f>
        <v>1</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576" t="s">
        <v>42</v>
      </c>
      <c r="B71" s="577" t="s">
        <v>7</v>
      </c>
      <c r="C71" s="80" t="s">
        <v>8</v>
      </c>
      <c r="D71" s="132" t="s">
        <v>43</v>
      </c>
      <c r="E71" s="132" t="s">
        <v>44</v>
      </c>
      <c r="F71" s="133" t="s">
        <v>45</v>
      </c>
      <c r="G71" s="488" t="s">
        <v>46</v>
      </c>
      <c r="H71" s="135" t="s">
        <v>13</v>
      </c>
      <c r="I71" s="136" t="s">
        <v>14</v>
      </c>
      <c r="J71" s="137" t="s">
        <v>15</v>
      </c>
      <c r="K71" s="136" t="s">
        <v>16</v>
      </c>
      <c r="L71" s="136" t="s">
        <v>17</v>
      </c>
      <c r="M71" s="138" t="s">
        <v>18</v>
      </c>
      <c r="N71" s="137" t="s">
        <v>19</v>
      </c>
      <c r="O71" s="139" t="s">
        <v>20</v>
      </c>
    </row>
    <row r="72" spans="1:20" ht="15" customHeight="1">
      <c r="A72" s="2007" t="s">
        <v>248</v>
      </c>
      <c r="B72" s="2025"/>
      <c r="C72" s="84">
        <v>2014</v>
      </c>
      <c r="D72" s="140"/>
      <c r="E72" s="140"/>
      <c r="F72" s="140"/>
      <c r="G72" s="141">
        <f>SUM(D72:F72)</f>
        <v>0</v>
      </c>
      <c r="H72" s="33"/>
      <c r="I72" s="142"/>
      <c r="J72" s="115"/>
      <c r="K72" s="115"/>
      <c r="L72" s="115"/>
      <c r="M72" s="115"/>
      <c r="N72" s="115"/>
      <c r="O72" s="143"/>
    </row>
    <row r="73" spans="1:20">
      <c r="A73" s="1987"/>
      <c r="B73" s="2025"/>
      <c r="C73" s="86">
        <v>2015</v>
      </c>
      <c r="D73" s="951">
        <v>10</v>
      </c>
      <c r="E73" s="951">
        <v>0</v>
      </c>
      <c r="F73" s="951">
        <v>13</v>
      </c>
      <c r="G73" s="141">
        <f t="shared" ref="G73:G78" si="5">SUM(D73:F73)</f>
        <v>23</v>
      </c>
      <c r="H73" s="937">
        <v>0</v>
      </c>
      <c r="I73" s="937">
        <v>0</v>
      </c>
      <c r="J73" s="943">
        <v>0</v>
      </c>
      <c r="K73" s="943">
        <v>0</v>
      </c>
      <c r="L73" s="943">
        <v>0</v>
      </c>
      <c r="M73" s="943">
        <v>0</v>
      </c>
      <c r="N73" s="943">
        <v>0</v>
      </c>
      <c r="O73" s="944">
        <v>23</v>
      </c>
    </row>
    <row r="74" spans="1:20">
      <c r="A74" s="1987"/>
      <c r="B74" s="2025"/>
      <c r="C74" s="86">
        <v>2016</v>
      </c>
      <c r="D74" s="951">
        <v>8</v>
      </c>
      <c r="E74" s="951">
        <v>3</v>
      </c>
      <c r="F74" s="951">
        <v>17</v>
      </c>
      <c r="G74" s="141">
        <f t="shared" si="5"/>
        <v>28</v>
      </c>
      <c r="H74" s="937">
        <v>0</v>
      </c>
      <c r="I74" s="937">
        <v>9</v>
      </c>
      <c r="J74" s="943">
        <v>3</v>
      </c>
      <c r="K74" s="943">
        <v>3</v>
      </c>
      <c r="L74" s="943">
        <v>8</v>
      </c>
      <c r="M74" s="943">
        <v>0</v>
      </c>
      <c r="N74" s="943">
        <v>0</v>
      </c>
      <c r="O74" s="944">
        <v>5</v>
      </c>
    </row>
    <row r="75" spans="1:20">
      <c r="A75" s="1987"/>
      <c r="B75" s="2025"/>
      <c r="C75" s="86">
        <v>2017</v>
      </c>
      <c r="D75" s="147"/>
      <c r="E75" s="147"/>
      <c r="F75" s="147"/>
      <c r="G75" s="141">
        <f t="shared" si="5"/>
        <v>0</v>
      </c>
      <c r="H75" s="50"/>
      <c r="I75" s="50"/>
      <c r="J75" s="42"/>
      <c r="K75" s="42"/>
      <c r="L75" s="42"/>
      <c r="M75" s="42"/>
      <c r="N75" s="42"/>
      <c r="O75" s="99"/>
    </row>
    <row r="76" spans="1:20">
      <c r="A76" s="1987"/>
      <c r="B76" s="2025"/>
      <c r="C76" s="86">
        <v>2018</v>
      </c>
      <c r="D76" s="147"/>
      <c r="E76" s="147"/>
      <c r="F76" s="147"/>
      <c r="G76" s="141">
        <f t="shared" si="5"/>
        <v>0</v>
      </c>
      <c r="H76" s="50"/>
      <c r="I76" s="50"/>
      <c r="J76" s="42"/>
      <c r="K76" s="42"/>
      <c r="L76" s="42"/>
      <c r="M76" s="42"/>
      <c r="N76" s="42"/>
      <c r="O76" s="99"/>
    </row>
    <row r="77" spans="1:20" ht="15.75" customHeight="1">
      <c r="A77" s="1987"/>
      <c r="B77" s="2025"/>
      <c r="C77" s="86">
        <v>2019</v>
      </c>
      <c r="D77" s="147"/>
      <c r="E77" s="147"/>
      <c r="F77" s="147"/>
      <c r="G77" s="141">
        <f t="shared" si="5"/>
        <v>0</v>
      </c>
      <c r="H77" s="50"/>
      <c r="I77" s="50"/>
      <c r="J77" s="42"/>
      <c r="K77" s="42"/>
      <c r="L77" s="42"/>
      <c r="M77" s="42"/>
      <c r="N77" s="42"/>
      <c r="O77" s="99"/>
    </row>
    <row r="78" spans="1:20" ht="17.25" customHeight="1">
      <c r="A78" s="1987"/>
      <c r="B78" s="2025"/>
      <c r="C78" s="86">
        <v>2020</v>
      </c>
      <c r="D78" s="147"/>
      <c r="E78" s="147"/>
      <c r="F78" s="147"/>
      <c r="G78" s="141">
        <f t="shared" si="5"/>
        <v>0</v>
      </c>
      <c r="H78" s="50"/>
      <c r="I78" s="50"/>
      <c r="J78" s="42"/>
      <c r="K78" s="42"/>
      <c r="L78" s="42"/>
      <c r="M78" s="42"/>
      <c r="N78" s="42"/>
      <c r="O78" s="99"/>
    </row>
    <row r="79" spans="1:20" ht="20.25" customHeight="1" thickBot="1">
      <c r="A79" s="2134"/>
      <c r="B79" s="2027"/>
      <c r="C79" s="148" t="s">
        <v>12</v>
      </c>
      <c r="D79" s="952">
        <f>SUM(D72:D78)</f>
        <v>18</v>
      </c>
      <c r="E79" s="952">
        <f>SUM(E72:E78)</f>
        <v>3</v>
      </c>
      <c r="F79" s="952">
        <f>SUM(F72:F78)</f>
        <v>30</v>
      </c>
      <c r="G79" s="953">
        <f>SUM(G72:G78)</f>
        <v>51</v>
      </c>
      <c r="H79" s="954">
        <v>0</v>
      </c>
      <c r="I79" s="955">
        <f t="shared" ref="I79:O79" si="6">SUM(I72:I78)</f>
        <v>9</v>
      </c>
      <c r="J79" s="952">
        <f t="shared" si="6"/>
        <v>3</v>
      </c>
      <c r="K79" s="952">
        <f t="shared" si="6"/>
        <v>3</v>
      </c>
      <c r="L79" s="952">
        <f t="shared" si="6"/>
        <v>8</v>
      </c>
      <c r="M79" s="952">
        <f t="shared" si="6"/>
        <v>0</v>
      </c>
      <c r="N79" s="952">
        <f t="shared" si="6"/>
        <v>0</v>
      </c>
      <c r="O79" s="956">
        <f t="shared" si="6"/>
        <v>28</v>
      </c>
    </row>
    <row r="81" spans="1:17" ht="36.75" customHeight="1">
      <c r="A81" s="152"/>
      <c r="B81" s="128"/>
      <c r="C81" s="153"/>
      <c r="D81" s="154"/>
      <c r="E81" s="121"/>
      <c r="F81" s="121"/>
      <c r="G81" s="121"/>
      <c r="H81" s="121"/>
      <c r="I81" s="121"/>
      <c r="J81" s="121"/>
      <c r="K81" s="121"/>
    </row>
    <row r="82" spans="1:17" ht="28.5" customHeight="1">
      <c r="A82" s="155" t="s">
        <v>48</v>
      </c>
      <c r="B82" s="155"/>
      <c r="C82" s="156"/>
      <c r="D82" s="156"/>
      <c r="E82" s="156"/>
      <c r="F82" s="156"/>
      <c r="G82" s="156"/>
      <c r="H82" s="156"/>
      <c r="I82" s="156"/>
      <c r="J82" s="156"/>
      <c r="K82" s="156"/>
      <c r="L82" s="157"/>
    </row>
    <row r="83" spans="1:17" ht="14.25" customHeight="1" thickBot="1">
      <c r="A83" s="158"/>
      <c r="B83" s="158"/>
    </row>
    <row r="84" spans="1:17" s="31" customFormat="1" ht="128.25" customHeight="1">
      <c r="A84" s="583" t="s">
        <v>49</v>
      </c>
      <c r="B84" s="584" t="s">
        <v>50</v>
      </c>
      <c r="C84" s="161" t="s">
        <v>8</v>
      </c>
      <c r="D84" s="491" t="s">
        <v>51</v>
      </c>
      <c r="E84" s="163" t="s">
        <v>52</v>
      </c>
      <c r="F84" s="164" t="s">
        <v>53</v>
      </c>
      <c r="G84" s="164" t="s">
        <v>54</v>
      </c>
      <c r="H84" s="164" t="s">
        <v>55</v>
      </c>
      <c r="I84" s="164" t="s">
        <v>56</v>
      </c>
      <c r="J84" s="164" t="s">
        <v>57</v>
      </c>
      <c r="K84" s="165" t="s">
        <v>58</v>
      </c>
    </row>
    <row r="85" spans="1:17" ht="15" customHeight="1">
      <c r="A85" s="2072" t="s">
        <v>249</v>
      </c>
      <c r="B85" s="2025"/>
      <c r="C85" s="84">
        <v>2014</v>
      </c>
      <c r="D85" s="166"/>
      <c r="E85" s="167"/>
      <c r="F85" s="34"/>
      <c r="G85" s="34"/>
      <c r="H85" s="34"/>
      <c r="I85" s="34"/>
      <c r="J85" s="34"/>
      <c r="K85" s="37"/>
    </row>
    <row r="86" spans="1:17">
      <c r="A86" s="2072"/>
      <c r="B86" s="2025"/>
      <c r="C86" s="86">
        <v>2015</v>
      </c>
      <c r="D86" s="168"/>
      <c r="E86" s="118"/>
      <c r="F86" s="42"/>
      <c r="G86" s="42"/>
      <c r="H86" s="42"/>
      <c r="I86" s="42"/>
      <c r="J86" s="42"/>
      <c r="K86" s="99"/>
    </row>
    <row r="87" spans="1:17">
      <c r="A87" s="2072"/>
      <c r="B87" s="2025"/>
      <c r="C87" s="86">
        <v>2016</v>
      </c>
      <c r="D87" s="168"/>
      <c r="E87" s="118"/>
      <c r="F87" s="42"/>
      <c r="G87" s="42"/>
      <c r="H87" s="42"/>
      <c r="I87" s="42"/>
      <c r="J87" s="42"/>
      <c r="K87" s="99"/>
    </row>
    <row r="88" spans="1:17">
      <c r="A88" s="2072"/>
      <c r="B88" s="2025"/>
      <c r="C88" s="86">
        <v>2017</v>
      </c>
      <c r="D88" s="168"/>
      <c r="E88" s="118"/>
      <c r="F88" s="42"/>
      <c r="G88" s="42"/>
      <c r="H88" s="42"/>
      <c r="I88" s="42"/>
      <c r="J88" s="42"/>
      <c r="K88" s="99"/>
    </row>
    <row r="89" spans="1:17">
      <c r="A89" s="2072"/>
      <c r="B89" s="2025"/>
      <c r="C89" s="86">
        <v>2018</v>
      </c>
      <c r="D89" s="168"/>
      <c r="E89" s="118"/>
      <c r="F89" s="42"/>
      <c r="G89" s="42"/>
      <c r="H89" s="42"/>
      <c r="I89" s="42"/>
      <c r="J89" s="42"/>
      <c r="K89" s="99"/>
    </row>
    <row r="90" spans="1:17">
      <c r="A90" s="2072"/>
      <c r="B90" s="2025"/>
      <c r="C90" s="86">
        <v>2019</v>
      </c>
      <c r="D90" s="168"/>
      <c r="E90" s="118"/>
      <c r="F90" s="42"/>
      <c r="G90" s="42"/>
      <c r="H90" s="42"/>
      <c r="I90" s="42"/>
      <c r="J90" s="42"/>
      <c r="K90" s="99"/>
    </row>
    <row r="91" spans="1:17">
      <c r="A91" s="2072"/>
      <c r="B91" s="2025"/>
      <c r="C91" s="86">
        <v>2020</v>
      </c>
      <c r="D91" s="168"/>
      <c r="E91" s="118"/>
      <c r="F91" s="42"/>
      <c r="G91" s="42"/>
      <c r="H91" s="42"/>
      <c r="I91" s="42"/>
      <c r="J91" s="42"/>
      <c r="K91" s="99"/>
    </row>
    <row r="92" spans="1:17" ht="18" customHeight="1" thickBot="1">
      <c r="A92" s="2073"/>
      <c r="B92" s="2027"/>
      <c r="C92" s="148" t="s">
        <v>12</v>
      </c>
      <c r="D92" s="957">
        <f t="shared" ref="D92:I92" si="7">SUM(D85:D91)</f>
        <v>0</v>
      </c>
      <c r="E92" s="958">
        <f t="shared" si="7"/>
        <v>0</v>
      </c>
      <c r="F92" s="952">
        <f t="shared" si="7"/>
        <v>0</v>
      </c>
      <c r="G92" s="952">
        <f t="shared" si="7"/>
        <v>0</v>
      </c>
      <c r="H92" s="952">
        <f t="shared" si="7"/>
        <v>0</v>
      </c>
      <c r="I92" s="952">
        <f t="shared" si="7"/>
        <v>0</v>
      </c>
      <c r="J92" s="952">
        <f>SUM(J85:J91)</f>
        <v>0</v>
      </c>
      <c r="K92" s="956">
        <f>SUM(K85:K91)</f>
        <v>0</v>
      </c>
    </row>
    <row r="93" spans="1:17" ht="20.25" customHeight="1"/>
    <row r="94" spans="1:17" ht="21">
      <c r="A94" s="170" t="s">
        <v>59</v>
      </c>
      <c r="B94" s="170"/>
      <c r="C94" s="171"/>
      <c r="D94" s="171"/>
      <c r="E94" s="171"/>
      <c r="F94" s="171"/>
      <c r="G94" s="171"/>
      <c r="H94" s="171"/>
      <c r="I94" s="171"/>
      <c r="J94" s="171"/>
      <c r="K94" s="171"/>
      <c r="L94" s="171"/>
      <c r="M94" s="171"/>
    </row>
    <row r="95" spans="1:17" s="77" customFormat="1" ht="15" customHeight="1" thickBot="1">
      <c r="A95" s="173"/>
      <c r="B95" s="173"/>
      <c r="N95"/>
      <c r="O95"/>
      <c r="P95"/>
      <c r="Q95"/>
    </row>
    <row r="96" spans="1:17" ht="29.25" customHeight="1">
      <c r="A96" s="2270" t="s">
        <v>60</v>
      </c>
      <c r="B96" s="2271" t="s">
        <v>61</v>
      </c>
      <c r="C96" s="2272" t="s">
        <v>8</v>
      </c>
      <c r="D96" s="2207" t="s">
        <v>62</v>
      </c>
      <c r="E96" s="2208"/>
      <c r="F96" s="174" t="s">
        <v>63</v>
      </c>
      <c r="G96" s="493"/>
      <c r="H96" s="493"/>
      <c r="I96" s="493"/>
      <c r="J96" s="493"/>
      <c r="K96" s="493"/>
      <c r="L96" s="493"/>
      <c r="M96" s="494"/>
    </row>
    <row r="97" spans="1:14" ht="100.5" customHeight="1">
      <c r="A97" s="2041"/>
      <c r="B97" s="2043"/>
      <c r="C97" s="2056"/>
      <c r="D97" s="178" t="s">
        <v>64</v>
      </c>
      <c r="E97" s="179" t="s">
        <v>65</v>
      </c>
      <c r="F97" s="180" t="s">
        <v>13</v>
      </c>
      <c r="G97" s="181" t="s">
        <v>66</v>
      </c>
      <c r="H97" s="182" t="s">
        <v>54</v>
      </c>
      <c r="I97" s="183" t="s">
        <v>55</v>
      </c>
      <c r="J97" s="183" t="s">
        <v>56</v>
      </c>
      <c r="K97" s="184" t="s">
        <v>67</v>
      </c>
      <c r="L97" s="182" t="s">
        <v>57</v>
      </c>
      <c r="M97" s="185" t="s">
        <v>58</v>
      </c>
    </row>
    <row r="98" spans="1:14" ht="17.25" customHeight="1">
      <c r="A98" s="2031" t="s">
        <v>250</v>
      </c>
      <c r="B98" s="2398"/>
      <c r="C98" s="112">
        <v>2014</v>
      </c>
      <c r="D98" s="33"/>
      <c r="E98" s="34"/>
      <c r="F98" s="186"/>
      <c r="G98" s="187"/>
      <c r="H98" s="187"/>
      <c r="I98" s="187"/>
      <c r="J98" s="187"/>
      <c r="K98" s="187"/>
      <c r="L98" s="187"/>
      <c r="M98" s="188"/>
    </row>
    <row r="99" spans="1:14" ht="16.5" customHeight="1">
      <c r="A99" s="2024"/>
      <c r="B99" s="2398"/>
      <c r="C99" s="116">
        <v>2015</v>
      </c>
      <c r="D99" s="915">
        <v>1</v>
      </c>
      <c r="E99" s="916">
        <v>1</v>
      </c>
      <c r="F99" s="959">
        <v>0</v>
      </c>
      <c r="G99" s="960">
        <v>0</v>
      </c>
      <c r="H99" s="960">
        <v>0</v>
      </c>
      <c r="I99" s="960">
        <v>0</v>
      </c>
      <c r="J99" s="960">
        <v>0</v>
      </c>
      <c r="K99" s="960">
        <v>0</v>
      </c>
      <c r="L99" s="960">
        <v>0</v>
      </c>
      <c r="M99" s="961">
        <v>1</v>
      </c>
    </row>
    <row r="100" spans="1:14" ht="16.5" customHeight="1">
      <c r="A100" s="2024"/>
      <c r="B100" s="2398"/>
      <c r="C100" s="116">
        <v>2016</v>
      </c>
      <c r="D100" s="915">
        <v>1</v>
      </c>
      <c r="E100" s="916">
        <v>7</v>
      </c>
      <c r="F100" s="959">
        <v>0</v>
      </c>
      <c r="G100" s="960">
        <v>0</v>
      </c>
      <c r="H100" s="960">
        <v>0</v>
      </c>
      <c r="I100" s="960">
        <v>0</v>
      </c>
      <c r="J100" s="960">
        <v>0</v>
      </c>
      <c r="K100" s="960">
        <v>0</v>
      </c>
      <c r="L100" s="960">
        <v>0</v>
      </c>
      <c r="M100" s="961">
        <v>1</v>
      </c>
    </row>
    <row r="101" spans="1:14" ht="16.5" customHeight="1">
      <c r="A101" s="2024"/>
      <c r="B101" s="2398"/>
      <c r="C101" s="116">
        <v>2017</v>
      </c>
      <c r="D101" s="50"/>
      <c r="E101" s="42"/>
      <c r="F101" s="189"/>
      <c r="G101" s="190"/>
      <c r="H101" s="190"/>
      <c r="I101" s="190"/>
      <c r="J101" s="190"/>
      <c r="K101" s="190"/>
      <c r="L101" s="190"/>
      <c r="M101" s="193"/>
    </row>
    <row r="102" spans="1:14" ht="15.75" customHeight="1">
      <c r="A102" s="2024"/>
      <c r="B102" s="2398"/>
      <c r="C102" s="116">
        <v>2018</v>
      </c>
      <c r="D102" s="50"/>
      <c r="E102" s="42"/>
      <c r="F102" s="189"/>
      <c r="G102" s="190"/>
      <c r="H102" s="190"/>
      <c r="I102" s="190"/>
      <c r="J102" s="190"/>
      <c r="K102" s="190"/>
      <c r="L102" s="190"/>
      <c r="M102" s="193"/>
    </row>
    <row r="103" spans="1:14" ht="14.25" customHeight="1">
      <c r="A103" s="2024"/>
      <c r="B103" s="2398"/>
      <c r="C103" s="116">
        <v>2019</v>
      </c>
      <c r="D103" s="50"/>
      <c r="E103" s="42"/>
      <c r="F103" s="189"/>
      <c r="G103" s="190"/>
      <c r="H103" s="190"/>
      <c r="I103" s="190"/>
      <c r="J103" s="190"/>
      <c r="K103" s="190"/>
      <c r="L103" s="190"/>
      <c r="M103" s="193"/>
    </row>
    <row r="104" spans="1:14" ht="14.25" customHeight="1">
      <c r="A104" s="2024"/>
      <c r="B104" s="2398"/>
      <c r="C104" s="116">
        <v>2020</v>
      </c>
      <c r="D104" s="50"/>
      <c r="E104" s="42"/>
      <c r="F104" s="189"/>
      <c r="G104" s="190"/>
      <c r="H104" s="190"/>
      <c r="I104" s="190"/>
      <c r="J104" s="190"/>
      <c r="K104" s="190"/>
      <c r="L104" s="190"/>
      <c r="M104" s="193"/>
    </row>
    <row r="105" spans="1:14" ht="19.5" customHeight="1" thickBot="1">
      <c r="A105" s="2026"/>
      <c r="B105" s="2399"/>
      <c r="C105" s="122" t="s">
        <v>12</v>
      </c>
      <c r="D105" s="955">
        <f>SUM(D98:D104)</f>
        <v>2</v>
      </c>
      <c r="E105" s="952">
        <f t="shared" ref="E105:K105" si="8">SUM(E98:E104)</f>
        <v>8</v>
      </c>
      <c r="F105" s="958">
        <f t="shared" si="8"/>
        <v>0</v>
      </c>
      <c r="G105" s="952">
        <f t="shared" si="8"/>
        <v>0</v>
      </c>
      <c r="H105" s="952">
        <f t="shared" si="8"/>
        <v>0</v>
      </c>
      <c r="I105" s="952">
        <f>SUM(I98:I104)</f>
        <v>0</v>
      </c>
      <c r="J105" s="952">
        <f t="shared" si="8"/>
        <v>0</v>
      </c>
      <c r="K105" s="952">
        <f t="shared" si="8"/>
        <v>0</v>
      </c>
      <c r="L105" s="952">
        <f>SUM(L98:L104)</f>
        <v>0</v>
      </c>
      <c r="M105" s="956">
        <f>SUM(M98:M104)</f>
        <v>2</v>
      </c>
    </row>
    <row r="106" spans="1:14" ht="15.75" thickBot="1">
      <c r="A106" s="197"/>
      <c r="B106" s="197"/>
      <c r="C106" s="198"/>
      <c r="D106" s="8"/>
      <c r="E106" s="8"/>
      <c r="H106" s="199"/>
      <c r="I106" s="199"/>
      <c r="J106" s="199"/>
      <c r="K106" s="199"/>
      <c r="L106" s="199"/>
      <c r="M106" s="199"/>
    </row>
    <row r="107" spans="1:14" ht="15" customHeight="1">
      <c r="A107" s="2270" t="s">
        <v>69</v>
      </c>
      <c r="B107" s="2271" t="s">
        <v>61</v>
      </c>
      <c r="C107" s="2272" t="s">
        <v>8</v>
      </c>
      <c r="D107" s="2210" t="s">
        <v>70</v>
      </c>
      <c r="E107" s="174" t="s">
        <v>71</v>
      </c>
      <c r="F107" s="493"/>
      <c r="G107" s="493"/>
      <c r="H107" s="493"/>
      <c r="I107" s="493"/>
      <c r="J107" s="493"/>
      <c r="K107" s="493"/>
      <c r="L107" s="494"/>
      <c r="M107" s="199"/>
    </row>
    <row r="108" spans="1:14" ht="103.5" customHeight="1">
      <c r="A108" s="2041"/>
      <c r="B108" s="2043"/>
      <c r="C108" s="2056"/>
      <c r="D108" s="2058"/>
      <c r="E108" s="180" t="s">
        <v>13</v>
      </c>
      <c r="F108" s="181" t="s">
        <v>66</v>
      </c>
      <c r="G108" s="182" t="s">
        <v>54</v>
      </c>
      <c r="H108" s="183" t="s">
        <v>55</v>
      </c>
      <c r="I108" s="183" t="s">
        <v>56</v>
      </c>
      <c r="J108" s="184" t="s">
        <v>67</v>
      </c>
      <c r="K108" s="182" t="s">
        <v>57</v>
      </c>
      <c r="L108" s="185" t="s">
        <v>58</v>
      </c>
      <c r="M108" s="199"/>
      <c r="N108" s="199"/>
    </row>
    <row r="109" spans="1:14">
      <c r="A109" s="2400"/>
      <c r="B109" s="2401"/>
      <c r="C109" s="112">
        <v>2014</v>
      </c>
      <c r="D109" s="34"/>
      <c r="E109" s="186"/>
      <c r="F109" s="187"/>
      <c r="G109" s="187"/>
      <c r="H109" s="187"/>
      <c r="I109" s="187"/>
      <c r="J109" s="187"/>
      <c r="K109" s="187"/>
      <c r="L109" s="188"/>
      <c r="M109" s="199"/>
      <c r="N109" s="199"/>
    </row>
    <row r="110" spans="1:14">
      <c r="A110" s="2402"/>
      <c r="B110" s="2401"/>
      <c r="C110" s="116">
        <v>2015</v>
      </c>
      <c r="D110" s="42"/>
      <c r="E110" s="189"/>
      <c r="F110" s="190"/>
      <c r="G110" s="190"/>
      <c r="H110" s="190"/>
      <c r="I110" s="190"/>
      <c r="J110" s="190"/>
      <c r="K110" s="190"/>
      <c r="L110" s="193"/>
      <c r="M110" s="199"/>
      <c r="N110" s="199"/>
    </row>
    <row r="111" spans="1:14">
      <c r="A111" s="2402"/>
      <c r="B111" s="2401"/>
      <c r="C111" s="116">
        <v>2016</v>
      </c>
      <c r="D111" s="42"/>
      <c r="E111" s="189"/>
      <c r="F111" s="190"/>
      <c r="G111" s="190"/>
      <c r="H111" s="190"/>
      <c r="I111" s="190"/>
      <c r="J111" s="190"/>
      <c r="K111" s="190"/>
      <c r="L111" s="193"/>
      <c r="M111" s="199"/>
      <c r="N111" s="199"/>
    </row>
    <row r="112" spans="1:14">
      <c r="A112" s="2402"/>
      <c r="B112" s="2401"/>
      <c r="C112" s="116">
        <v>2017</v>
      </c>
      <c r="D112" s="42"/>
      <c r="E112" s="189"/>
      <c r="F112" s="190"/>
      <c r="G112" s="190"/>
      <c r="H112" s="190"/>
      <c r="I112" s="190"/>
      <c r="J112" s="190"/>
      <c r="K112" s="190"/>
      <c r="L112" s="193"/>
      <c r="M112" s="199"/>
      <c r="N112" s="199"/>
    </row>
    <row r="113" spans="1:14">
      <c r="A113" s="2402"/>
      <c r="B113" s="2401"/>
      <c r="C113" s="116">
        <v>2018</v>
      </c>
      <c r="D113" s="42"/>
      <c r="E113" s="189"/>
      <c r="F113" s="190"/>
      <c r="G113" s="190"/>
      <c r="H113" s="190"/>
      <c r="I113" s="190"/>
      <c r="J113" s="190"/>
      <c r="K113" s="190"/>
      <c r="L113" s="193"/>
      <c r="M113" s="199"/>
      <c r="N113" s="199"/>
    </row>
    <row r="114" spans="1:14">
      <c r="A114" s="2402"/>
      <c r="B114" s="2401"/>
      <c r="C114" s="116">
        <v>2019</v>
      </c>
      <c r="D114" s="42"/>
      <c r="E114" s="189"/>
      <c r="F114" s="190"/>
      <c r="G114" s="190"/>
      <c r="H114" s="190"/>
      <c r="I114" s="190"/>
      <c r="J114" s="190"/>
      <c r="K114" s="190"/>
      <c r="L114" s="193"/>
      <c r="M114" s="199"/>
      <c r="N114" s="199"/>
    </row>
    <row r="115" spans="1:14">
      <c r="A115" s="2402"/>
      <c r="B115" s="2401"/>
      <c r="C115" s="116">
        <v>2020</v>
      </c>
      <c r="D115" s="42"/>
      <c r="E115" s="189"/>
      <c r="F115" s="190"/>
      <c r="G115" s="190"/>
      <c r="H115" s="190"/>
      <c r="I115" s="190"/>
      <c r="J115" s="190"/>
      <c r="K115" s="190"/>
      <c r="L115" s="193"/>
      <c r="M115" s="199"/>
      <c r="N115" s="199"/>
    </row>
    <row r="116" spans="1:14" ht="25.5" customHeight="1" thickBot="1">
      <c r="A116" s="2403"/>
      <c r="B116" s="2404"/>
      <c r="C116" s="122" t="s">
        <v>12</v>
      </c>
      <c r="D116" s="952">
        <f t="shared" ref="D116:I116" si="9">SUM(D109:D115)</f>
        <v>0</v>
      </c>
      <c r="E116" s="958">
        <f t="shared" si="9"/>
        <v>0</v>
      </c>
      <c r="F116" s="952">
        <f t="shared" si="9"/>
        <v>0</v>
      </c>
      <c r="G116" s="952">
        <f t="shared" si="9"/>
        <v>0</v>
      </c>
      <c r="H116" s="952">
        <f t="shared" si="9"/>
        <v>0</v>
      </c>
      <c r="I116" s="952">
        <f t="shared" si="9"/>
        <v>0</v>
      </c>
      <c r="J116" s="952"/>
      <c r="K116" s="952">
        <f>SUM(K109:K115)</f>
        <v>0</v>
      </c>
      <c r="L116" s="95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270" t="s">
        <v>72</v>
      </c>
      <c r="B118" s="2271" t="s">
        <v>61</v>
      </c>
      <c r="C118" s="2272" t="s">
        <v>8</v>
      </c>
      <c r="D118" s="2210" t="s">
        <v>73</v>
      </c>
      <c r="E118" s="174" t="s">
        <v>71</v>
      </c>
      <c r="F118" s="493"/>
      <c r="G118" s="493"/>
      <c r="H118" s="493"/>
      <c r="I118" s="493"/>
      <c r="J118" s="493"/>
      <c r="K118" s="493"/>
      <c r="L118" s="494"/>
      <c r="M118" s="199"/>
      <c r="N118" s="199"/>
    </row>
    <row r="119" spans="1:14" ht="120.75" customHeight="1">
      <c r="A119" s="2041"/>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031"/>
      <c r="B120" s="2025"/>
      <c r="C120" s="112">
        <v>2014</v>
      </c>
      <c r="D120" s="34"/>
      <c r="E120" s="186"/>
      <c r="F120" s="187"/>
      <c r="G120" s="187"/>
      <c r="H120" s="187"/>
      <c r="I120" s="187"/>
      <c r="J120" s="187"/>
      <c r="K120" s="187"/>
      <c r="L120" s="188"/>
      <c r="M120" s="199"/>
      <c r="N120" s="199"/>
    </row>
    <row r="121" spans="1:14">
      <c r="A121" s="2024"/>
      <c r="B121" s="2025"/>
      <c r="C121" s="116">
        <v>2015</v>
      </c>
      <c r="D121" s="931"/>
      <c r="E121" s="189"/>
      <c r="F121" s="190"/>
      <c r="G121" s="190"/>
      <c r="H121" s="190"/>
      <c r="I121" s="190"/>
      <c r="J121" s="190"/>
      <c r="K121" s="190"/>
      <c r="L121" s="193"/>
      <c r="M121" s="199"/>
      <c r="N121" s="199"/>
    </row>
    <row r="122" spans="1:14">
      <c r="A122" s="2024"/>
      <c r="B122" s="2025"/>
      <c r="C122" s="116">
        <v>2016</v>
      </c>
      <c r="D122" s="42"/>
      <c r="E122" s="189"/>
      <c r="F122" s="190"/>
      <c r="G122" s="190"/>
      <c r="H122" s="190"/>
      <c r="I122" s="190"/>
      <c r="J122" s="190"/>
      <c r="K122" s="190"/>
      <c r="L122" s="193"/>
      <c r="M122" s="199"/>
      <c r="N122" s="199"/>
    </row>
    <row r="123" spans="1:14">
      <c r="A123" s="2024"/>
      <c r="B123" s="2025"/>
      <c r="C123" s="116">
        <v>2017</v>
      </c>
      <c r="D123" s="42"/>
      <c r="E123" s="189"/>
      <c r="F123" s="190"/>
      <c r="G123" s="190"/>
      <c r="H123" s="190"/>
      <c r="I123" s="190"/>
      <c r="J123" s="190"/>
      <c r="K123" s="190"/>
      <c r="L123" s="193"/>
      <c r="M123" s="199"/>
      <c r="N123" s="199"/>
    </row>
    <row r="124" spans="1:14">
      <c r="A124" s="2024"/>
      <c r="B124" s="2025"/>
      <c r="C124" s="116">
        <v>2018</v>
      </c>
      <c r="D124" s="42"/>
      <c r="E124" s="189"/>
      <c r="F124" s="190"/>
      <c r="G124" s="190"/>
      <c r="H124" s="190"/>
      <c r="I124" s="190"/>
      <c r="J124" s="190"/>
      <c r="K124" s="190"/>
      <c r="L124" s="193"/>
      <c r="M124" s="199"/>
      <c r="N124" s="199"/>
    </row>
    <row r="125" spans="1:14">
      <c r="A125" s="2024"/>
      <c r="B125" s="2025"/>
      <c r="C125" s="116">
        <v>2019</v>
      </c>
      <c r="D125" s="42"/>
      <c r="E125" s="189"/>
      <c r="F125" s="190"/>
      <c r="G125" s="190"/>
      <c r="H125" s="190"/>
      <c r="I125" s="190"/>
      <c r="J125" s="190"/>
      <c r="K125" s="190"/>
      <c r="L125" s="193"/>
      <c r="M125" s="199"/>
      <c r="N125" s="199"/>
    </row>
    <row r="126" spans="1:14">
      <c r="A126" s="2024"/>
      <c r="B126" s="2025"/>
      <c r="C126" s="116">
        <v>2020</v>
      </c>
      <c r="D126" s="42"/>
      <c r="E126" s="189"/>
      <c r="F126" s="190"/>
      <c r="G126" s="190"/>
      <c r="H126" s="190"/>
      <c r="I126" s="190"/>
      <c r="J126" s="190"/>
      <c r="K126" s="190"/>
      <c r="L126" s="193"/>
      <c r="M126" s="199"/>
      <c r="N126" s="199"/>
    </row>
    <row r="127" spans="1:14" ht="15.75" thickBot="1">
      <c r="A127" s="2046"/>
      <c r="B127" s="2027"/>
      <c r="C127" s="122" t="s">
        <v>12</v>
      </c>
      <c r="D127" s="948">
        <f t="shared" ref="D127:I127" si="10">SUM(D120:D126)</f>
        <v>0</v>
      </c>
      <c r="E127" s="949">
        <f t="shared" si="10"/>
        <v>0</v>
      </c>
      <c r="F127" s="948">
        <f t="shared" si="10"/>
        <v>0</v>
      </c>
      <c r="G127" s="948">
        <f t="shared" si="10"/>
        <v>0</v>
      </c>
      <c r="H127" s="948">
        <f t="shared" si="10"/>
        <v>0</v>
      </c>
      <c r="I127" s="948">
        <f t="shared" si="10"/>
        <v>0</v>
      </c>
      <c r="J127" s="948"/>
      <c r="K127" s="948">
        <f>SUM(K120:K126)</f>
        <v>0</v>
      </c>
      <c r="L127" s="950">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270" t="s">
        <v>74</v>
      </c>
      <c r="B129" s="2271" t="s">
        <v>61</v>
      </c>
      <c r="C129" s="611" t="s">
        <v>8</v>
      </c>
      <c r="D129" s="496" t="s">
        <v>75</v>
      </c>
      <c r="E129" s="497"/>
      <c r="F129" s="497"/>
      <c r="G129" s="498"/>
      <c r="H129" s="199"/>
      <c r="I129" s="199"/>
      <c r="J129" s="199"/>
      <c r="K129" s="199"/>
      <c r="L129" s="199"/>
      <c r="M129" s="199"/>
      <c r="N129" s="199"/>
    </row>
    <row r="130" spans="1:16" ht="77.25" customHeight="1">
      <c r="A130" s="2041"/>
      <c r="B130" s="2043"/>
      <c r="C130" s="607"/>
      <c r="D130" s="178" t="s">
        <v>76</v>
      </c>
      <c r="E130" s="207" t="s">
        <v>77</v>
      </c>
      <c r="F130" s="179" t="s">
        <v>78</v>
      </c>
      <c r="G130" s="208" t="s">
        <v>12</v>
      </c>
      <c r="H130" s="199"/>
      <c r="I130" s="199"/>
      <c r="J130" s="199"/>
      <c r="K130" s="199"/>
      <c r="L130" s="199"/>
      <c r="M130" s="199"/>
      <c r="N130" s="199"/>
    </row>
    <row r="131" spans="1:16" ht="15" customHeight="1">
      <c r="A131" s="2007"/>
      <c r="B131" s="1988"/>
      <c r="C131" s="340">
        <v>2015</v>
      </c>
      <c r="D131" s="937">
        <v>28</v>
      </c>
      <c r="E131" s="943"/>
      <c r="F131" s="943"/>
      <c r="G131" s="962">
        <f t="shared" ref="G131:G136" si="11">SUM(D131:F131)</f>
        <v>28</v>
      </c>
      <c r="H131" s="199"/>
      <c r="I131" s="199"/>
      <c r="J131" s="199"/>
      <c r="K131" s="199"/>
      <c r="L131" s="199"/>
      <c r="M131" s="199"/>
      <c r="N131" s="199"/>
    </row>
    <row r="132" spans="1:16">
      <c r="A132" s="1987"/>
      <c r="B132" s="1988"/>
      <c r="C132" s="116">
        <v>2016</v>
      </c>
      <c r="D132" s="963">
        <v>329</v>
      </c>
      <c r="E132" s="916"/>
      <c r="F132" s="916"/>
      <c r="G132" s="962">
        <f t="shared" si="11"/>
        <v>329</v>
      </c>
      <c r="H132" s="199"/>
      <c r="I132" s="199"/>
      <c r="J132" s="199"/>
      <c r="K132" s="199"/>
      <c r="L132" s="199"/>
      <c r="M132" s="199"/>
      <c r="N132" s="199"/>
    </row>
    <row r="133" spans="1:16">
      <c r="A133" s="1987"/>
      <c r="B133" s="1988"/>
      <c r="C133" s="116">
        <v>2017</v>
      </c>
      <c r="D133" s="915"/>
      <c r="E133" s="916"/>
      <c r="F133" s="916"/>
      <c r="G133" s="962">
        <f t="shared" si="11"/>
        <v>0</v>
      </c>
      <c r="H133" s="199"/>
      <c r="I133" s="199"/>
      <c r="J133" s="199"/>
      <c r="K133" s="199"/>
      <c r="L133" s="199"/>
      <c r="M133" s="199"/>
      <c r="N133" s="199"/>
    </row>
    <row r="134" spans="1:16">
      <c r="A134" s="1987"/>
      <c r="B134" s="1988"/>
      <c r="C134" s="116">
        <v>2018</v>
      </c>
      <c r="D134" s="915"/>
      <c r="E134" s="916"/>
      <c r="F134" s="916"/>
      <c r="G134" s="962">
        <f t="shared" si="11"/>
        <v>0</v>
      </c>
      <c r="H134" s="199"/>
      <c r="I134" s="199"/>
      <c r="J134" s="199"/>
      <c r="K134" s="199"/>
      <c r="L134" s="199"/>
      <c r="M134" s="199"/>
      <c r="N134" s="199"/>
    </row>
    <row r="135" spans="1:16">
      <c r="A135" s="1987"/>
      <c r="B135" s="1988"/>
      <c r="C135" s="116">
        <v>2019</v>
      </c>
      <c r="D135" s="915"/>
      <c r="E135" s="916"/>
      <c r="F135" s="916"/>
      <c r="G135" s="962">
        <f t="shared" si="11"/>
        <v>0</v>
      </c>
      <c r="H135" s="199"/>
      <c r="I135" s="199"/>
      <c r="J135" s="199"/>
      <c r="K135" s="199"/>
      <c r="L135" s="199"/>
      <c r="M135" s="199"/>
      <c r="N135" s="199"/>
    </row>
    <row r="136" spans="1:16">
      <c r="A136" s="1987"/>
      <c r="B136" s="1988"/>
      <c r="C136" s="116">
        <v>2020</v>
      </c>
      <c r="D136" s="915"/>
      <c r="E136" s="916"/>
      <c r="F136" s="916"/>
      <c r="G136" s="962">
        <f t="shared" si="11"/>
        <v>0</v>
      </c>
      <c r="H136" s="199"/>
      <c r="I136" s="199"/>
      <c r="J136" s="199"/>
      <c r="K136" s="199"/>
      <c r="L136" s="199"/>
      <c r="M136" s="199"/>
      <c r="N136" s="199"/>
    </row>
    <row r="137" spans="1:16" ht="17.25" customHeight="1" thickBot="1">
      <c r="A137" s="1989"/>
      <c r="B137" s="1990"/>
      <c r="C137" s="122" t="s">
        <v>12</v>
      </c>
      <c r="D137" s="955">
        <f>SUM(D131:D136)</f>
        <v>357</v>
      </c>
      <c r="E137" s="955">
        <f t="shared" ref="E137:F137" si="12">SUM(E131:E136)</f>
        <v>0</v>
      </c>
      <c r="F137" s="955">
        <f t="shared" si="12"/>
        <v>0</v>
      </c>
      <c r="G137" s="964">
        <f>SUM(G131:G136)</f>
        <v>357</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273" t="s">
        <v>80</v>
      </c>
      <c r="B142" s="2274" t="s">
        <v>61</v>
      </c>
      <c r="C142" s="2280" t="s">
        <v>8</v>
      </c>
      <c r="D142" s="590" t="s">
        <v>81</v>
      </c>
      <c r="E142" s="591"/>
      <c r="F142" s="591"/>
      <c r="G142" s="591"/>
      <c r="H142" s="591"/>
      <c r="I142" s="592"/>
      <c r="J142" s="2275" t="s">
        <v>82</v>
      </c>
      <c r="K142" s="2276"/>
      <c r="L142" s="2276"/>
      <c r="M142" s="2276"/>
      <c r="N142" s="2277"/>
      <c r="O142" s="177"/>
      <c r="P142" s="177"/>
    </row>
    <row r="143" spans="1:16" ht="113.25" customHeight="1">
      <c r="A143" s="2045"/>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031"/>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024"/>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024"/>
      <c r="B146" s="2025"/>
      <c r="C146" s="116">
        <v>2016</v>
      </c>
      <c r="D146" s="50"/>
      <c r="E146" s="50"/>
      <c r="F146" s="42"/>
      <c r="G146" s="190"/>
      <c r="H146" s="190"/>
      <c r="I146" s="227">
        <f t="shared" si="13"/>
        <v>0</v>
      </c>
      <c r="J146" s="231"/>
      <c r="K146" s="232"/>
      <c r="L146" s="231"/>
      <c r="M146" s="232"/>
      <c r="N146" s="233"/>
      <c r="O146" s="177"/>
      <c r="P146" s="177"/>
    </row>
    <row r="147" spans="1:16" ht="17.25" customHeight="1">
      <c r="A147" s="2024"/>
      <c r="B147" s="2025"/>
      <c r="C147" s="116">
        <v>2017</v>
      </c>
      <c r="D147" s="50"/>
      <c r="E147" s="50"/>
      <c r="F147" s="42"/>
      <c r="G147" s="190"/>
      <c r="H147" s="190"/>
      <c r="I147" s="227">
        <f t="shared" si="13"/>
        <v>0</v>
      </c>
      <c r="J147" s="231"/>
      <c r="K147" s="232"/>
      <c r="L147" s="231"/>
      <c r="M147" s="232"/>
      <c r="N147" s="233"/>
      <c r="O147" s="177"/>
      <c r="P147" s="177"/>
    </row>
    <row r="148" spans="1:16" ht="19.5" customHeight="1">
      <c r="A148" s="2024"/>
      <c r="B148" s="2025"/>
      <c r="C148" s="116">
        <v>2018</v>
      </c>
      <c r="D148" s="50"/>
      <c r="E148" s="50"/>
      <c r="F148" s="42"/>
      <c r="G148" s="190"/>
      <c r="H148" s="190"/>
      <c r="I148" s="227">
        <f t="shared" si="13"/>
        <v>0</v>
      </c>
      <c r="J148" s="231"/>
      <c r="K148" s="232"/>
      <c r="L148" s="231"/>
      <c r="M148" s="232"/>
      <c r="N148" s="233"/>
      <c r="O148" s="177"/>
      <c r="P148" s="177"/>
    </row>
    <row r="149" spans="1:16" ht="19.5" customHeight="1">
      <c r="A149" s="2024"/>
      <c r="B149" s="2025"/>
      <c r="C149" s="116">
        <v>2019</v>
      </c>
      <c r="D149" s="50"/>
      <c r="E149" s="50"/>
      <c r="F149" s="42"/>
      <c r="G149" s="190"/>
      <c r="H149" s="190"/>
      <c r="I149" s="227">
        <f t="shared" si="13"/>
        <v>0</v>
      </c>
      <c r="J149" s="231"/>
      <c r="K149" s="232"/>
      <c r="L149" s="231"/>
      <c r="M149" s="232"/>
      <c r="N149" s="233"/>
      <c r="O149" s="177"/>
      <c r="P149" s="177"/>
    </row>
    <row r="150" spans="1:16" ht="18.75" customHeight="1">
      <c r="A150" s="2024"/>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278" t="s">
        <v>93</v>
      </c>
      <c r="B153" s="2274" t="s">
        <v>61</v>
      </c>
      <c r="C153" s="2279" t="s">
        <v>8</v>
      </c>
      <c r="D153" s="502" t="s">
        <v>94</v>
      </c>
      <c r="E153" s="502"/>
      <c r="F153" s="503"/>
      <c r="G153" s="503"/>
      <c r="H153" s="502" t="s">
        <v>95</v>
      </c>
      <c r="I153" s="502"/>
      <c r="J153" s="504"/>
      <c r="K153" s="31"/>
      <c r="L153" s="31"/>
      <c r="M153" s="31"/>
      <c r="N153" s="31"/>
      <c r="O153" s="177"/>
      <c r="P153" s="177"/>
    </row>
    <row r="154" spans="1:16" ht="49.5" customHeight="1">
      <c r="A154" s="2033"/>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031"/>
      <c r="B155" s="2025"/>
      <c r="C155" s="247">
        <v>2014</v>
      </c>
      <c r="D155" s="228"/>
      <c r="E155" s="187"/>
      <c r="F155" s="229"/>
      <c r="G155" s="227">
        <f>SUM(D155:F155)</f>
        <v>0</v>
      </c>
      <c r="H155" s="228"/>
      <c r="I155" s="187"/>
      <c r="J155" s="188"/>
      <c r="O155" s="177"/>
      <c r="P155" s="177"/>
    </row>
    <row r="156" spans="1:16" ht="19.5" customHeight="1">
      <c r="A156" s="2024"/>
      <c r="B156" s="2025"/>
      <c r="C156" s="248">
        <v>2015</v>
      </c>
      <c r="D156" s="231"/>
      <c r="E156" s="190"/>
      <c r="F156" s="232"/>
      <c r="G156" s="227">
        <f t="shared" ref="G156:G161" si="15">SUM(D156:F156)</f>
        <v>0</v>
      </c>
      <c r="H156" s="231"/>
      <c r="I156" s="190"/>
      <c r="J156" s="193"/>
      <c r="O156" s="177"/>
      <c r="P156" s="177"/>
    </row>
    <row r="157" spans="1:16" ht="17.25" customHeight="1">
      <c r="A157" s="2024"/>
      <c r="B157" s="2025"/>
      <c r="C157" s="248">
        <v>2016</v>
      </c>
      <c r="D157" s="231"/>
      <c r="E157" s="190"/>
      <c r="F157" s="232"/>
      <c r="G157" s="227">
        <f t="shared" si="15"/>
        <v>0</v>
      </c>
      <c r="H157" s="231"/>
      <c r="I157" s="190"/>
      <c r="J157" s="193"/>
      <c r="O157" s="177"/>
      <c r="P157" s="177"/>
    </row>
    <row r="158" spans="1:16" ht="15" customHeight="1">
      <c r="A158" s="2024"/>
      <c r="B158" s="2025"/>
      <c r="C158" s="248">
        <v>2017</v>
      </c>
      <c r="D158" s="231"/>
      <c r="E158" s="190"/>
      <c r="F158" s="232"/>
      <c r="G158" s="227">
        <f t="shared" si="15"/>
        <v>0</v>
      </c>
      <c r="H158" s="231"/>
      <c r="I158" s="190"/>
      <c r="J158" s="193"/>
      <c r="O158" s="177"/>
      <c r="P158" s="177"/>
    </row>
    <row r="159" spans="1:16" ht="19.5" customHeight="1">
      <c r="A159" s="2024"/>
      <c r="B159" s="2025"/>
      <c r="C159" s="248">
        <v>2018</v>
      </c>
      <c r="D159" s="231"/>
      <c r="E159" s="190"/>
      <c r="F159" s="232"/>
      <c r="G159" s="227">
        <f t="shared" si="15"/>
        <v>0</v>
      </c>
      <c r="H159" s="231"/>
      <c r="I159" s="190"/>
      <c r="J159" s="193"/>
      <c r="O159" s="177"/>
      <c r="P159" s="177"/>
    </row>
    <row r="160" spans="1:16" ht="15" customHeight="1">
      <c r="A160" s="2024"/>
      <c r="B160" s="2025"/>
      <c r="C160" s="248">
        <v>2019</v>
      </c>
      <c r="D160" s="231"/>
      <c r="E160" s="190"/>
      <c r="F160" s="232"/>
      <c r="G160" s="227">
        <f t="shared" si="15"/>
        <v>0</v>
      </c>
      <c r="H160" s="231"/>
      <c r="I160" s="190"/>
      <c r="J160" s="193"/>
      <c r="O160" s="177"/>
      <c r="P160" s="177"/>
    </row>
    <row r="161" spans="1:18" ht="17.25" customHeight="1">
      <c r="A161" s="2024"/>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505"/>
      <c r="F163" s="177"/>
      <c r="G163" s="177"/>
      <c r="H163" s="177"/>
      <c r="I163" s="177"/>
      <c r="J163" s="255"/>
      <c r="K163" s="256"/>
    </row>
    <row r="164" spans="1:18" ht="95.25" customHeight="1">
      <c r="A164" s="506" t="s">
        <v>102</v>
      </c>
      <c r="B164" s="258" t="s">
        <v>103</v>
      </c>
      <c r="C164" s="965" t="s">
        <v>8</v>
      </c>
      <c r="D164" s="260" t="s">
        <v>104</v>
      </c>
      <c r="E164" s="260" t="s">
        <v>105</v>
      </c>
      <c r="F164" s="508" t="s">
        <v>106</v>
      </c>
      <c r="G164" s="260" t="s">
        <v>107</v>
      </c>
      <c r="H164" s="260" t="s">
        <v>108</v>
      </c>
      <c r="I164" s="262" t="s">
        <v>109</v>
      </c>
      <c r="J164" s="263" t="s">
        <v>110</v>
      </c>
      <c r="K164" s="263" t="s">
        <v>111</v>
      </c>
      <c r="L164" s="608"/>
    </row>
    <row r="165" spans="1:18" ht="15.75" customHeight="1">
      <c r="A165" s="2011"/>
      <c r="B165" s="2012"/>
      <c r="C165" s="265">
        <v>2014</v>
      </c>
      <c r="D165" s="187"/>
      <c r="E165" s="187"/>
      <c r="F165" s="187"/>
      <c r="G165" s="187"/>
      <c r="H165" s="187"/>
      <c r="I165" s="188"/>
      <c r="J165" s="266">
        <f>SUM(D165,F165,H165)</f>
        <v>0</v>
      </c>
      <c r="K165" s="267">
        <f>SUM(E165,G165,I165)</f>
        <v>0</v>
      </c>
      <c r="L165" s="608"/>
    </row>
    <row r="166" spans="1:18">
      <c r="A166" s="2013"/>
      <c r="B166" s="2014"/>
      <c r="C166" s="268">
        <v>2015</v>
      </c>
      <c r="D166" s="269"/>
      <c r="E166" s="269"/>
      <c r="F166" s="269"/>
      <c r="G166" s="269"/>
      <c r="H166" s="269"/>
      <c r="I166" s="270"/>
      <c r="J166" s="271">
        <f t="shared" ref="J166:K171" si="17">SUM(D166,F166,H166)</f>
        <v>0</v>
      </c>
      <c r="K166" s="272">
        <f t="shared" si="17"/>
        <v>0</v>
      </c>
      <c r="L166" s="608"/>
    </row>
    <row r="167" spans="1:18">
      <c r="A167" s="2013"/>
      <c r="B167" s="2014"/>
      <c r="C167" s="268">
        <v>2016</v>
      </c>
      <c r="D167" s="269"/>
      <c r="E167" s="269"/>
      <c r="F167" s="269"/>
      <c r="G167" s="269"/>
      <c r="H167" s="269"/>
      <c r="I167" s="270"/>
      <c r="J167" s="271">
        <f t="shared" si="17"/>
        <v>0</v>
      </c>
      <c r="K167" s="272">
        <f t="shared" si="17"/>
        <v>0</v>
      </c>
    </row>
    <row r="168" spans="1:18">
      <c r="A168" s="2013"/>
      <c r="B168" s="2014"/>
      <c r="C168" s="268">
        <v>2017</v>
      </c>
      <c r="D168" s="269"/>
      <c r="E168" s="177"/>
      <c r="F168" s="269"/>
      <c r="G168" s="269"/>
      <c r="H168" s="269"/>
      <c r="I168" s="270"/>
      <c r="J168" s="271">
        <f t="shared" si="17"/>
        <v>0</v>
      </c>
      <c r="K168" s="272">
        <f t="shared" si="17"/>
        <v>0</v>
      </c>
    </row>
    <row r="169" spans="1:18">
      <c r="A169" s="2013"/>
      <c r="B169" s="2014"/>
      <c r="C169" s="273">
        <v>2018</v>
      </c>
      <c r="D169" s="269"/>
      <c r="E169" s="269"/>
      <c r="F169" s="269"/>
      <c r="G169" s="274"/>
      <c r="H169" s="269"/>
      <c r="I169" s="270"/>
      <c r="J169" s="271">
        <f t="shared" si="17"/>
        <v>0</v>
      </c>
      <c r="K169" s="272">
        <f t="shared" si="17"/>
        <v>0</v>
      </c>
      <c r="L169" s="608"/>
    </row>
    <row r="170" spans="1:18">
      <c r="A170" s="2013"/>
      <c r="B170" s="2014"/>
      <c r="C170" s="268">
        <v>2019</v>
      </c>
      <c r="D170" s="177"/>
      <c r="E170" s="269"/>
      <c r="F170" s="269"/>
      <c r="G170" s="269"/>
      <c r="H170" s="274"/>
      <c r="I170" s="270"/>
      <c r="J170" s="271">
        <f t="shared" si="17"/>
        <v>0</v>
      </c>
      <c r="K170" s="272">
        <f t="shared" si="17"/>
        <v>0</v>
      </c>
      <c r="L170" s="608"/>
    </row>
    <row r="171" spans="1:18">
      <c r="A171" s="2013"/>
      <c r="B171" s="2014"/>
      <c r="C171" s="273">
        <v>2020</v>
      </c>
      <c r="D171" s="269"/>
      <c r="E171" s="269"/>
      <c r="F171" s="269"/>
      <c r="G171" s="269"/>
      <c r="H171" s="269"/>
      <c r="I171" s="270"/>
      <c r="J171" s="271">
        <f t="shared" si="17"/>
        <v>0</v>
      </c>
      <c r="K171" s="272">
        <f t="shared" si="17"/>
        <v>0</v>
      </c>
      <c r="L171" s="608"/>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608"/>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284" t="s">
        <v>113</v>
      </c>
      <c r="B176" s="2285" t="s">
        <v>114</v>
      </c>
      <c r="C176" s="2286" t="s">
        <v>8</v>
      </c>
      <c r="D176" s="510" t="s">
        <v>115</v>
      </c>
      <c r="E176" s="511"/>
      <c r="F176" s="511"/>
      <c r="G176" s="512"/>
      <c r="H176" s="513"/>
      <c r="I176" s="2021" t="s">
        <v>116</v>
      </c>
      <c r="J176" s="2232"/>
      <c r="K176" s="2232"/>
      <c r="L176" s="2232"/>
      <c r="M176" s="2232"/>
      <c r="N176" s="2232"/>
      <c r="O176" s="2233"/>
    </row>
    <row r="177" spans="1:15" s="31" customFormat="1" ht="129.75" customHeight="1">
      <c r="A177" s="2018"/>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031" t="s">
        <v>251</v>
      </c>
      <c r="B178" s="2025"/>
      <c r="C178" s="112">
        <v>2014</v>
      </c>
      <c r="D178" s="33"/>
      <c r="E178" s="34"/>
      <c r="F178" s="34"/>
      <c r="G178" s="966">
        <f>SUM(D178:F178)</f>
        <v>0</v>
      </c>
      <c r="H178" s="167"/>
      <c r="I178" s="167"/>
      <c r="J178" s="34"/>
      <c r="K178" s="34"/>
      <c r="L178" s="34"/>
      <c r="M178" s="34"/>
      <c r="N178" s="34"/>
      <c r="O178" s="37"/>
    </row>
    <row r="179" spans="1:15">
      <c r="A179" s="2024"/>
      <c r="B179" s="2025"/>
      <c r="C179" s="116">
        <v>2015</v>
      </c>
      <c r="D179" s="939">
        <v>3</v>
      </c>
      <c r="E179" s="931">
        <v>2</v>
      </c>
      <c r="F179" s="931">
        <v>0</v>
      </c>
      <c r="G179" s="967">
        <f t="shared" ref="G179:G184" si="19">SUM(D179:F179)</f>
        <v>5</v>
      </c>
      <c r="H179" s="968">
        <v>10</v>
      </c>
      <c r="I179" s="118">
        <v>0</v>
      </c>
      <c r="J179" s="42">
        <v>2</v>
      </c>
      <c r="K179" s="42">
        <v>0</v>
      </c>
      <c r="L179" s="42">
        <v>1</v>
      </c>
      <c r="M179" s="42">
        <v>1</v>
      </c>
      <c r="N179" s="42">
        <v>0</v>
      </c>
      <c r="O179" s="99">
        <v>1</v>
      </c>
    </row>
    <row r="180" spans="1:15">
      <c r="A180" s="2024"/>
      <c r="B180" s="2025"/>
      <c r="C180" s="116">
        <v>2016</v>
      </c>
      <c r="D180" s="915">
        <v>26</v>
      </c>
      <c r="E180" s="916">
        <v>2</v>
      </c>
      <c r="F180" s="916">
        <v>0</v>
      </c>
      <c r="G180" s="967">
        <f t="shared" si="19"/>
        <v>28</v>
      </c>
      <c r="H180" s="968">
        <v>35</v>
      </c>
      <c r="I180" s="118">
        <v>0</v>
      </c>
      <c r="J180" s="42">
        <v>3</v>
      </c>
      <c r="K180" s="42">
        <v>0</v>
      </c>
      <c r="L180" s="42">
        <v>0</v>
      </c>
      <c r="M180" s="42">
        <v>11</v>
      </c>
      <c r="N180" s="42">
        <v>0</v>
      </c>
      <c r="O180" s="99">
        <v>14</v>
      </c>
    </row>
    <row r="181" spans="1:15">
      <c r="A181" s="2024"/>
      <c r="B181" s="2025"/>
      <c r="C181" s="116">
        <v>2017</v>
      </c>
      <c r="D181" s="50"/>
      <c r="E181" s="42"/>
      <c r="F181" s="42"/>
      <c r="G181" s="293">
        <f t="shared" si="19"/>
        <v>0</v>
      </c>
      <c r="H181" s="294"/>
      <c r="I181" s="118"/>
      <c r="J181" s="42"/>
      <c r="K181" s="42"/>
      <c r="L181" s="42"/>
      <c r="M181" s="42"/>
      <c r="N181" s="42"/>
      <c r="O181" s="99"/>
    </row>
    <row r="182" spans="1:15">
      <c r="A182" s="2024"/>
      <c r="B182" s="2025"/>
      <c r="C182" s="116">
        <v>2018</v>
      </c>
      <c r="D182" s="50"/>
      <c r="E182" s="42"/>
      <c r="F182" s="42"/>
      <c r="G182" s="293">
        <f t="shared" si="19"/>
        <v>0</v>
      </c>
      <c r="H182" s="294"/>
      <c r="I182" s="118"/>
      <c r="J182" s="42"/>
      <c r="K182" s="42"/>
      <c r="L182" s="42"/>
      <c r="M182" s="42"/>
      <c r="N182" s="42"/>
      <c r="O182" s="99"/>
    </row>
    <row r="183" spans="1:15">
      <c r="A183" s="2024"/>
      <c r="B183" s="2025"/>
      <c r="C183" s="116">
        <v>2019</v>
      </c>
      <c r="D183" s="50"/>
      <c r="E183" s="42"/>
      <c r="F183" s="42"/>
      <c r="G183" s="293">
        <f t="shared" si="19"/>
        <v>0</v>
      </c>
      <c r="H183" s="294"/>
      <c r="I183" s="118"/>
      <c r="J183" s="42"/>
      <c r="K183" s="42"/>
      <c r="L183" s="42"/>
      <c r="M183" s="42"/>
      <c r="N183" s="42"/>
      <c r="O183" s="99"/>
    </row>
    <row r="184" spans="1:15">
      <c r="A184" s="2024"/>
      <c r="B184" s="2025"/>
      <c r="C184" s="116">
        <v>2020</v>
      </c>
      <c r="D184" s="50"/>
      <c r="E184" s="42"/>
      <c r="F184" s="42"/>
      <c r="G184" s="293">
        <f t="shared" si="19"/>
        <v>0</v>
      </c>
      <c r="H184" s="294"/>
      <c r="I184" s="118"/>
      <c r="J184" s="42"/>
      <c r="K184" s="42"/>
      <c r="L184" s="42"/>
      <c r="M184" s="42"/>
      <c r="N184" s="42"/>
      <c r="O184" s="99"/>
    </row>
    <row r="185" spans="1:15" ht="45" customHeight="1" thickBot="1">
      <c r="A185" s="2026"/>
      <c r="B185" s="2027"/>
      <c r="C185" s="122" t="s">
        <v>12</v>
      </c>
      <c r="D185" s="955">
        <f>SUM(D178:D184)</f>
        <v>29</v>
      </c>
      <c r="E185" s="952">
        <f>SUM(E178:E184)</f>
        <v>4</v>
      </c>
      <c r="F185" s="952">
        <f>SUM(F178:F184)</f>
        <v>0</v>
      </c>
      <c r="G185" s="969">
        <f t="shared" ref="G185:O185" si="20">SUM(G178:G184)</f>
        <v>33</v>
      </c>
      <c r="H185" s="970">
        <f t="shared" si="20"/>
        <v>45</v>
      </c>
      <c r="I185" s="958">
        <f t="shared" si="20"/>
        <v>0</v>
      </c>
      <c r="J185" s="952">
        <f t="shared" si="20"/>
        <v>5</v>
      </c>
      <c r="K185" s="952">
        <f t="shared" si="20"/>
        <v>0</v>
      </c>
      <c r="L185" s="952">
        <f t="shared" si="20"/>
        <v>1</v>
      </c>
      <c r="M185" s="952">
        <f t="shared" si="20"/>
        <v>12</v>
      </c>
      <c r="N185" s="952">
        <f t="shared" si="20"/>
        <v>0</v>
      </c>
      <c r="O185" s="956">
        <f t="shared" si="20"/>
        <v>15</v>
      </c>
    </row>
    <row r="186" spans="1:15" ht="33" customHeight="1" thickBot="1"/>
    <row r="187" spans="1:15" ht="19.5" customHeight="1">
      <c r="A187" s="1994" t="s">
        <v>122</v>
      </c>
      <c r="B187" s="2285" t="s">
        <v>114</v>
      </c>
      <c r="C187" s="1998" t="s">
        <v>8</v>
      </c>
      <c r="D187" s="2000" t="s">
        <v>123</v>
      </c>
      <c r="E187" s="2219"/>
      <c r="F187" s="2219"/>
      <c r="G187" s="2220"/>
      <c r="H187" s="2221"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111" t="s">
        <v>252</v>
      </c>
      <c r="B189" s="2112"/>
      <c r="C189" s="392">
        <v>2014</v>
      </c>
      <c r="D189" s="142"/>
      <c r="E189" s="115"/>
      <c r="F189" s="115"/>
      <c r="G189" s="301">
        <f>SUM(D189:F189)</f>
        <v>0</v>
      </c>
      <c r="H189" s="114"/>
      <c r="I189" s="115"/>
      <c r="J189" s="115"/>
      <c r="K189" s="115"/>
      <c r="L189" s="143"/>
    </row>
    <row r="190" spans="1:15">
      <c r="A190" s="2113"/>
      <c r="B190" s="1988"/>
      <c r="C190" s="86">
        <v>2015</v>
      </c>
      <c r="D190" s="939">
        <v>243</v>
      </c>
      <c r="E190" s="931">
        <v>50</v>
      </c>
      <c r="F190" s="931">
        <v>0</v>
      </c>
      <c r="G190" s="971">
        <f t="shared" ref="G190:G195" si="21">SUM(D190:F190)</f>
        <v>293</v>
      </c>
      <c r="H190" s="946">
        <v>2</v>
      </c>
      <c r="I190" s="931">
        <v>34</v>
      </c>
      <c r="J190" s="931">
        <v>10</v>
      </c>
      <c r="K190" s="931">
        <v>0</v>
      </c>
      <c r="L190" s="947">
        <v>247</v>
      </c>
    </row>
    <row r="191" spans="1:15">
      <c r="A191" s="2113"/>
      <c r="B191" s="1988"/>
      <c r="C191" s="86">
        <v>2016</v>
      </c>
      <c r="D191" s="939">
        <v>1012</v>
      </c>
      <c r="E191" s="931">
        <v>49</v>
      </c>
      <c r="F191" s="931">
        <v>70</v>
      </c>
      <c r="G191" s="971">
        <f t="shared" si="21"/>
        <v>1131</v>
      </c>
      <c r="H191" s="946">
        <v>2</v>
      </c>
      <c r="I191" s="931">
        <v>260</v>
      </c>
      <c r="J191" s="931">
        <v>0</v>
      </c>
      <c r="K191" s="931">
        <v>22</v>
      </c>
      <c r="L191" s="947">
        <v>847</v>
      </c>
    </row>
    <row r="192" spans="1:15">
      <c r="A192" s="2113"/>
      <c r="B192" s="1988"/>
      <c r="C192" s="86">
        <v>2017</v>
      </c>
      <c r="D192" s="50"/>
      <c r="E192" s="42"/>
      <c r="F192" s="42"/>
      <c r="G192" s="301">
        <f t="shared" si="21"/>
        <v>0</v>
      </c>
      <c r="H192" s="118"/>
      <c r="I192" s="42"/>
      <c r="J192" s="42"/>
      <c r="K192" s="42"/>
      <c r="L192" s="99"/>
    </row>
    <row r="193" spans="1:14">
      <c r="A193" s="2113"/>
      <c r="B193" s="1988"/>
      <c r="C193" s="86">
        <v>2018</v>
      </c>
      <c r="D193" s="50"/>
      <c r="E193" s="42"/>
      <c r="F193" s="42"/>
      <c r="G193" s="301">
        <f t="shared" si="21"/>
        <v>0</v>
      </c>
      <c r="H193" s="118"/>
      <c r="I193" s="42"/>
      <c r="J193" s="42"/>
      <c r="K193" s="42"/>
      <c r="L193" s="99"/>
    </row>
    <row r="194" spans="1:14">
      <c r="A194" s="2113"/>
      <c r="B194" s="1988"/>
      <c r="C194" s="86">
        <v>2019</v>
      </c>
      <c r="D194" s="50"/>
      <c r="E194" s="42"/>
      <c r="F194" s="42"/>
      <c r="G194" s="301">
        <f t="shared" si="21"/>
        <v>0</v>
      </c>
      <c r="H194" s="118"/>
      <c r="I194" s="42"/>
      <c r="J194" s="42"/>
      <c r="K194" s="42"/>
      <c r="L194" s="99"/>
    </row>
    <row r="195" spans="1:14">
      <c r="A195" s="2113"/>
      <c r="B195" s="1988"/>
      <c r="C195" s="86">
        <v>2020</v>
      </c>
      <c r="D195" s="50"/>
      <c r="E195" s="42"/>
      <c r="F195" s="42"/>
      <c r="G195" s="301">
        <f t="shared" si="21"/>
        <v>0</v>
      </c>
      <c r="H195" s="118"/>
      <c r="I195" s="42"/>
      <c r="J195" s="42"/>
      <c r="K195" s="42"/>
      <c r="L195" s="99"/>
    </row>
    <row r="196" spans="1:14" ht="15.75" thickBot="1">
      <c r="A196" s="2114"/>
      <c r="B196" s="1990"/>
      <c r="C196" s="148" t="s">
        <v>12</v>
      </c>
      <c r="D196" s="972">
        <f t="shared" ref="D196:L196" si="22">SUM(D189:D195)</f>
        <v>1255</v>
      </c>
      <c r="E196" s="948">
        <f t="shared" si="22"/>
        <v>99</v>
      </c>
      <c r="F196" s="948">
        <f t="shared" si="22"/>
        <v>70</v>
      </c>
      <c r="G196" s="973">
        <f t="shared" si="22"/>
        <v>1424</v>
      </c>
      <c r="H196" s="949">
        <f t="shared" si="22"/>
        <v>4</v>
      </c>
      <c r="I196" s="948">
        <f t="shared" si="22"/>
        <v>294</v>
      </c>
      <c r="J196" s="948">
        <f t="shared" si="22"/>
        <v>10</v>
      </c>
      <c r="K196" s="948">
        <f t="shared" si="22"/>
        <v>22</v>
      </c>
      <c r="L196" s="950">
        <f t="shared" si="22"/>
        <v>1094</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596" t="s">
        <v>135</v>
      </c>
      <c r="B201" s="309" t="s">
        <v>114</v>
      </c>
      <c r="C201" s="310" t="s">
        <v>8</v>
      </c>
      <c r="D201" s="515" t="s">
        <v>136</v>
      </c>
      <c r="E201" s="312" t="s">
        <v>137</v>
      </c>
      <c r="F201" s="312" t="s">
        <v>138</v>
      </c>
      <c r="G201" s="310" t="s">
        <v>139</v>
      </c>
      <c r="H201" s="516" t="s">
        <v>140</v>
      </c>
      <c r="I201" s="517" t="s">
        <v>141</v>
      </c>
      <c r="J201" s="518" t="s">
        <v>142</v>
      </c>
      <c r="K201" s="312" t="s">
        <v>143</v>
      </c>
      <c r="L201" s="316" t="s">
        <v>144</v>
      </c>
    </row>
    <row r="202" spans="1:14" ht="15" customHeight="1">
      <c r="A202" s="1987"/>
      <c r="B202" s="1988"/>
      <c r="C202" s="84">
        <v>2014</v>
      </c>
      <c r="D202" s="33"/>
      <c r="E202" s="34"/>
      <c r="F202" s="34"/>
      <c r="G202" s="32"/>
      <c r="H202" s="317"/>
      <c r="I202" s="318"/>
      <c r="J202" s="319"/>
      <c r="K202" s="34"/>
      <c r="L202" s="37"/>
    </row>
    <row r="203" spans="1:14">
      <c r="A203" s="1987"/>
      <c r="B203" s="1988"/>
      <c r="C203" s="86">
        <v>2015</v>
      </c>
      <c r="D203" s="915">
        <v>0</v>
      </c>
      <c r="E203" s="916">
        <v>0</v>
      </c>
      <c r="F203" s="916">
        <v>0</v>
      </c>
      <c r="G203" s="974">
        <v>0</v>
      </c>
      <c r="H203" s="975">
        <v>0</v>
      </c>
      <c r="I203" s="976">
        <v>0</v>
      </c>
      <c r="J203" s="977">
        <v>0</v>
      </c>
      <c r="K203" s="916">
        <v>0</v>
      </c>
      <c r="L203" s="978">
        <v>0</v>
      </c>
    </row>
    <row r="204" spans="1:14">
      <c r="A204" s="1987"/>
      <c r="B204" s="1988"/>
      <c r="C204" s="86">
        <v>2016</v>
      </c>
      <c r="D204" s="915">
        <v>2</v>
      </c>
      <c r="E204" s="916">
        <v>45</v>
      </c>
      <c r="F204" s="916">
        <v>5</v>
      </c>
      <c r="G204" s="974">
        <v>0</v>
      </c>
      <c r="H204" s="975">
        <v>0</v>
      </c>
      <c r="I204" s="976">
        <v>0</v>
      </c>
      <c r="J204" s="977">
        <v>0</v>
      </c>
      <c r="K204" s="916">
        <v>0</v>
      </c>
      <c r="L204" s="978">
        <v>0</v>
      </c>
    </row>
    <row r="205" spans="1:14">
      <c r="A205" s="1987"/>
      <c r="B205" s="1988"/>
      <c r="C205" s="86">
        <v>2017</v>
      </c>
      <c r="D205" s="50"/>
      <c r="E205" s="42"/>
      <c r="F205" s="42"/>
      <c r="G205" s="39"/>
      <c r="H205" s="320"/>
      <c r="I205" s="321"/>
      <c r="J205" s="322"/>
      <c r="K205" s="42"/>
      <c r="L205" s="99"/>
    </row>
    <row r="206" spans="1:14">
      <c r="A206" s="1987"/>
      <c r="B206" s="1988"/>
      <c r="C206" s="86">
        <v>2018</v>
      </c>
      <c r="D206" s="50"/>
      <c r="E206" s="42"/>
      <c r="F206" s="42"/>
      <c r="G206" s="39"/>
      <c r="H206" s="320"/>
      <c r="I206" s="321"/>
      <c r="J206" s="322"/>
      <c r="K206" s="42"/>
      <c r="L206" s="99"/>
    </row>
    <row r="207" spans="1:14">
      <c r="A207" s="1987"/>
      <c r="B207" s="1988"/>
      <c r="C207" s="86">
        <v>2019</v>
      </c>
      <c r="D207" s="50"/>
      <c r="E207" s="42"/>
      <c r="F207" s="42"/>
      <c r="G207" s="39"/>
      <c r="H207" s="320"/>
      <c r="I207" s="321"/>
      <c r="J207" s="322"/>
      <c r="K207" s="42"/>
      <c r="L207" s="99"/>
    </row>
    <row r="208" spans="1:14">
      <c r="A208" s="1987"/>
      <c r="B208" s="1988"/>
      <c r="C208" s="86">
        <v>2020</v>
      </c>
      <c r="D208" s="610"/>
      <c r="E208" s="324"/>
      <c r="F208" s="324"/>
      <c r="G208" s="325"/>
      <c r="H208" s="326"/>
      <c r="I208" s="327"/>
      <c r="J208" s="328"/>
      <c r="K208" s="324"/>
      <c r="L208" s="329"/>
    </row>
    <row r="209" spans="1:12" ht="20.25" customHeight="1" thickBot="1">
      <c r="A209" s="1989"/>
      <c r="B209" s="1990"/>
      <c r="C209" s="148" t="s">
        <v>12</v>
      </c>
      <c r="D209" s="972">
        <f>SUM(D202:D208)</f>
        <v>2</v>
      </c>
      <c r="E209" s="972">
        <f t="shared" ref="E209:L209" si="23">SUM(E202:E208)</f>
        <v>45</v>
      </c>
      <c r="F209" s="972">
        <f t="shared" si="23"/>
        <v>5</v>
      </c>
      <c r="G209" s="972">
        <f t="shared" si="23"/>
        <v>0</v>
      </c>
      <c r="H209" s="972">
        <f t="shared" si="23"/>
        <v>0</v>
      </c>
      <c r="I209" s="972">
        <f t="shared" si="23"/>
        <v>0</v>
      </c>
      <c r="J209" s="972">
        <f t="shared" si="23"/>
        <v>0</v>
      </c>
      <c r="K209" s="972">
        <f t="shared" si="23"/>
        <v>0</v>
      </c>
      <c r="L209" s="972">
        <f t="shared" si="23"/>
        <v>0</v>
      </c>
    </row>
    <row r="211" spans="1:12" ht="15.75" thickBot="1"/>
    <row r="212" spans="1:12" ht="41.25" customHeight="1">
      <c r="A212" s="597" t="s">
        <v>145</v>
      </c>
      <c r="B212" s="331" t="s">
        <v>146</v>
      </c>
      <c r="C212" s="979">
        <v>2014</v>
      </c>
      <c r="D212" s="980">
        <v>2015</v>
      </c>
      <c r="E212" s="980">
        <v>2016</v>
      </c>
      <c r="F212" s="980">
        <v>2017</v>
      </c>
      <c r="G212" s="980">
        <v>2018</v>
      </c>
      <c r="H212" s="980">
        <v>2019</v>
      </c>
      <c r="I212" s="981">
        <v>2020</v>
      </c>
    </row>
    <row r="213" spans="1:12" ht="15" customHeight="1">
      <c r="A213" t="s">
        <v>147</v>
      </c>
      <c r="B213" s="2395" t="s">
        <v>253</v>
      </c>
      <c r="C213" s="84"/>
      <c r="D213" s="982">
        <f>SUM(D214:D217)</f>
        <v>308227.83999999997</v>
      </c>
      <c r="E213" s="982">
        <f>SUM(E214:E217)</f>
        <v>724807.32</v>
      </c>
      <c r="F213" s="147"/>
      <c r="G213" s="147"/>
      <c r="H213" s="147"/>
      <c r="I213" s="335"/>
    </row>
    <row r="214" spans="1:12">
      <c r="A214" t="s">
        <v>149</v>
      </c>
      <c r="B214" s="2396"/>
      <c r="C214" s="84"/>
      <c r="D214" s="983">
        <v>124174.95</v>
      </c>
      <c r="E214" s="984">
        <v>371011.33</v>
      </c>
      <c r="F214" s="147"/>
      <c r="G214" s="147"/>
      <c r="H214" s="147"/>
      <c r="I214" s="335"/>
    </row>
    <row r="215" spans="1:12">
      <c r="A215" t="s">
        <v>150</v>
      </c>
      <c r="B215" s="2396"/>
      <c r="C215" s="84"/>
      <c r="D215" s="983">
        <v>0</v>
      </c>
      <c r="E215" s="984">
        <v>7264.6</v>
      </c>
      <c r="F215" s="147"/>
      <c r="G215" s="147"/>
      <c r="H215" s="147"/>
      <c r="I215" s="335"/>
    </row>
    <row r="216" spans="1:12">
      <c r="A216" t="s">
        <v>151</v>
      </c>
      <c r="B216" s="2396"/>
      <c r="C216" s="84"/>
      <c r="D216" s="983">
        <v>94858.26</v>
      </c>
      <c r="E216" s="984">
        <v>144084.49</v>
      </c>
      <c r="F216" s="147"/>
      <c r="G216" s="147"/>
      <c r="H216" s="147"/>
      <c r="I216" s="335"/>
    </row>
    <row r="217" spans="1:12">
      <c r="A217" t="s">
        <v>152</v>
      </c>
      <c r="B217" s="2396"/>
      <c r="C217" s="84"/>
      <c r="D217" s="983">
        <v>89194.63</v>
      </c>
      <c r="E217" s="985">
        <v>202446.9</v>
      </c>
      <c r="F217" s="147"/>
      <c r="G217" s="147"/>
      <c r="H217" s="147"/>
      <c r="I217" s="335"/>
    </row>
    <row r="218" spans="1:12" ht="30">
      <c r="A218" s="31" t="s">
        <v>153</v>
      </c>
      <c r="B218" s="2396"/>
      <c r="C218" s="84"/>
      <c r="D218" s="986">
        <v>100902.81</v>
      </c>
      <c r="E218" s="983">
        <v>287084.87</v>
      </c>
      <c r="F218" s="147"/>
      <c r="G218" s="147"/>
      <c r="H218" s="147"/>
      <c r="I218" s="335"/>
    </row>
    <row r="219" spans="1:12" ht="33" customHeight="1" thickBot="1">
      <c r="A219" s="609"/>
      <c r="B219" s="2397"/>
      <c r="C219" s="920" t="s">
        <v>12</v>
      </c>
      <c r="D219" s="987">
        <f>SUM(D214:D218)</f>
        <v>409130.64999999997</v>
      </c>
      <c r="E219" s="987">
        <f t="shared" ref="E219:I219" si="24">SUM(E214:E218)</f>
        <v>1011892.19</v>
      </c>
      <c r="F219" s="988">
        <f t="shared" si="24"/>
        <v>0</v>
      </c>
      <c r="G219" s="988">
        <f t="shared" si="24"/>
        <v>0</v>
      </c>
      <c r="H219" s="988">
        <f t="shared" si="24"/>
        <v>0</v>
      </c>
      <c r="I219" s="988">
        <f t="shared" si="24"/>
        <v>0</v>
      </c>
    </row>
    <row r="220" spans="1:12" ht="24.75" customHeight="1"/>
    <row r="224" spans="1:12">
      <c r="D224" s="989"/>
      <c r="E224" s="990"/>
    </row>
    <row r="227" spans="1:4">
      <c r="A227" s="31"/>
      <c r="D227" s="989"/>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Y237"/>
  <sheetViews>
    <sheetView topLeftCell="A211" workbookViewId="0">
      <selection activeCell="E213" sqref="D213:E213"/>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8.14062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991" t="s">
        <v>338</v>
      </c>
      <c r="C1" s="992"/>
      <c r="D1" s="992"/>
      <c r="E1" s="992"/>
      <c r="F1" s="992"/>
    </row>
    <row r="2" spans="1:25" s="2" customFormat="1" ht="20.100000000000001" customHeight="1" thickBot="1"/>
    <row r="3" spans="1:25" s="5" customFormat="1" ht="20.100000000000001" customHeight="1">
      <c r="A3" s="522" t="s">
        <v>1</v>
      </c>
      <c r="B3" s="475"/>
      <c r="C3" s="475"/>
      <c r="D3" s="475"/>
      <c r="E3" s="475"/>
      <c r="F3" s="2198"/>
      <c r="G3" s="2198"/>
      <c r="H3" s="2198"/>
      <c r="I3" s="2198"/>
      <c r="J3" s="2198"/>
      <c r="K3" s="2198"/>
      <c r="L3" s="2198"/>
      <c r="M3" s="2198"/>
      <c r="N3" s="2198"/>
      <c r="O3" s="2199"/>
    </row>
    <row r="4" spans="1:25" s="5" customFormat="1" ht="20.100000000000001" customHeight="1">
      <c r="A4" s="2080" t="s">
        <v>2</v>
      </c>
      <c r="B4" s="2081"/>
      <c r="C4" s="2081"/>
      <c r="D4" s="2081"/>
      <c r="E4" s="2081"/>
      <c r="F4" s="2081"/>
      <c r="G4" s="2081"/>
      <c r="H4" s="2081"/>
      <c r="I4" s="2081"/>
      <c r="J4" s="2081"/>
      <c r="K4" s="2081"/>
      <c r="L4" s="2081"/>
      <c r="M4" s="2081"/>
      <c r="N4" s="2081"/>
      <c r="O4" s="2082"/>
    </row>
    <row r="5" spans="1:25" s="5" customFormat="1" ht="20.100000000000001" customHeight="1">
      <c r="A5" s="2080"/>
      <c r="B5" s="2081"/>
      <c r="C5" s="2081"/>
      <c r="D5" s="2081"/>
      <c r="E5" s="2081"/>
      <c r="F5" s="2081"/>
      <c r="G5" s="2081"/>
      <c r="H5" s="2081"/>
      <c r="I5" s="2081"/>
      <c r="J5" s="2081"/>
      <c r="K5" s="2081"/>
      <c r="L5" s="2081"/>
      <c r="M5" s="2081"/>
      <c r="N5" s="2081"/>
      <c r="O5" s="2082"/>
    </row>
    <row r="6" spans="1:25" s="5" customFormat="1" ht="20.100000000000001" customHeight="1">
      <c r="A6" s="2080"/>
      <c r="B6" s="2081"/>
      <c r="C6" s="2081"/>
      <c r="D6" s="2081"/>
      <c r="E6" s="2081"/>
      <c r="F6" s="2081"/>
      <c r="G6" s="2081"/>
      <c r="H6" s="2081"/>
      <c r="I6" s="2081"/>
      <c r="J6" s="2081"/>
      <c r="K6" s="2081"/>
      <c r="L6" s="2081"/>
      <c r="M6" s="2081"/>
      <c r="N6" s="2081"/>
      <c r="O6" s="2082"/>
    </row>
    <row r="7" spans="1:25" s="5" customFormat="1" ht="20.100000000000001" customHeight="1">
      <c r="A7" s="2080"/>
      <c r="B7" s="2081"/>
      <c r="C7" s="2081"/>
      <c r="D7" s="2081"/>
      <c r="E7" s="2081"/>
      <c r="F7" s="2081"/>
      <c r="G7" s="2081"/>
      <c r="H7" s="2081"/>
      <c r="I7" s="2081"/>
      <c r="J7" s="2081"/>
      <c r="K7" s="2081"/>
      <c r="L7" s="2081"/>
      <c r="M7" s="2081"/>
      <c r="N7" s="2081"/>
      <c r="O7" s="2082"/>
    </row>
    <row r="8" spans="1:25" s="5" customFormat="1" ht="20.100000000000001" customHeight="1">
      <c r="A8" s="2080"/>
      <c r="B8" s="2081"/>
      <c r="C8" s="2081"/>
      <c r="D8" s="2081"/>
      <c r="E8" s="2081"/>
      <c r="F8" s="2081"/>
      <c r="G8" s="2081"/>
      <c r="H8" s="2081"/>
      <c r="I8" s="2081"/>
      <c r="J8" s="2081"/>
      <c r="K8" s="2081"/>
      <c r="L8" s="2081"/>
      <c r="M8" s="2081"/>
      <c r="N8" s="2081"/>
      <c r="O8" s="2082"/>
    </row>
    <row r="9" spans="1:25" s="5" customFormat="1" ht="20.100000000000001" customHeight="1">
      <c r="A9" s="2080"/>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c r="P14" s="8"/>
      <c r="Q14" s="8"/>
      <c r="R14" s="8"/>
      <c r="S14" s="8"/>
      <c r="T14" s="8"/>
      <c r="U14" s="8"/>
      <c r="V14" s="8"/>
      <c r="W14" s="8"/>
      <c r="X14" s="8"/>
    </row>
    <row r="15" spans="1:25" s="19" customFormat="1" ht="22.5" customHeight="1">
      <c r="A15" s="1122"/>
      <c r="B15" s="2503" t="s">
        <v>7</v>
      </c>
      <c r="C15" s="2504" t="s">
        <v>8</v>
      </c>
      <c r="D15" s="2504" t="s">
        <v>4</v>
      </c>
      <c r="E15" s="2504"/>
      <c r="F15" s="2504"/>
      <c r="G15" s="2504"/>
      <c r="H15" s="993"/>
      <c r="I15" s="994" t="s">
        <v>5</v>
      </c>
      <c r="J15" s="995"/>
      <c r="K15" s="995"/>
      <c r="L15" s="995"/>
      <c r="M15" s="995"/>
      <c r="N15" s="995"/>
      <c r="O15" s="993"/>
      <c r="P15" s="16"/>
      <c r="Q15" s="17"/>
      <c r="R15" s="18"/>
      <c r="S15" s="18"/>
      <c r="T15" s="18"/>
      <c r="U15" s="18"/>
      <c r="V15" s="18"/>
      <c r="W15" s="16"/>
      <c r="X15" s="16"/>
      <c r="Y15" s="17"/>
    </row>
    <row r="16" spans="1:25" s="31" customFormat="1" ht="147.75" customHeight="1">
      <c r="A16" s="1123" t="s">
        <v>6</v>
      </c>
      <c r="B16" s="2503"/>
      <c r="C16" s="2504"/>
      <c r="D16" s="996" t="s">
        <v>9</v>
      </c>
      <c r="E16" s="996" t="s">
        <v>10</v>
      </c>
      <c r="F16" s="996" t="s">
        <v>11</v>
      </c>
      <c r="G16" s="997" t="s">
        <v>12</v>
      </c>
      <c r="H16" s="998" t="s">
        <v>13</v>
      </c>
      <c r="I16" s="999" t="s">
        <v>14</v>
      </c>
      <c r="J16" s="999" t="s">
        <v>15</v>
      </c>
      <c r="K16" s="999" t="s">
        <v>16</v>
      </c>
      <c r="L16" s="999" t="s">
        <v>17</v>
      </c>
      <c r="M16" s="998" t="s">
        <v>18</v>
      </c>
      <c r="N16" s="999" t="s">
        <v>19</v>
      </c>
      <c r="O16" s="999" t="s">
        <v>20</v>
      </c>
      <c r="P16" s="30"/>
      <c r="Q16" s="30"/>
      <c r="R16" s="30"/>
      <c r="S16" s="30"/>
      <c r="T16" s="30"/>
      <c r="U16" s="30"/>
      <c r="V16" s="30"/>
      <c r="W16" s="30"/>
      <c r="X16" s="30"/>
      <c r="Y16" s="30"/>
    </row>
    <row r="17" spans="1:25" ht="15" customHeight="1">
      <c r="A17" s="2491" t="s">
        <v>258</v>
      </c>
      <c r="B17" s="2492"/>
      <c r="C17" s="1000">
        <v>2014</v>
      </c>
      <c r="D17" s="1000"/>
      <c r="E17" s="1000"/>
      <c r="F17" s="1000"/>
      <c r="G17" s="1001">
        <f t="shared" ref="G17:G23" si="0">SUM(D17:F17)</f>
        <v>0</v>
      </c>
      <c r="H17" s="1000"/>
      <c r="I17" s="1000"/>
      <c r="J17" s="1000"/>
      <c r="K17" s="1000"/>
      <c r="L17" s="1000"/>
      <c r="M17" s="1000"/>
      <c r="N17" s="1000"/>
      <c r="O17" s="1000"/>
      <c r="P17" s="38"/>
      <c r="Q17" s="38"/>
      <c r="R17" s="38"/>
      <c r="S17" s="38"/>
      <c r="T17" s="38"/>
      <c r="U17" s="38"/>
      <c r="V17" s="38"/>
      <c r="W17" s="38"/>
      <c r="X17" s="38"/>
      <c r="Y17" s="38"/>
    </row>
    <row r="18" spans="1:25">
      <c r="A18" s="2493" t="s">
        <v>259</v>
      </c>
      <c r="B18" s="2494"/>
      <c r="C18" s="1002">
        <v>2015</v>
      </c>
      <c r="D18" s="1002">
        <v>11</v>
      </c>
      <c r="E18" s="1003">
        <v>1</v>
      </c>
      <c r="F18" s="1002">
        <v>1</v>
      </c>
      <c r="G18" s="1001">
        <f>SUM(D18:F18)</f>
        <v>13</v>
      </c>
      <c r="H18" s="1002">
        <v>1</v>
      </c>
      <c r="I18" s="1002">
        <v>1</v>
      </c>
      <c r="J18" s="1002">
        <v>3</v>
      </c>
      <c r="K18" s="1002">
        <v>0</v>
      </c>
      <c r="L18" s="1002">
        <v>3</v>
      </c>
      <c r="M18" s="1002">
        <v>0</v>
      </c>
      <c r="N18" s="1002">
        <v>0</v>
      </c>
      <c r="O18" s="1004">
        <v>5</v>
      </c>
      <c r="P18" s="38"/>
      <c r="Q18" s="38"/>
      <c r="R18" s="38"/>
      <c r="S18" s="38"/>
      <c r="T18" s="38"/>
      <c r="U18" s="38"/>
      <c r="V18" s="38"/>
      <c r="W18" s="38"/>
      <c r="X18" s="38"/>
      <c r="Y18" s="38"/>
    </row>
    <row r="19" spans="1:25">
      <c r="A19" s="1005" t="s">
        <v>260</v>
      </c>
      <c r="B19" s="1006"/>
      <c r="C19" s="1002">
        <v>2016</v>
      </c>
      <c r="D19" s="1002">
        <v>28</v>
      </c>
      <c r="E19" s="1002">
        <v>0</v>
      </c>
      <c r="F19" s="1002">
        <v>1</v>
      </c>
      <c r="G19" s="1007">
        <f t="shared" si="0"/>
        <v>29</v>
      </c>
      <c r="H19" s="1002">
        <v>0</v>
      </c>
      <c r="I19" s="1002">
        <f>8</f>
        <v>8</v>
      </c>
      <c r="J19" s="1002">
        <v>0</v>
      </c>
      <c r="K19" s="1002">
        <f>9</f>
        <v>9</v>
      </c>
      <c r="L19" s="1002">
        <f>0+2</f>
        <v>2</v>
      </c>
      <c r="M19" s="1002">
        <v>0</v>
      </c>
      <c r="N19" s="1002">
        <v>0</v>
      </c>
      <c r="O19" s="1004">
        <f>8+2</f>
        <v>10</v>
      </c>
      <c r="P19" s="38"/>
      <c r="Q19" s="38"/>
      <c r="R19" s="38"/>
      <c r="S19" s="38"/>
      <c r="T19" s="38"/>
      <c r="U19" s="38"/>
      <c r="V19" s="38"/>
      <c r="W19" s="38"/>
      <c r="X19" s="38"/>
      <c r="Y19" s="38"/>
    </row>
    <row r="20" spans="1:25">
      <c r="A20" s="1005" t="s">
        <v>261</v>
      </c>
      <c r="B20" s="1006"/>
      <c r="C20" s="1002">
        <v>2017</v>
      </c>
      <c r="D20" s="1002"/>
      <c r="E20" s="1002"/>
      <c r="F20" s="1002"/>
      <c r="G20" s="1001">
        <f t="shared" si="0"/>
        <v>0</v>
      </c>
      <c r="H20" s="1002"/>
      <c r="I20" s="1002"/>
      <c r="J20" s="1002"/>
      <c r="K20" s="1002"/>
      <c r="L20" s="1002"/>
      <c r="M20" s="1002"/>
      <c r="N20" s="1002"/>
      <c r="O20" s="1004"/>
      <c r="P20" s="38"/>
      <c r="Q20" s="38"/>
      <c r="R20" s="38"/>
      <c r="S20" s="38"/>
      <c r="T20" s="38"/>
      <c r="U20" s="38"/>
      <c r="V20" s="38"/>
      <c r="W20" s="38"/>
      <c r="X20" s="38"/>
      <c r="Y20" s="38"/>
    </row>
    <row r="21" spans="1:25">
      <c r="A21" s="1008"/>
      <c r="B21" s="1006"/>
      <c r="C21" s="1002">
        <v>2018</v>
      </c>
      <c r="D21" s="1002"/>
      <c r="E21" s="1002"/>
      <c r="F21" s="1002"/>
      <c r="G21" s="1001">
        <f t="shared" si="0"/>
        <v>0</v>
      </c>
      <c r="H21" s="1002"/>
      <c r="I21" s="1002"/>
      <c r="J21" s="1002"/>
      <c r="K21" s="1002"/>
      <c r="L21" s="1002"/>
      <c r="M21" s="1002"/>
      <c r="N21" s="1002"/>
      <c r="O21" s="1004"/>
      <c r="P21" s="38"/>
      <c r="Q21" s="38"/>
      <c r="R21" s="38"/>
      <c r="S21" s="38"/>
      <c r="T21" s="38"/>
      <c r="U21" s="38"/>
      <c r="V21" s="38"/>
      <c r="W21" s="38"/>
      <c r="X21" s="38"/>
      <c r="Y21" s="38"/>
    </row>
    <row r="22" spans="1:25">
      <c r="A22" s="1005"/>
      <c r="B22" s="1006"/>
      <c r="C22" s="1009">
        <v>2019</v>
      </c>
      <c r="D22" s="1002"/>
      <c r="E22" s="1002"/>
      <c r="F22" s="1002"/>
      <c r="G22" s="1001">
        <f>SUM(D22:F22)</f>
        <v>0</v>
      </c>
      <c r="H22" s="1002"/>
      <c r="I22" s="1002"/>
      <c r="J22" s="1002"/>
      <c r="K22" s="1002"/>
      <c r="L22" s="1002"/>
      <c r="M22" s="1002"/>
      <c r="N22" s="1002"/>
      <c r="O22" s="1004"/>
      <c r="P22" s="38"/>
      <c r="Q22" s="38"/>
      <c r="R22" s="38"/>
      <c r="S22" s="38"/>
      <c r="T22" s="38"/>
      <c r="U22" s="38"/>
      <c r="V22" s="38"/>
      <c r="W22" s="38"/>
      <c r="X22" s="38"/>
      <c r="Y22" s="38"/>
    </row>
    <row r="23" spans="1:25">
      <c r="A23" s="1005" t="s">
        <v>262</v>
      </c>
      <c r="B23" s="1006"/>
      <c r="C23" s="1002">
        <v>2020</v>
      </c>
      <c r="D23" s="1002"/>
      <c r="E23" s="1002"/>
      <c r="F23" s="1002"/>
      <c r="G23" s="1001">
        <f t="shared" si="0"/>
        <v>0</v>
      </c>
      <c r="H23" s="1002"/>
      <c r="I23" s="1002"/>
      <c r="J23" s="1002"/>
      <c r="K23" s="1002"/>
      <c r="L23" s="1002"/>
      <c r="M23" s="1002"/>
      <c r="N23" s="1002"/>
      <c r="O23" s="1004"/>
      <c r="P23" s="38"/>
      <c r="Q23" s="38"/>
      <c r="R23" s="38"/>
      <c r="S23" s="38"/>
      <c r="T23" s="38"/>
      <c r="U23" s="38"/>
      <c r="V23" s="38"/>
      <c r="W23" s="38"/>
      <c r="X23" s="38"/>
      <c r="Y23" s="38"/>
    </row>
    <row r="24" spans="1:25" ht="42" customHeight="1">
      <c r="A24" s="1010" t="s">
        <v>263</v>
      </c>
      <c r="B24" s="1011"/>
      <c r="C24" s="1012" t="s">
        <v>12</v>
      </c>
      <c r="D24" s="1001">
        <f>SUM(D17:D23)</f>
        <v>39</v>
      </c>
      <c r="E24" s="1001">
        <f>SUM(E17:E23)</f>
        <v>1</v>
      </c>
      <c r="F24" s="1001">
        <f>SUM(F17:F23)</f>
        <v>2</v>
      </c>
      <c r="G24" s="1001">
        <f>SUM(D24:F24)</f>
        <v>42</v>
      </c>
      <c r="H24" s="1001">
        <f>SUM(H17:H23)</f>
        <v>1</v>
      </c>
      <c r="I24" s="1001">
        <f>SUM(I17:I23)</f>
        <v>9</v>
      </c>
      <c r="J24" s="1001">
        <f t="shared" ref="J24:N24" si="1">SUM(J17:J23)</f>
        <v>3</v>
      </c>
      <c r="K24" s="1001">
        <f t="shared" si="1"/>
        <v>9</v>
      </c>
      <c r="L24" s="1001">
        <f t="shared" si="1"/>
        <v>5</v>
      </c>
      <c r="M24" s="1001">
        <f t="shared" si="1"/>
        <v>0</v>
      </c>
      <c r="N24" s="1001">
        <f t="shared" si="1"/>
        <v>0</v>
      </c>
      <c r="O24" s="1001">
        <f>SUM(O17:O23)</f>
        <v>15</v>
      </c>
      <c r="P24" s="38"/>
      <c r="Q24" s="38"/>
      <c r="R24" s="38"/>
      <c r="S24" s="38"/>
      <c r="T24" s="38"/>
      <c r="U24" s="38"/>
      <c r="V24" s="38"/>
      <c r="W24" s="38"/>
      <c r="X24" s="38"/>
      <c r="Y24" s="38"/>
    </row>
    <row r="25" spans="1:25">
      <c r="C25" s="62"/>
      <c r="H25" s="8"/>
      <c r="I25" s="8"/>
      <c r="J25" s="8"/>
      <c r="K25" s="8"/>
      <c r="L25" s="8"/>
      <c r="M25" s="8"/>
      <c r="N25" s="8"/>
      <c r="O25" s="8"/>
      <c r="P25" s="8"/>
      <c r="Q25" s="8"/>
    </row>
    <row r="26" spans="1:25" s="19" customFormat="1" ht="30.75" customHeight="1">
      <c r="A26" s="1122"/>
      <c r="B26" s="2503" t="s">
        <v>7</v>
      </c>
      <c r="C26" s="2504" t="s">
        <v>8</v>
      </c>
      <c r="D26" s="2503" t="s">
        <v>4</v>
      </c>
      <c r="E26" s="2503"/>
      <c r="F26" s="2503"/>
      <c r="G26" s="2503"/>
      <c r="H26" s="16"/>
      <c r="I26" s="17"/>
      <c r="J26" s="18"/>
      <c r="K26" s="18"/>
      <c r="L26" s="18"/>
      <c r="M26" s="18"/>
      <c r="N26" s="18"/>
      <c r="O26" s="16"/>
      <c r="P26" s="16"/>
    </row>
    <row r="27" spans="1:25" s="31" customFormat="1" ht="93" customHeight="1">
      <c r="A27" s="1123" t="s">
        <v>22</v>
      </c>
      <c r="B27" s="2503"/>
      <c r="C27" s="2504"/>
      <c r="D27" s="996" t="s">
        <v>9</v>
      </c>
      <c r="E27" s="996" t="s">
        <v>10</v>
      </c>
      <c r="F27" s="996" t="s">
        <v>11</v>
      </c>
      <c r="G27" s="1013" t="s">
        <v>12</v>
      </c>
      <c r="H27" s="30"/>
      <c r="I27" s="30"/>
      <c r="J27" s="30"/>
      <c r="K27" s="30"/>
      <c r="L27" s="30"/>
      <c r="M27" s="30"/>
      <c r="N27" s="30"/>
      <c r="O27" s="30"/>
      <c r="P27" s="30"/>
      <c r="Q27" s="19"/>
    </row>
    <row r="28" spans="1:25" ht="15" customHeight="1">
      <c r="A28" s="2491"/>
      <c r="B28" s="2492"/>
      <c r="C28" s="1000">
        <v>2014</v>
      </c>
      <c r="D28" s="1000"/>
      <c r="E28" s="1000"/>
      <c r="F28" s="1000"/>
      <c r="G28" s="1001">
        <f>SUM(D28:F28)</f>
        <v>0</v>
      </c>
      <c r="H28" s="38"/>
      <c r="I28" s="38"/>
      <c r="J28" s="38"/>
      <c r="K28" s="38"/>
      <c r="L28" s="38"/>
      <c r="M28" s="38"/>
      <c r="N28" s="38"/>
      <c r="O28" s="38"/>
      <c r="P28" s="38"/>
      <c r="Q28" s="8"/>
    </row>
    <row r="29" spans="1:25" ht="12.75" customHeight="1">
      <c r="A29" s="2493"/>
      <c r="B29" s="2494"/>
      <c r="C29" s="1002">
        <v>2015</v>
      </c>
      <c r="D29" s="1014">
        <v>6577</v>
      </c>
      <c r="E29" s="1014">
        <v>139</v>
      </c>
      <c r="F29" s="1014">
        <v>30</v>
      </c>
      <c r="G29" s="1015">
        <f t="shared" ref="G29:G35" si="2">SUM(D29:F29)</f>
        <v>6746</v>
      </c>
      <c r="H29" s="38"/>
      <c r="I29" s="38"/>
      <c r="J29" s="38"/>
      <c r="K29" s="38"/>
      <c r="L29" s="38"/>
      <c r="M29" s="38"/>
      <c r="N29" s="38"/>
      <c r="O29" s="38"/>
      <c r="P29" s="38"/>
      <c r="Q29" s="8"/>
    </row>
    <row r="30" spans="1:25">
      <c r="A30" s="2495"/>
      <c r="B30" s="2496"/>
      <c r="C30" s="1002">
        <v>2016</v>
      </c>
      <c r="D30" s="1014">
        <f>142063+161+3619</f>
        <v>145843</v>
      </c>
      <c r="E30" s="1016">
        <v>0</v>
      </c>
      <c r="F30" s="1016">
        <f>20000+0</f>
        <v>20000</v>
      </c>
      <c r="G30" s="1015">
        <f t="shared" si="2"/>
        <v>165843</v>
      </c>
      <c r="H30" s="38"/>
      <c r="I30" s="38"/>
      <c r="J30" s="38"/>
      <c r="K30" s="38"/>
      <c r="L30" s="38"/>
      <c r="M30" s="38"/>
      <c r="N30" s="38"/>
      <c r="O30" s="38"/>
      <c r="P30" s="38"/>
      <c r="Q30" s="8"/>
    </row>
    <row r="31" spans="1:25">
      <c r="A31" s="2470"/>
      <c r="B31" s="2478"/>
      <c r="C31" s="1002">
        <v>2017</v>
      </c>
      <c r="D31" s="1014"/>
      <c r="E31" s="1014"/>
      <c r="F31" s="1014"/>
      <c r="G31" s="1015">
        <f t="shared" si="2"/>
        <v>0</v>
      </c>
      <c r="H31" s="38"/>
      <c r="I31" s="38"/>
      <c r="J31" s="38"/>
      <c r="K31" s="38"/>
      <c r="L31" s="38"/>
      <c r="M31" s="38"/>
      <c r="N31" s="38"/>
      <c r="O31" s="38"/>
      <c r="P31" s="38"/>
      <c r="Q31" s="8"/>
    </row>
    <row r="32" spans="1:25">
      <c r="A32" s="2414"/>
      <c r="B32" s="2478"/>
      <c r="C32" s="1002">
        <v>2018</v>
      </c>
      <c r="D32" s="1014"/>
      <c r="E32" s="1014"/>
      <c r="F32" s="1014"/>
      <c r="G32" s="1015">
        <f>SUM(D32:F32)</f>
        <v>0</v>
      </c>
      <c r="H32" s="38"/>
      <c r="I32" s="38"/>
      <c r="J32" s="38"/>
      <c r="K32" s="38"/>
      <c r="L32" s="38"/>
      <c r="M32" s="38"/>
      <c r="N32" s="38"/>
      <c r="O32" s="38"/>
      <c r="P32" s="38"/>
      <c r="Q32" s="8"/>
    </row>
    <row r="33" spans="1:17">
      <c r="A33" s="2495"/>
      <c r="B33" s="2496"/>
      <c r="C33" s="1009">
        <v>2019</v>
      </c>
      <c r="D33" s="1014"/>
      <c r="E33" s="1014"/>
      <c r="F33" s="1014"/>
      <c r="G33" s="1015">
        <f t="shared" si="2"/>
        <v>0</v>
      </c>
      <c r="H33" s="38"/>
      <c r="I33" s="38"/>
      <c r="J33" s="38"/>
      <c r="K33" s="38"/>
      <c r="L33" s="38"/>
      <c r="M33" s="38"/>
      <c r="N33" s="38"/>
      <c r="O33" s="38"/>
      <c r="P33" s="38"/>
      <c r="Q33" s="8"/>
    </row>
    <row r="34" spans="1:17">
      <c r="A34" s="2495"/>
      <c r="B34" s="2496"/>
      <c r="C34" s="1002">
        <v>2020</v>
      </c>
      <c r="D34" s="1014"/>
      <c r="E34" s="1014"/>
      <c r="F34" s="1014"/>
      <c r="G34" s="1015">
        <f t="shared" si="2"/>
        <v>0</v>
      </c>
      <c r="H34" s="38"/>
      <c r="I34" s="38"/>
      <c r="J34" s="38"/>
      <c r="K34" s="38"/>
      <c r="L34" s="38"/>
      <c r="M34" s="38"/>
      <c r="N34" s="38"/>
      <c r="O34" s="38"/>
      <c r="P34" s="38"/>
      <c r="Q34" s="8"/>
    </row>
    <row r="35" spans="1:17" ht="20.25" customHeight="1">
      <c r="A35" s="2497"/>
      <c r="B35" s="2498"/>
      <c r="C35" s="1012" t="s">
        <v>12</v>
      </c>
      <c r="D35" s="1015">
        <f>SUM(D28:D34)</f>
        <v>152420</v>
      </c>
      <c r="E35" s="1015">
        <f>SUM(E28:E34)</f>
        <v>139</v>
      </c>
      <c r="F35" s="1015">
        <f>SUM(F28:F34)</f>
        <v>20030</v>
      </c>
      <c r="G35" s="1015">
        <f t="shared" si="2"/>
        <v>172589</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c r="G38" s="38"/>
      <c r="H38" s="38"/>
    </row>
    <row r="39" spans="1:17" ht="88.5" customHeight="1">
      <c r="A39" s="1017" t="s">
        <v>25</v>
      </c>
      <c r="B39" s="1033" t="s">
        <v>7</v>
      </c>
      <c r="C39" s="1018" t="s">
        <v>8</v>
      </c>
      <c r="D39" s="1019" t="s">
        <v>26</v>
      </c>
      <c r="E39" s="1019" t="s">
        <v>27</v>
      </c>
      <c r="F39" s="353"/>
      <c r="G39" s="30"/>
      <c r="H39" s="30"/>
    </row>
    <row r="40" spans="1:17" ht="15" customHeight="1">
      <c r="A40" s="2499" t="s">
        <v>264</v>
      </c>
      <c r="B40" s="2500"/>
      <c r="C40" s="1020">
        <v>2014</v>
      </c>
      <c r="D40" s="1000"/>
      <c r="E40" s="1000"/>
      <c r="F40" s="8"/>
      <c r="G40" s="38"/>
      <c r="H40" s="38"/>
    </row>
    <row r="41" spans="1:17" ht="15.75" customHeight="1">
      <c r="A41" s="2501" t="s">
        <v>265</v>
      </c>
      <c r="B41" s="2502"/>
      <c r="C41" s="1021">
        <v>2015</v>
      </c>
      <c r="D41" s="1002">
        <v>34347</v>
      </c>
      <c r="E41" s="1002">
        <v>20901</v>
      </c>
      <c r="F41" s="8"/>
      <c r="G41" s="38"/>
      <c r="H41" s="38"/>
    </row>
    <row r="42" spans="1:17" ht="33.75" customHeight="1">
      <c r="A42" s="2501" t="s">
        <v>266</v>
      </c>
      <c r="B42" s="2502"/>
      <c r="C42" s="1022">
        <v>2016</v>
      </c>
      <c r="D42" s="1003">
        <v>9879</v>
      </c>
      <c r="E42" s="1003">
        <v>3402</v>
      </c>
      <c r="F42" s="8"/>
      <c r="G42" s="38"/>
      <c r="H42" s="38"/>
    </row>
    <row r="43" spans="1:17">
      <c r="A43" s="1023"/>
      <c r="B43" s="1024"/>
      <c r="C43" s="1021">
        <v>2017</v>
      </c>
      <c r="D43" s="1002"/>
      <c r="E43" s="1002"/>
      <c r="F43" s="8"/>
      <c r="G43" s="38"/>
      <c r="H43" s="38"/>
    </row>
    <row r="44" spans="1:17">
      <c r="A44" s="1023"/>
      <c r="B44" s="1024"/>
      <c r="C44" s="1021">
        <v>2018</v>
      </c>
      <c r="D44" s="1002"/>
      <c r="E44" s="1002"/>
      <c r="F44" s="8"/>
      <c r="G44" s="38"/>
      <c r="H44" s="38"/>
    </row>
    <row r="45" spans="1:17">
      <c r="A45" s="1023"/>
      <c r="B45" s="1024"/>
      <c r="C45" s="1021">
        <v>2019</v>
      </c>
      <c r="D45" s="1002"/>
      <c r="E45" s="1002"/>
      <c r="F45" s="8"/>
      <c r="G45" s="38"/>
      <c r="H45" s="38"/>
    </row>
    <row r="46" spans="1:17">
      <c r="A46" s="1023"/>
      <c r="B46" s="1024"/>
      <c r="C46" s="1021">
        <v>2020</v>
      </c>
      <c r="D46" s="1002"/>
      <c r="E46" s="1002"/>
      <c r="F46" s="8"/>
      <c r="G46" s="38"/>
      <c r="H46" s="38"/>
    </row>
    <row r="47" spans="1:17">
      <c r="A47" s="1025"/>
      <c r="B47" s="1026"/>
      <c r="C47" s="1012" t="s">
        <v>12</v>
      </c>
      <c r="D47" s="1001">
        <f>SUM(D40:D46)</f>
        <v>44226</v>
      </c>
      <c r="E47" s="1001">
        <f>SUM(E40:E46)</f>
        <v>24303</v>
      </c>
      <c r="F47" s="121"/>
      <c r="G47" s="38"/>
      <c r="H47" s="38"/>
    </row>
    <row r="48" spans="1:17" s="38" customFormat="1">
      <c r="A48" s="211"/>
      <c r="B48" s="92"/>
      <c r="C48" s="93"/>
    </row>
    <row r="49" spans="1:15" ht="83.25" customHeight="1">
      <c r="A49" s="1027" t="s">
        <v>29</v>
      </c>
      <c r="B49" s="1028" t="s">
        <v>7</v>
      </c>
      <c r="C49" s="1018" t="s">
        <v>8</v>
      </c>
      <c r="D49" s="1019" t="s">
        <v>30</v>
      </c>
      <c r="E49" s="1019" t="s">
        <v>31</v>
      </c>
      <c r="F49" s="1019" t="s">
        <v>32</v>
      </c>
      <c r="G49" s="1019" t="s">
        <v>33</v>
      </c>
      <c r="H49" s="1019" t="s">
        <v>34</v>
      </c>
      <c r="I49" s="1019" t="s">
        <v>35</v>
      </c>
      <c r="J49" s="1019" t="s">
        <v>36</v>
      </c>
      <c r="K49" s="1019" t="s">
        <v>37</v>
      </c>
    </row>
    <row r="50" spans="1:15" ht="17.25" customHeight="1">
      <c r="A50" s="2489" t="s">
        <v>267</v>
      </c>
      <c r="B50" s="2490"/>
      <c r="C50" s="1029" t="s">
        <v>38</v>
      </c>
      <c r="D50" s="1000"/>
      <c r="E50" s="1000"/>
      <c r="F50" s="1000"/>
      <c r="G50" s="1000"/>
      <c r="H50" s="1000"/>
      <c r="I50" s="1000"/>
      <c r="J50" s="1000"/>
      <c r="K50" s="1000"/>
    </row>
    <row r="51" spans="1:15" ht="30.75" customHeight="1">
      <c r="A51" s="2477" t="s">
        <v>268</v>
      </c>
      <c r="B51" s="2479"/>
      <c r="C51" s="1030">
        <v>2014</v>
      </c>
      <c r="D51" s="1002"/>
      <c r="E51" s="1002"/>
      <c r="F51" s="1002"/>
      <c r="G51" s="1002"/>
      <c r="H51" s="1002"/>
      <c r="I51" s="1002"/>
      <c r="J51" s="1002"/>
      <c r="K51" s="1002"/>
    </row>
    <row r="52" spans="1:15">
      <c r="A52" s="2482"/>
      <c r="B52" s="2483"/>
      <c r="C52" s="1030">
        <v>2015</v>
      </c>
      <c r="D52" s="1002">
        <v>0</v>
      </c>
      <c r="E52" s="1002">
        <v>0</v>
      </c>
      <c r="F52" s="1002">
        <v>0</v>
      </c>
      <c r="G52" s="1002">
        <v>0</v>
      </c>
      <c r="H52" s="1002">
        <v>0</v>
      </c>
      <c r="I52" s="1002">
        <v>0</v>
      </c>
      <c r="J52" s="1002">
        <v>0</v>
      </c>
      <c r="K52" s="1002">
        <v>0</v>
      </c>
    </row>
    <row r="53" spans="1:15">
      <c r="A53" s="2482"/>
      <c r="B53" s="2483"/>
      <c r="C53" s="1030">
        <v>2016</v>
      </c>
      <c r="D53" s="1002">
        <v>0</v>
      </c>
      <c r="E53" s="1031">
        <v>1</v>
      </c>
      <c r="F53" s="1002">
        <v>0</v>
      </c>
      <c r="G53" s="1002">
        <v>0</v>
      </c>
      <c r="H53" s="1002">
        <v>0</v>
      </c>
      <c r="I53" s="1002">
        <v>0</v>
      </c>
      <c r="J53" s="1002">
        <v>0</v>
      </c>
      <c r="K53" s="1002">
        <v>0</v>
      </c>
    </row>
    <row r="54" spans="1:15">
      <c r="A54" s="2482"/>
      <c r="B54" s="2483"/>
      <c r="C54" s="1030">
        <v>2017</v>
      </c>
      <c r="D54" s="1002"/>
      <c r="E54" s="1002"/>
      <c r="F54" s="1002"/>
      <c r="G54" s="1002"/>
      <c r="H54" s="1002"/>
      <c r="I54" s="1002"/>
      <c r="J54" s="1002"/>
      <c r="K54" s="1002"/>
    </row>
    <row r="55" spans="1:15">
      <c r="A55" s="2482"/>
      <c r="B55" s="2483"/>
      <c r="C55" s="1030">
        <v>2018</v>
      </c>
      <c r="D55" s="1002"/>
      <c r="E55" s="1002"/>
      <c r="F55" s="1002"/>
      <c r="G55" s="1002"/>
      <c r="H55" s="1002"/>
      <c r="I55" s="1002"/>
      <c r="J55" s="1002"/>
      <c r="K55" s="1002"/>
    </row>
    <row r="56" spans="1:15">
      <c r="A56" s="2482"/>
      <c r="B56" s="2483"/>
      <c r="C56" s="1030">
        <v>2019</v>
      </c>
      <c r="D56" s="1002"/>
      <c r="E56" s="1002"/>
      <c r="F56" s="1002"/>
      <c r="G56" s="1002"/>
      <c r="H56" s="1002"/>
      <c r="I56" s="1002"/>
      <c r="J56" s="1002"/>
      <c r="K56" s="1002"/>
    </row>
    <row r="57" spans="1:15">
      <c r="A57" s="2482"/>
      <c r="B57" s="2483"/>
      <c r="C57" s="1030">
        <v>2020</v>
      </c>
      <c r="D57" s="1002"/>
      <c r="E57" s="1002"/>
      <c r="F57" s="1002"/>
      <c r="G57" s="1002"/>
      <c r="H57" s="1002"/>
      <c r="I57" s="1002"/>
      <c r="J57" s="1002"/>
      <c r="K57" s="1002"/>
    </row>
    <row r="58" spans="1:15" ht="20.25" customHeight="1">
      <c r="A58" s="2484"/>
      <c r="B58" s="2485"/>
      <c r="C58" s="1032" t="s">
        <v>12</v>
      </c>
      <c r="D58" s="1001">
        <f>SUM(D51:D57)</f>
        <v>0</v>
      </c>
      <c r="E58" s="1001">
        <f>SUM(E51:E57)</f>
        <v>1</v>
      </c>
      <c r="F58" s="1001">
        <f>SUM(F51:F57)</f>
        <v>0</v>
      </c>
      <c r="G58" s="1001">
        <f>SUM(G51:G57)</f>
        <v>0</v>
      </c>
      <c r="H58" s="1001">
        <f>SUM(H51:H57)</f>
        <v>0</v>
      </c>
      <c r="I58" s="1001">
        <f t="shared" ref="I58" si="3">SUM(I51:I57)</f>
        <v>0</v>
      </c>
      <c r="J58" s="1001">
        <f>SUM(J51:J57)</f>
        <v>0</v>
      </c>
      <c r="K58" s="1001">
        <f>SUM(K50:K56)</f>
        <v>0</v>
      </c>
    </row>
    <row r="60" spans="1:15" ht="21" customHeight="1">
      <c r="A60" s="2486" t="s">
        <v>39</v>
      </c>
      <c r="B60" s="2487" t="s">
        <v>7</v>
      </c>
      <c r="C60" s="2488" t="s">
        <v>8</v>
      </c>
      <c r="D60" s="2481" t="s">
        <v>40</v>
      </c>
      <c r="E60" s="1034" t="s">
        <v>5</v>
      </c>
      <c r="F60" s="1035"/>
      <c r="G60" s="1035"/>
      <c r="H60" s="1035"/>
      <c r="I60" s="1035"/>
      <c r="J60" s="1035"/>
      <c r="K60" s="1035"/>
      <c r="L60" s="1035"/>
    </row>
    <row r="61" spans="1:15" ht="115.5" customHeight="1">
      <c r="A61" s="2486"/>
      <c r="B61" s="2487"/>
      <c r="C61" s="2488"/>
      <c r="D61" s="2481"/>
      <c r="E61" s="1036" t="s">
        <v>13</v>
      </c>
      <c r="F61" s="1037" t="s">
        <v>14</v>
      </c>
      <c r="G61" s="1037" t="s">
        <v>15</v>
      </c>
      <c r="H61" s="1037" t="s">
        <v>16</v>
      </c>
      <c r="I61" s="1037" t="s">
        <v>17</v>
      </c>
      <c r="J61" s="1036" t="s">
        <v>18</v>
      </c>
      <c r="K61" s="1037" t="s">
        <v>19</v>
      </c>
      <c r="L61" s="1037" t="s">
        <v>20</v>
      </c>
      <c r="M61" s="8"/>
      <c r="N61" s="8"/>
      <c r="O61" s="8"/>
    </row>
    <row r="62" spans="1:15">
      <c r="A62" s="1038" t="s">
        <v>269</v>
      </c>
      <c r="B62" s="1039"/>
      <c r="C62" s="1040">
        <v>2014</v>
      </c>
      <c r="D62" s="1040"/>
      <c r="E62" s="1000"/>
      <c r="F62" s="1000"/>
      <c r="G62" s="1000"/>
      <c r="H62" s="1000"/>
      <c r="I62" s="1000"/>
      <c r="J62" s="1000"/>
      <c r="K62" s="1000"/>
      <c r="L62" s="1000"/>
      <c r="M62" s="8"/>
      <c r="N62" s="8"/>
      <c r="O62" s="8"/>
    </row>
    <row r="63" spans="1:15" ht="25.5" customHeight="1">
      <c r="A63" s="2300" t="s">
        <v>270</v>
      </c>
      <c r="B63" s="2472"/>
      <c r="C63" s="1041">
        <v>2015</v>
      </c>
      <c r="D63" s="1041">
        <v>0</v>
      </c>
      <c r="E63" s="1002">
        <v>0</v>
      </c>
      <c r="F63" s="1002">
        <v>0</v>
      </c>
      <c r="G63" s="1002">
        <v>0</v>
      </c>
      <c r="H63" s="1002">
        <v>0</v>
      </c>
      <c r="I63" s="1002">
        <v>0</v>
      </c>
      <c r="J63" s="1002">
        <v>0</v>
      </c>
      <c r="K63" s="1002">
        <v>0</v>
      </c>
      <c r="L63" s="1002">
        <v>0</v>
      </c>
      <c r="M63" s="8"/>
      <c r="N63" s="8"/>
      <c r="O63" s="8"/>
    </row>
    <row r="64" spans="1:15" ht="44.25" customHeight="1">
      <c r="A64" s="2300" t="s">
        <v>271</v>
      </c>
      <c r="B64" s="2472"/>
      <c r="C64" s="1041">
        <v>2016</v>
      </c>
      <c r="D64" s="1042">
        <f>E64+F64+G64+H64+I64+J64+K64+L64</f>
        <v>7</v>
      </c>
      <c r="E64" s="1002">
        <v>0</v>
      </c>
      <c r="F64" s="1002">
        <v>0</v>
      </c>
      <c r="G64" s="1002">
        <v>0</v>
      </c>
      <c r="H64" s="1002">
        <v>0</v>
      </c>
      <c r="I64" s="1002">
        <v>0</v>
      </c>
      <c r="J64" s="1002">
        <v>0</v>
      </c>
      <c r="K64" s="1002">
        <v>0</v>
      </c>
      <c r="L64" s="1003">
        <f>1+3+2+1</f>
        <v>7</v>
      </c>
      <c r="M64" s="8"/>
      <c r="N64" s="8"/>
      <c r="O64" s="8"/>
    </row>
    <row r="65" spans="1:20" ht="36" customHeight="1">
      <c r="A65" s="2433" t="s">
        <v>272</v>
      </c>
      <c r="B65" s="2434"/>
      <c r="C65" s="1041">
        <v>2017</v>
      </c>
      <c r="D65" s="1041"/>
      <c r="E65" s="1002"/>
      <c r="F65" s="1002"/>
      <c r="G65" s="1002"/>
      <c r="H65" s="1002"/>
      <c r="I65" s="1002"/>
      <c r="J65" s="1002"/>
      <c r="K65" s="1002"/>
      <c r="L65" s="1002"/>
      <c r="M65" s="8"/>
      <c r="N65" s="8"/>
      <c r="O65" s="8"/>
    </row>
    <row r="66" spans="1:20" ht="18.75" customHeight="1">
      <c r="A66" s="2300"/>
      <c r="B66" s="2472"/>
      <c r="C66" s="1041">
        <v>2018</v>
      </c>
      <c r="D66" s="1041"/>
      <c r="E66" s="1002"/>
      <c r="F66" s="1002"/>
      <c r="G66" s="1002"/>
      <c r="H66" s="1002"/>
      <c r="I66" s="1002"/>
      <c r="J66" s="1002"/>
      <c r="K66" s="1002"/>
      <c r="L66" s="1002"/>
      <c r="M66" s="8"/>
      <c r="N66" s="8"/>
      <c r="O66" s="8"/>
    </row>
    <row r="67" spans="1:20" ht="49.5" customHeight="1">
      <c r="A67" s="2300"/>
      <c r="B67" s="2472"/>
      <c r="C67" s="1041">
        <v>2019</v>
      </c>
      <c r="D67" s="1041"/>
      <c r="E67" s="1002"/>
      <c r="F67" s="1002"/>
      <c r="G67" s="1002"/>
      <c r="H67" s="1002"/>
      <c r="I67" s="1002"/>
      <c r="J67" s="1002"/>
      <c r="K67" s="1002"/>
      <c r="L67" s="1002"/>
      <c r="M67" s="8"/>
      <c r="N67" s="8"/>
      <c r="O67" s="8"/>
    </row>
    <row r="68" spans="1:20" ht="18.75" customHeight="1">
      <c r="A68" s="2300"/>
      <c r="B68" s="2472"/>
      <c r="C68" s="1041">
        <v>2020</v>
      </c>
      <c r="D68" s="1041"/>
      <c r="E68" s="1002"/>
      <c r="F68" s="1002"/>
      <c r="G68" s="1002"/>
      <c r="H68" s="1002"/>
      <c r="I68" s="1002"/>
      <c r="J68" s="1002"/>
      <c r="K68" s="1002"/>
      <c r="L68" s="1002"/>
      <c r="M68" s="121"/>
      <c r="N68" s="121"/>
      <c r="O68" s="121"/>
    </row>
    <row r="69" spans="1:20" ht="18" customHeight="1">
      <c r="A69" s="2473"/>
      <c r="B69" s="2474"/>
      <c r="C69" s="1043" t="s">
        <v>12</v>
      </c>
      <c r="D69" s="1044">
        <f>SUM(D62:D68)</f>
        <v>7</v>
      </c>
      <c r="E69" s="1045">
        <f>SUM(E62:E68)</f>
        <v>0</v>
      </c>
      <c r="F69" s="1045">
        <f t="shared" ref="F69:I69" si="4">SUM(F62:F68)</f>
        <v>0</v>
      </c>
      <c r="G69" s="1045">
        <f t="shared" si="4"/>
        <v>0</v>
      </c>
      <c r="H69" s="1045">
        <f t="shared" si="4"/>
        <v>0</v>
      </c>
      <c r="I69" s="1045">
        <f t="shared" si="4"/>
        <v>0</v>
      </c>
      <c r="J69" s="1045"/>
      <c r="K69" s="1045">
        <f>SUM(K62:K68)</f>
        <v>0</v>
      </c>
      <c r="L69" s="1045">
        <f>SUM(L62:L68)</f>
        <v>7</v>
      </c>
      <c r="M69" s="121"/>
      <c r="N69" s="121"/>
      <c r="O69" s="121"/>
    </row>
    <row r="70" spans="1:20" ht="20.25" customHeigh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1017" t="s">
        <v>42</v>
      </c>
      <c r="B71" s="1033" t="s">
        <v>7</v>
      </c>
      <c r="C71" s="1018" t="s">
        <v>8</v>
      </c>
      <c r="D71" s="1046" t="s">
        <v>43</v>
      </c>
      <c r="E71" s="1046" t="s">
        <v>44</v>
      </c>
      <c r="F71" s="1046" t="s">
        <v>45</v>
      </c>
      <c r="G71" s="1047" t="s">
        <v>46</v>
      </c>
      <c r="H71" s="1036" t="s">
        <v>13</v>
      </c>
      <c r="I71" s="1037" t="s">
        <v>14</v>
      </c>
      <c r="J71" s="1037" t="s">
        <v>15</v>
      </c>
      <c r="K71" s="1037" t="s">
        <v>16</v>
      </c>
      <c r="L71" s="1037" t="s">
        <v>17</v>
      </c>
      <c r="M71" s="1036" t="s">
        <v>18</v>
      </c>
      <c r="N71" s="1037" t="s">
        <v>19</v>
      </c>
      <c r="O71" s="1037" t="s">
        <v>20</v>
      </c>
    </row>
    <row r="72" spans="1:20" ht="39.75" customHeight="1">
      <c r="A72" s="2475" t="s">
        <v>273</v>
      </c>
      <c r="B72" s="2476"/>
      <c r="C72" s="1020">
        <v>2014</v>
      </c>
      <c r="D72" s="1020"/>
      <c r="E72" s="1020"/>
      <c r="F72" s="1020"/>
      <c r="G72" s="1045">
        <f>SUM(D72:F72)</f>
        <v>0</v>
      </c>
      <c r="H72" s="1000"/>
      <c r="I72" s="1000"/>
      <c r="J72" s="1000"/>
      <c r="K72" s="1000"/>
      <c r="L72" s="1000"/>
      <c r="M72" s="1000"/>
      <c r="N72" s="1000"/>
      <c r="O72" s="1000"/>
    </row>
    <row r="73" spans="1:20" ht="112.5" customHeight="1">
      <c r="A73" s="2477" t="s">
        <v>274</v>
      </c>
      <c r="B73" s="2478"/>
      <c r="C73" s="1021">
        <v>2015</v>
      </c>
      <c r="D73" s="1021">
        <v>0</v>
      </c>
      <c r="E73" s="1021">
        <v>0</v>
      </c>
      <c r="F73" s="1021">
        <v>119</v>
      </c>
      <c r="G73" s="1045">
        <v>0</v>
      </c>
      <c r="H73" s="1002">
        <v>0</v>
      </c>
      <c r="I73" s="1002">
        <v>0</v>
      </c>
      <c r="J73" s="1002">
        <v>0</v>
      </c>
      <c r="K73" s="1002">
        <v>0</v>
      </c>
      <c r="L73" s="1002">
        <v>1</v>
      </c>
      <c r="M73" s="1002">
        <v>0</v>
      </c>
      <c r="N73" s="1002">
        <v>0</v>
      </c>
      <c r="O73" s="1002">
        <v>118</v>
      </c>
    </row>
    <row r="74" spans="1:20" ht="42" customHeight="1">
      <c r="A74" s="2477" t="s">
        <v>275</v>
      </c>
      <c r="B74" s="2479"/>
      <c r="C74" s="1021">
        <v>2016</v>
      </c>
      <c r="D74" s="1021">
        <f>624+35</f>
        <v>659</v>
      </c>
      <c r="E74" s="1048">
        <v>8</v>
      </c>
      <c r="F74" s="1021">
        <v>4</v>
      </c>
      <c r="G74" s="1045">
        <f t="shared" ref="G74:G78" si="5">SUM(D74:F74)</f>
        <v>671</v>
      </c>
      <c r="H74" s="1002">
        <v>0</v>
      </c>
      <c r="I74" s="1002">
        <f>1+1+1+1+1</f>
        <v>5</v>
      </c>
      <c r="J74" s="1002">
        <v>0</v>
      </c>
      <c r="K74" s="1002">
        <v>0</v>
      </c>
      <c r="L74" s="1002">
        <v>0</v>
      </c>
      <c r="M74" s="1002">
        <v>0</v>
      </c>
      <c r="N74" s="1002">
        <v>0</v>
      </c>
      <c r="O74" s="1002">
        <f>624+35+3+1+1+1+1</f>
        <v>666</v>
      </c>
    </row>
    <row r="75" spans="1:20" ht="45" customHeight="1">
      <c r="A75" s="2477" t="s">
        <v>276</v>
      </c>
      <c r="B75" s="2478"/>
      <c r="C75" s="1021">
        <v>2017</v>
      </c>
      <c r="D75" s="1021"/>
      <c r="E75" s="1021"/>
      <c r="F75" s="1021"/>
      <c r="G75" s="1045">
        <f t="shared" si="5"/>
        <v>0</v>
      </c>
      <c r="H75" s="1002"/>
      <c r="I75" s="1002"/>
      <c r="J75" s="1002"/>
      <c r="K75" s="1002"/>
      <c r="L75" s="1002"/>
      <c r="M75" s="1002"/>
      <c r="N75" s="1002"/>
      <c r="O75" s="1002"/>
    </row>
    <row r="76" spans="1:20" ht="46.5" customHeight="1">
      <c r="A76" s="2414"/>
      <c r="B76" s="2478"/>
      <c r="C76" s="1021">
        <v>2018</v>
      </c>
      <c r="D76" s="1021"/>
      <c r="E76" s="1021"/>
      <c r="F76" s="1021"/>
      <c r="G76" s="1045">
        <f t="shared" si="5"/>
        <v>0</v>
      </c>
      <c r="H76" s="1002"/>
      <c r="I76" s="1002"/>
      <c r="J76" s="1002"/>
      <c r="K76" s="1002"/>
      <c r="L76" s="1002"/>
      <c r="M76" s="1002"/>
      <c r="N76" s="1002"/>
      <c r="O76" s="1002"/>
    </row>
    <row r="77" spans="1:20" ht="41.25" customHeight="1">
      <c r="A77" s="2013" t="s">
        <v>277</v>
      </c>
      <c r="B77" s="2480"/>
      <c r="C77" s="1021">
        <v>2019</v>
      </c>
      <c r="D77" s="1021"/>
      <c r="E77" s="1021"/>
      <c r="F77" s="1021"/>
      <c r="G77" s="1045">
        <f t="shared" si="5"/>
        <v>0</v>
      </c>
      <c r="H77" s="1002"/>
      <c r="I77" s="1002"/>
      <c r="J77" s="1002"/>
      <c r="K77" s="1002"/>
      <c r="L77" s="1002"/>
      <c r="M77" s="1002"/>
      <c r="N77" s="1002"/>
      <c r="O77" s="1002"/>
    </row>
    <row r="78" spans="1:20" ht="17.25" customHeight="1">
      <c r="A78" s="2470" t="s">
        <v>278</v>
      </c>
      <c r="B78" s="2471"/>
      <c r="C78" s="1021">
        <v>2020</v>
      </c>
      <c r="D78" s="1021"/>
      <c r="E78" s="1021"/>
      <c r="F78" s="1021"/>
      <c r="G78" s="1045">
        <f t="shared" si="5"/>
        <v>0</v>
      </c>
      <c r="H78" s="1002"/>
      <c r="I78" s="1002"/>
      <c r="J78" s="1002"/>
      <c r="K78" s="1002"/>
      <c r="L78" s="1002"/>
      <c r="M78" s="1002"/>
      <c r="N78" s="1002"/>
      <c r="O78" s="1002"/>
    </row>
    <row r="79" spans="1:20" ht="30.75" customHeight="1">
      <c r="A79" s="2454" t="s">
        <v>279</v>
      </c>
      <c r="B79" s="2466"/>
      <c r="C79" s="1049" t="s">
        <v>12</v>
      </c>
      <c r="D79" s="1044">
        <f>SUM(D72:D78)</f>
        <v>659</v>
      </c>
      <c r="E79" s="1044">
        <f>SUM(E72:E78)</f>
        <v>8</v>
      </c>
      <c r="F79" s="1044">
        <f>SUM(F72:F78)</f>
        <v>123</v>
      </c>
      <c r="G79" s="1049">
        <f>SUM(G72:G78)</f>
        <v>671</v>
      </c>
      <c r="H79" s="1049">
        <v>0</v>
      </c>
      <c r="I79" s="1045">
        <f t="shared" ref="I79:O79" si="6">SUM(I72:I78)</f>
        <v>5</v>
      </c>
      <c r="J79" s="1045">
        <f t="shared" si="6"/>
        <v>0</v>
      </c>
      <c r="K79" s="1045">
        <f t="shared" si="6"/>
        <v>0</v>
      </c>
      <c r="L79" s="1045">
        <f t="shared" si="6"/>
        <v>1</v>
      </c>
      <c r="M79" s="1045">
        <f t="shared" si="6"/>
        <v>0</v>
      </c>
      <c r="N79" s="1045">
        <f t="shared" si="6"/>
        <v>0</v>
      </c>
      <c r="O79" s="1045">
        <f t="shared" si="6"/>
        <v>784</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c r="A83" s="158"/>
      <c r="B83" s="158"/>
    </row>
    <row r="84" spans="1:16" s="31" customFormat="1" ht="139.5" customHeight="1">
      <c r="A84" s="1050" t="s">
        <v>49</v>
      </c>
      <c r="B84" s="1051" t="s">
        <v>50</v>
      </c>
      <c r="C84" s="1052" t="s">
        <v>8</v>
      </c>
      <c r="D84" s="1053" t="s">
        <v>51</v>
      </c>
      <c r="E84" s="1054" t="s">
        <v>52</v>
      </c>
      <c r="F84" s="1054" t="s">
        <v>53</v>
      </c>
      <c r="G84" s="1054" t="s">
        <v>54</v>
      </c>
      <c r="H84" s="1054" t="s">
        <v>55</v>
      </c>
      <c r="I84" s="1054" t="s">
        <v>56</v>
      </c>
      <c r="J84" s="1054" t="s">
        <v>57</v>
      </c>
      <c r="K84" s="1054" t="s">
        <v>58</v>
      </c>
    </row>
    <row r="85" spans="1:16" ht="15" customHeight="1">
      <c r="A85" s="2467"/>
      <c r="B85" s="2441"/>
      <c r="C85" s="1020">
        <v>2014</v>
      </c>
      <c r="D85" s="1000"/>
      <c r="E85" s="1000"/>
      <c r="F85" s="1000"/>
      <c r="G85" s="1000"/>
      <c r="H85" s="1000"/>
      <c r="I85" s="1000"/>
      <c r="J85" s="1000"/>
      <c r="K85" s="1000"/>
    </row>
    <row r="86" spans="1:16">
      <c r="A86" s="2468"/>
      <c r="B86" s="2442"/>
      <c r="C86" s="1021">
        <v>2015</v>
      </c>
      <c r="D86" s="1002">
        <v>0</v>
      </c>
      <c r="E86" s="1002">
        <v>0</v>
      </c>
      <c r="F86" s="1002">
        <v>0</v>
      </c>
      <c r="G86" s="1002">
        <v>0</v>
      </c>
      <c r="H86" s="1002">
        <v>0</v>
      </c>
      <c r="I86" s="1002">
        <v>0</v>
      </c>
      <c r="J86" s="1002">
        <v>0</v>
      </c>
      <c r="K86" s="1002">
        <v>0</v>
      </c>
    </row>
    <row r="87" spans="1:16">
      <c r="A87" s="2468"/>
      <c r="B87" s="2442"/>
      <c r="C87" s="1021">
        <v>2016</v>
      </c>
      <c r="D87" s="1002">
        <v>0</v>
      </c>
      <c r="E87" s="1002">
        <v>0</v>
      </c>
      <c r="F87" s="1002">
        <v>0</v>
      </c>
      <c r="G87" s="1002">
        <v>0</v>
      </c>
      <c r="H87" s="1002">
        <v>0</v>
      </c>
      <c r="I87" s="1002">
        <v>0</v>
      </c>
      <c r="J87" s="1002">
        <v>0</v>
      </c>
      <c r="K87" s="1002">
        <v>0</v>
      </c>
    </row>
    <row r="88" spans="1:16">
      <c r="A88" s="2468"/>
      <c r="B88" s="2442"/>
      <c r="C88" s="1021">
        <v>2017</v>
      </c>
      <c r="D88" s="1002"/>
      <c r="E88" s="1002"/>
      <c r="F88" s="1002"/>
      <c r="G88" s="1002"/>
      <c r="H88" s="1002"/>
      <c r="I88" s="1002"/>
      <c r="J88" s="1002"/>
      <c r="K88" s="1002"/>
    </row>
    <row r="89" spans="1:16">
      <c r="A89" s="2468"/>
      <c r="B89" s="2442"/>
      <c r="C89" s="1021">
        <v>2018</v>
      </c>
      <c r="D89" s="1002"/>
      <c r="E89" s="1002"/>
      <c r="F89" s="1002"/>
      <c r="G89" s="1002"/>
      <c r="H89" s="1002"/>
      <c r="I89" s="1002"/>
      <c r="J89" s="1002"/>
      <c r="K89" s="1002"/>
    </row>
    <row r="90" spans="1:16">
      <c r="A90" s="2468"/>
      <c r="B90" s="2442"/>
      <c r="C90" s="1021">
        <v>2019</v>
      </c>
      <c r="D90" s="1002"/>
      <c r="E90" s="1002"/>
      <c r="F90" s="1002"/>
      <c r="G90" s="1002"/>
      <c r="H90" s="1002"/>
      <c r="I90" s="1002"/>
      <c r="J90" s="1002"/>
      <c r="K90" s="1002"/>
    </row>
    <row r="91" spans="1:16">
      <c r="A91" s="2468"/>
      <c r="B91" s="2442"/>
      <c r="C91" s="1021">
        <v>2020</v>
      </c>
      <c r="D91" s="1002"/>
      <c r="E91" s="1002"/>
      <c r="F91" s="1002"/>
      <c r="G91" s="1002"/>
      <c r="H91" s="1002"/>
      <c r="I91" s="1002"/>
      <c r="J91" s="1002"/>
      <c r="K91" s="1002"/>
    </row>
    <row r="92" spans="1:16" ht="18" customHeight="1">
      <c r="A92" s="2469"/>
      <c r="B92" s="2444"/>
      <c r="C92" s="1049" t="s">
        <v>12</v>
      </c>
      <c r="D92" s="1055">
        <f t="shared" ref="D92:I92" si="7">SUM(D85:D91)</f>
        <v>0</v>
      </c>
      <c r="E92" s="1045">
        <f t="shared" si="7"/>
        <v>0</v>
      </c>
      <c r="F92" s="1045">
        <f t="shared" si="7"/>
        <v>0</v>
      </c>
      <c r="G92" s="1045">
        <f t="shared" si="7"/>
        <v>0</v>
      </c>
      <c r="H92" s="1045">
        <f t="shared" si="7"/>
        <v>0</v>
      </c>
      <c r="I92" s="1045">
        <f t="shared" si="7"/>
        <v>0</v>
      </c>
      <c r="J92" s="1045">
        <f>SUM(J85:J91)</f>
        <v>0</v>
      </c>
      <c r="K92" s="1045">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c r="A95" s="173"/>
      <c r="B95" s="173"/>
    </row>
    <row r="96" spans="1:16" ht="29.25" customHeight="1">
      <c r="A96" s="2457" t="s">
        <v>60</v>
      </c>
      <c r="B96" s="2458" t="s">
        <v>61</v>
      </c>
      <c r="C96" s="2465" t="s">
        <v>8</v>
      </c>
      <c r="D96" s="2439" t="s">
        <v>62</v>
      </c>
      <c r="E96" s="2439"/>
      <c r="F96" s="1056" t="s">
        <v>63</v>
      </c>
      <c r="G96" s="1056"/>
      <c r="H96" s="1056"/>
      <c r="I96" s="1056"/>
      <c r="J96" s="1056"/>
      <c r="K96" s="1056"/>
      <c r="L96" s="1056"/>
      <c r="M96" s="1056"/>
      <c r="N96" s="177"/>
      <c r="O96" s="177"/>
      <c r="P96" s="177"/>
    </row>
    <row r="97" spans="1:16" ht="100.5" customHeight="1">
      <c r="A97" s="2457"/>
      <c r="B97" s="2459"/>
      <c r="C97" s="2465"/>
      <c r="D97" s="1057" t="s">
        <v>64</v>
      </c>
      <c r="E97" s="1057" t="s">
        <v>65</v>
      </c>
      <c r="F97" s="1058" t="s">
        <v>13</v>
      </c>
      <c r="G97" s="1059" t="s">
        <v>66</v>
      </c>
      <c r="H97" s="1057" t="s">
        <v>54</v>
      </c>
      <c r="I97" s="1057" t="s">
        <v>55</v>
      </c>
      <c r="J97" s="1057" t="s">
        <v>56</v>
      </c>
      <c r="K97" s="1058" t="s">
        <v>67</v>
      </c>
      <c r="L97" s="1057" t="s">
        <v>57</v>
      </c>
      <c r="M97" s="1057" t="s">
        <v>58</v>
      </c>
      <c r="N97" s="177"/>
      <c r="O97" s="177"/>
      <c r="P97" s="177"/>
    </row>
    <row r="98" spans="1:16" ht="17.25" customHeight="1">
      <c r="A98" s="1060" t="s">
        <v>280</v>
      </c>
      <c r="B98" s="2462"/>
      <c r="C98" s="1040">
        <v>2014</v>
      </c>
      <c r="D98" s="1000"/>
      <c r="E98" s="1000"/>
      <c r="F98" s="1061"/>
      <c r="G98" s="1061"/>
      <c r="H98" s="1061"/>
      <c r="I98" s="1061"/>
      <c r="J98" s="1061"/>
      <c r="K98" s="1061"/>
      <c r="L98" s="1061"/>
      <c r="M98" s="1061"/>
      <c r="N98" s="177"/>
      <c r="O98" s="177"/>
      <c r="P98" s="177"/>
    </row>
    <row r="99" spans="1:16" ht="16.5" customHeight="1">
      <c r="A99" s="1062" t="s">
        <v>281</v>
      </c>
      <c r="B99" s="2463"/>
      <c r="C99" s="1041">
        <v>2015</v>
      </c>
      <c r="D99" s="1002">
        <v>1</v>
      </c>
      <c r="E99" s="1002">
        <f>1+1</f>
        <v>2</v>
      </c>
      <c r="F99" s="1063">
        <v>0</v>
      </c>
      <c r="G99" s="1063">
        <v>0</v>
      </c>
      <c r="H99" s="1063">
        <v>0</v>
      </c>
      <c r="I99" s="1063">
        <v>0</v>
      </c>
      <c r="J99" s="1063">
        <v>0</v>
      </c>
      <c r="K99" s="1063">
        <v>0</v>
      </c>
      <c r="L99" s="1063">
        <v>0</v>
      </c>
      <c r="M99" s="1063">
        <v>1</v>
      </c>
      <c r="N99" s="177"/>
      <c r="O99" s="177"/>
      <c r="P99" s="177"/>
    </row>
    <row r="100" spans="1:16" ht="16.5" customHeight="1">
      <c r="A100" s="1064" t="s">
        <v>282</v>
      </c>
      <c r="B100" s="2463"/>
      <c r="C100" s="1041">
        <v>2016</v>
      </c>
      <c r="D100" s="1003">
        <v>1</v>
      </c>
      <c r="E100" s="1002">
        <f>1+6</f>
        <v>7</v>
      </c>
      <c r="F100" s="1063">
        <v>0</v>
      </c>
      <c r="G100" s="1063">
        <v>0</v>
      </c>
      <c r="H100" s="1063">
        <v>0</v>
      </c>
      <c r="I100" s="1063">
        <v>0</v>
      </c>
      <c r="J100" s="1063">
        <v>0</v>
      </c>
      <c r="K100" s="1063">
        <v>0</v>
      </c>
      <c r="L100" s="1063">
        <v>0</v>
      </c>
      <c r="M100" s="1063">
        <v>1</v>
      </c>
      <c r="N100" s="177"/>
      <c r="O100" s="177"/>
      <c r="P100" s="177"/>
    </row>
    <row r="101" spans="1:16" ht="14.25" customHeight="1">
      <c r="A101" s="1065" t="s">
        <v>283</v>
      </c>
      <c r="B101" s="2463"/>
      <c r="C101" s="1041">
        <v>2017</v>
      </c>
      <c r="D101" s="1002"/>
      <c r="E101" s="1002"/>
      <c r="F101" s="1063"/>
      <c r="G101" s="1063"/>
      <c r="H101" s="1063"/>
      <c r="I101" s="1063"/>
      <c r="J101" s="1063"/>
      <c r="K101" s="1063"/>
      <c r="L101" s="1063"/>
      <c r="M101" s="1063"/>
      <c r="N101" s="177"/>
      <c r="O101" s="177"/>
      <c r="P101" s="177"/>
    </row>
    <row r="102" spans="1:16" ht="15.75" customHeight="1">
      <c r="A102" s="1064" t="s">
        <v>284</v>
      </c>
      <c r="B102" s="2463"/>
      <c r="C102" s="1041">
        <v>2018</v>
      </c>
      <c r="D102" s="1002"/>
      <c r="E102" s="1002"/>
      <c r="F102" s="1063"/>
      <c r="G102" s="1063"/>
      <c r="H102" s="1063"/>
      <c r="I102" s="1063"/>
      <c r="J102" s="1063"/>
      <c r="K102" s="1063"/>
      <c r="L102" s="1063"/>
      <c r="M102" s="1063"/>
      <c r="N102" s="177"/>
      <c r="O102" s="177"/>
      <c r="P102" s="177"/>
    </row>
    <row r="103" spans="1:16" ht="14.25" customHeight="1">
      <c r="A103" s="1062" t="s">
        <v>285</v>
      </c>
      <c r="B103" s="2463"/>
      <c r="C103" s="1041">
        <v>2019</v>
      </c>
      <c r="D103" s="1002"/>
      <c r="E103" s="1002"/>
      <c r="F103" s="1063"/>
      <c r="G103" s="1063"/>
      <c r="H103" s="1063"/>
      <c r="I103" s="1063"/>
      <c r="J103" s="1063"/>
      <c r="K103" s="1063"/>
      <c r="L103" s="1063"/>
      <c r="M103" s="1063"/>
      <c r="N103" s="177"/>
      <c r="O103" s="177"/>
      <c r="P103" s="177"/>
    </row>
    <row r="104" spans="1:16" ht="14.25" customHeight="1">
      <c r="A104" s="1062" t="s">
        <v>286</v>
      </c>
      <c r="B104" s="2463"/>
      <c r="C104" s="1041">
        <v>2020</v>
      </c>
      <c r="D104" s="1002"/>
      <c r="E104" s="1002"/>
      <c r="F104" s="1063"/>
      <c r="G104" s="1063"/>
      <c r="H104" s="1063"/>
      <c r="I104" s="1063"/>
      <c r="J104" s="1063"/>
      <c r="K104" s="1063"/>
      <c r="L104" s="1063"/>
      <c r="M104" s="1063"/>
      <c r="N104" s="177"/>
      <c r="O104" s="177"/>
      <c r="P104" s="177"/>
    </row>
    <row r="105" spans="1:16" ht="29.25" customHeight="1">
      <c r="A105" s="1066"/>
      <c r="B105" s="2464"/>
      <c r="C105" s="1043" t="s">
        <v>12</v>
      </c>
      <c r="D105" s="1045">
        <f>SUM(D98:D104)</f>
        <v>2</v>
      </c>
      <c r="E105" s="1045">
        <f t="shared" ref="E105:K105" si="8">SUM(E98:E104)</f>
        <v>9</v>
      </c>
      <c r="F105" s="1067">
        <f t="shared" si="8"/>
        <v>0</v>
      </c>
      <c r="G105" s="1067">
        <f t="shared" si="8"/>
        <v>0</v>
      </c>
      <c r="H105" s="1067">
        <f t="shared" si="8"/>
        <v>0</v>
      </c>
      <c r="I105" s="1067">
        <f>SUM(I98:I104)</f>
        <v>0</v>
      </c>
      <c r="J105" s="1067">
        <f t="shared" si="8"/>
        <v>0</v>
      </c>
      <c r="K105" s="1067">
        <f t="shared" si="8"/>
        <v>0</v>
      </c>
      <c r="L105" s="1067">
        <f>SUM(L98:L104)</f>
        <v>0</v>
      </c>
      <c r="M105" s="1067">
        <f>SUM(M98:M104)</f>
        <v>2</v>
      </c>
      <c r="N105" s="177"/>
      <c r="O105" s="177"/>
      <c r="P105" s="177"/>
    </row>
    <row r="106" spans="1:16">
      <c r="A106" s="197"/>
      <c r="B106" s="197"/>
      <c r="C106" s="198"/>
      <c r="D106" s="8"/>
      <c r="E106" s="8"/>
      <c r="H106" s="199"/>
      <c r="I106" s="199"/>
      <c r="J106" s="199"/>
      <c r="K106" s="199"/>
      <c r="L106" s="199"/>
      <c r="M106" s="199"/>
      <c r="N106" s="199"/>
    </row>
    <row r="107" spans="1:16" ht="15" customHeight="1">
      <c r="A107" s="2457" t="s">
        <v>69</v>
      </c>
      <c r="B107" s="2458" t="s">
        <v>61</v>
      </c>
      <c r="C107" s="2460" t="s">
        <v>8</v>
      </c>
      <c r="D107" s="2439" t="s">
        <v>70</v>
      </c>
      <c r="E107" s="1056" t="s">
        <v>71</v>
      </c>
      <c r="F107" s="1056"/>
      <c r="G107" s="1056"/>
      <c r="H107" s="1056"/>
      <c r="I107" s="1056"/>
      <c r="J107" s="1056"/>
      <c r="K107" s="1056"/>
      <c r="L107" s="1056"/>
      <c r="M107" s="199"/>
      <c r="N107" s="199"/>
    </row>
    <row r="108" spans="1:16" ht="103.5" customHeight="1">
      <c r="A108" s="2457"/>
      <c r="B108" s="2459"/>
      <c r="C108" s="2461"/>
      <c r="D108" s="2439"/>
      <c r="E108" s="1058" t="s">
        <v>13</v>
      </c>
      <c r="F108" s="1059" t="s">
        <v>66</v>
      </c>
      <c r="G108" s="1057" t="s">
        <v>54</v>
      </c>
      <c r="H108" s="1057" t="s">
        <v>55</v>
      </c>
      <c r="I108" s="1057" t="s">
        <v>56</v>
      </c>
      <c r="J108" s="1058" t="s">
        <v>67</v>
      </c>
      <c r="K108" s="1057" t="s">
        <v>57</v>
      </c>
      <c r="L108" s="1057" t="s">
        <v>58</v>
      </c>
      <c r="M108" s="199"/>
      <c r="N108" s="199"/>
    </row>
    <row r="109" spans="1:16">
      <c r="A109" s="2440"/>
      <c r="B109" s="2441"/>
      <c r="C109" s="1040">
        <v>2014</v>
      </c>
      <c r="D109" s="1000"/>
      <c r="E109" s="1061"/>
      <c r="F109" s="1061"/>
      <c r="G109" s="1061"/>
      <c r="H109" s="1061"/>
      <c r="I109" s="1061"/>
      <c r="J109" s="1061"/>
      <c r="K109" s="1061"/>
      <c r="L109" s="1061"/>
      <c r="M109" s="199"/>
      <c r="N109" s="199"/>
    </row>
    <row r="110" spans="1:16">
      <c r="A110" s="2300"/>
      <c r="B110" s="2442"/>
      <c r="C110" s="1041">
        <v>2015</v>
      </c>
      <c r="D110" s="1002">
        <v>0</v>
      </c>
      <c r="E110" s="1063">
        <v>0</v>
      </c>
      <c r="F110" s="1063">
        <v>0</v>
      </c>
      <c r="G110" s="1063">
        <v>0</v>
      </c>
      <c r="H110" s="1063">
        <v>0</v>
      </c>
      <c r="I110" s="1063">
        <v>0</v>
      </c>
      <c r="J110" s="1063">
        <v>0</v>
      </c>
      <c r="K110" s="1063">
        <v>0</v>
      </c>
      <c r="L110" s="1063">
        <v>0</v>
      </c>
      <c r="M110" s="199"/>
      <c r="N110" s="199"/>
    </row>
    <row r="111" spans="1:16">
      <c r="A111" s="2300"/>
      <c r="B111" s="2442"/>
      <c r="C111" s="1041">
        <v>2016</v>
      </c>
      <c r="D111" s="1002">
        <v>0</v>
      </c>
      <c r="E111" s="1063">
        <v>0</v>
      </c>
      <c r="F111" s="1063">
        <v>0</v>
      </c>
      <c r="G111" s="1063">
        <v>0</v>
      </c>
      <c r="H111" s="1063">
        <v>0</v>
      </c>
      <c r="I111" s="1063">
        <v>0</v>
      </c>
      <c r="J111" s="1063">
        <v>0</v>
      </c>
      <c r="K111" s="1063">
        <v>0</v>
      </c>
      <c r="L111" s="1063">
        <v>0</v>
      </c>
      <c r="M111" s="199"/>
      <c r="N111" s="199"/>
    </row>
    <row r="112" spans="1:16">
      <c r="A112" s="2300"/>
      <c r="B112" s="2442"/>
      <c r="C112" s="1041">
        <v>2017</v>
      </c>
      <c r="D112" s="1002"/>
      <c r="E112" s="1063"/>
      <c r="F112" s="1063"/>
      <c r="G112" s="1063"/>
      <c r="H112" s="1063"/>
      <c r="I112" s="1063"/>
      <c r="J112" s="1063"/>
      <c r="K112" s="1063"/>
      <c r="L112" s="1063"/>
      <c r="M112" s="199"/>
      <c r="N112" s="199"/>
    </row>
    <row r="113" spans="1:14">
      <c r="A113" s="2300"/>
      <c r="B113" s="2442"/>
      <c r="C113" s="1041">
        <v>2018</v>
      </c>
      <c r="D113" s="1002"/>
      <c r="E113" s="1063"/>
      <c r="F113" s="1063"/>
      <c r="G113" s="1063"/>
      <c r="H113" s="1063"/>
      <c r="I113" s="1063"/>
      <c r="J113" s="1063"/>
      <c r="K113" s="1063"/>
      <c r="L113" s="1063"/>
      <c r="M113" s="199"/>
      <c r="N113" s="199"/>
    </row>
    <row r="114" spans="1:14">
      <c r="A114" s="2300"/>
      <c r="B114" s="2442"/>
      <c r="C114" s="1041">
        <v>2019</v>
      </c>
      <c r="D114" s="1002"/>
      <c r="E114" s="1063"/>
      <c r="F114" s="1063"/>
      <c r="G114" s="1063"/>
      <c r="H114" s="1063"/>
      <c r="I114" s="1063"/>
      <c r="J114" s="1063"/>
      <c r="K114" s="1063"/>
      <c r="L114" s="1063"/>
      <c r="M114" s="199"/>
      <c r="N114" s="199"/>
    </row>
    <row r="115" spans="1:14">
      <c r="A115" s="2300"/>
      <c r="B115" s="2442"/>
      <c r="C115" s="1041">
        <v>2020</v>
      </c>
      <c r="D115" s="1002"/>
      <c r="E115" s="1063"/>
      <c r="F115" s="1063"/>
      <c r="G115" s="1063"/>
      <c r="H115" s="1063"/>
      <c r="I115" s="1063"/>
      <c r="J115" s="1063"/>
      <c r="K115" s="1063"/>
      <c r="L115" s="1063"/>
      <c r="M115" s="199"/>
      <c r="N115" s="199"/>
    </row>
    <row r="116" spans="1:14" ht="18" customHeight="1">
      <c r="A116" s="2443"/>
      <c r="B116" s="2444"/>
      <c r="C116" s="1043" t="s">
        <v>12</v>
      </c>
      <c r="D116" s="1045">
        <f t="shared" ref="D116:I116" si="9">SUM(D109:D115)</f>
        <v>0</v>
      </c>
      <c r="E116" s="1067">
        <f t="shared" si="9"/>
        <v>0</v>
      </c>
      <c r="F116" s="1067">
        <f t="shared" si="9"/>
        <v>0</v>
      </c>
      <c r="G116" s="1067">
        <f t="shared" si="9"/>
        <v>0</v>
      </c>
      <c r="H116" s="1067">
        <f t="shared" si="9"/>
        <v>0</v>
      </c>
      <c r="I116" s="1067">
        <f t="shared" si="9"/>
        <v>0</v>
      </c>
      <c r="J116" s="1067"/>
      <c r="K116" s="1067">
        <f>SUM(K109:K115)</f>
        <v>0</v>
      </c>
      <c r="L116" s="1067">
        <f>SUM(L109:L115)</f>
        <v>0</v>
      </c>
      <c r="M116" s="199"/>
      <c r="N116" s="199"/>
    </row>
    <row r="117" spans="1:14" ht="21">
      <c r="A117" s="200"/>
      <c r="B117" s="201"/>
      <c r="C117" s="77"/>
      <c r="D117" s="77"/>
      <c r="E117" s="77"/>
      <c r="F117" s="77"/>
      <c r="G117" s="77"/>
      <c r="H117" s="77"/>
      <c r="I117" s="77"/>
      <c r="J117" s="77"/>
      <c r="K117" s="77"/>
      <c r="L117" s="77"/>
      <c r="M117" s="199"/>
      <c r="N117" s="199"/>
    </row>
    <row r="118" spans="1:14" ht="15" customHeight="1">
      <c r="A118" s="2457" t="s">
        <v>72</v>
      </c>
      <c r="B118" s="2458" t="s">
        <v>61</v>
      </c>
      <c r="C118" s="2465" t="s">
        <v>8</v>
      </c>
      <c r="D118" s="2439" t="s">
        <v>73</v>
      </c>
      <c r="E118" s="1056" t="s">
        <v>71</v>
      </c>
      <c r="F118" s="1056"/>
      <c r="G118" s="1056"/>
      <c r="H118" s="1056"/>
      <c r="I118" s="1056"/>
      <c r="J118" s="1056"/>
      <c r="K118" s="1056"/>
      <c r="L118" s="1056"/>
      <c r="M118" s="199"/>
      <c r="N118" s="199"/>
    </row>
    <row r="119" spans="1:14" ht="120.75" customHeight="1">
      <c r="A119" s="2457"/>
      <c r="B119" s="2459"/>
      <c r="C119" s="2465"/>
      <c r="D119" s="2439"/>
      <c r="E119" s="1058" t="s">
        <v>13</v>
      </c>
      <c r="F119" s="1059" t="s">
        <v>66</v>
      </c>
      <c r="G119" s="1057" t="s">
        <v>54</v>
      </c>
      <c r="H119" s="1057" t="s">
        <v>55</v>
      </c>
      <c r="I119" s="1057" t="s">
        <v>56</v>
      </c>
      <c r="J119" s="1058" t="s">
        <v>67</v>
      </c>
      <c r="K119" s="1057" t="s">
        <v>57</v>
      </c>
      <c r="L119" s="1057" t="s">
        <v>58</v>
      </c>
      <c r="M119" s="199"/>
      <c r="N119" s="199"/>
    </row>
    <row r="120" spans="1:14">
      <c r="A120" s="2440"/>
      <c r="B120" s="2441"/>
      <c r="C120" s="1040">
        <v>2014</v>
      </c>
      <c r="D120" s="1000"/>
      <c r="E120" s="1061"/>
      <c r="F120" s="1061"/>
      <c r="G120" s="1061"/>
      <c r="H120" s="1061"/>
      <c r="I120" s="1061"/>
      <c r="J120" s="1061"/>
      <c r="K120" s="1061"/>
      <c r="L120" s="1061"/>
      <c r="M120" s="199"/>
      <c r="N120" s="199"/>
    </row>
    <row r="121" spans="1:14">
      <c r="A121" s="2300"/>
      <c r="B121" s="2442"/>
      <c r="C121" s="1041">
        <v>2015</v>
      </c>
      <c r="D121" s="1002">
        <v>0</v>
      </c>
      <c r="E121" s="1063">
        <v>0</v>
      </c>
      <c r="F121" s="1063">
        <v>0</v>
      </c>
      <c r="G121" s="1063">
        <v>0</v>
      </c>
      <c r="H121" s="1063">
        <v>0</v>
      </c>
      <c r="I121" s="1063">
        <v>0</v>
      </c>
      <c r="J121" s="1063">
        <v>0</v>
      </c>
      <c r="K121" s="1063">
        <v>0</v>
      </c>
      <c r="L121" s="1063">
        <v>0</v>
      </c>
      <c r="M121" s="199"/>
      <c r="N121" s="199"/>
    </row>
    <row r="122" spans="1:14">
      <c r="A122" s="2300"/>
      <c r="B122" s="2442"/>
      <c r="C122" s="1041">
        <v>2016</v>
      </c>
      <c r="D122" s="1002">
        <v>0</v>
      </c>
      <c r="E122" s="1063">
        <v>0</v>
      </c>
      <c r="F122" s="1063">
        <v>0</v>
      </c>
      <c r="G122" s="1063">
        <v>0</v>
      </c>
      <c r="H122" s="1063">
        <v>0</v>
      </c>
      <c r="I122" s="1063">
        <v>0</v>
      </c>
      <c r="J122" s="1063">
        <v>0</v>
      </c>
      <c r="K122" s="1063">
        <v>0</v>
      </c>
      <c r="L122" s="1063">
        <v>0</v>
      </c>
      <c r="M122" s="199"/>
      <c r="N122" s="199"/>
    </row>
    <row r="123" spans="1:14">
      <c r="A123" s="2300"/>
      <c r="B123" s="2442"/>
      <c r="C123" s="1041">
        <v>2017</v>
      </c>
      <c r="D123" s="1002"/>
      <c r="E123" s="1063"/>
      <c r="F123" s="1063"/>
      <c r="G123" s="1063"/>
      <c r="H123" s="1063"/>
      <c r="I123" s="1063"/>
      <c r="J123" s="1063"/>
      <c r="K123" s="1063"/>
      <c r="L123" s="1063"/>
      <c r="M123" s="199"/>
      <c r="N123" s="199"/>
    </row>
    <row r="124" spans="1:14">
      <c r="A124" s="2300"/>
      <c r="B124" s="2442"/>
      <c r="C124" s="1041">
        <v>2018</v>
      </c>
      <c r="D124" s="1002"/>
      <c r="E124" s="1063"/>
      <c r="F124" s="1063"/>
      <c r="G124" s="1063"/>
      <c r="H124" s="1063"/>
      <c r="I124" s="1063"/>
      <c r="J124" s="1063"/>
      <c r="K124" s="1063"/>
      <c r="L124" s="1063"/>
      <c r="M124" s="199"/>
      <c r="N124" s="199"/>
    </row>
    <row r="125" spans="1:14">
      <c r="A125" s="2300"/>
      <c r="B125" s="2442"/>
      <c r="C125" s="1041">
        <v>2019</v>
      </c>
      <c r="D125" s="1002"/>
      <c r="E125" s="1063"/>
      <c r="F125" s="1063"/>
      <c r="G125" s="1063"/>
      <c r="H125" s="1063"/>
      <c r="I125" s="1063"/>
      <c r="J125" s="1063"/>
      <c r="K125" s="1063"/>
      <c r="L125" s="1063"/>
      <c r="M125" s="199"/>
      <c r="N125" s="199"/>
    </row>
    <row r="126" spans="1:14">
      <c r="A126" s="2300"/>
      <c r="B126" s="2442"/>
      <c r="C126" s="1041">
        <v>2020</v>
      </c>
      <c r="D126" s="1002"/>
      <c r="E126" s="1063"/>
      <c r="F126" s="1063"/>
      <c r="G126" s="1063"/>
      <c r="H126" s="1063"/>
      <c r="I126" s="1063"/>
      <c r="J126" s="1063"/>
      <c r="K126" s="1063"/>
      <c r="L126" s="1063"/>
      <c r="M126" s="199"/>
      <c r="N126" s="199"/>
    </row>
    <row r="127" spans="1:14">
      <c r="A127" s="2443"/>
      <c r="B127" s="2444"/>
      <c r="C127" s="1043" t="s">
        <v>12</v>
      </c>
      <c r="D127" s="1045">
        <f t="shared" ref="D127:I127" si="10">SUM(D120:D126)</f>
        <v>0</v>
      </c>
      <c r="E127" s="1067">
        <f t="shared" si="10"/>
        <v>0</v>
      </c>
      <c r="F127" s="1067">
        <f t="shared" si="10"/>
        <v>0</v>
      </c>
      <c r="G127" s="1067">
        <f t="shared" si="10"/>
        <v>0</v>
      </c>
      <c r="H127" s="1067">
        <f t="shared" si="10"/>
        <v>0</v>
      </c>
      <c r="I127" s="1067">
        <f t="shared" si="10"/>
        <v>0</v>
      </c>
      <c r="J127" s="1067"/>
      <c r="K127" s="1067">
        <f>SUM(K120:K126)</f>
        <v>0</v>
      </c>
      <c r="L127" s="1067">
        <f>SUM(L120:L126)</f>
        <v>0</v>
      </c>
      <c r="M127" s="199"/>
      <c r="N127" s="199"/>
    </row>
    <row r="128" spans="1:14">
      <c r="A128" s="197"/>
      <c r="B128" s="197"/>
      <c r="C128" s="198"/>
      <c r="D128" s="8"/>
      <c r="E128" s="8"/>
      <c r="H128" s="199"/>
      <c r="I128" s="199"/>
      <c r="J128" s="199"/>
      <c r="K128" s="199"/>
      <c r="L128" s="199"/>
      <c r="M128" s="199"/>
      <c r="N128" s="199"/>
    </row>
    <row r="129" spans="1:16" ht="15" customHeight="1">
      <c r="A129" s="2457" t="s">
        <v>74</v>
      </c>
      <c r="B129" s="2458" t="s">
        <v>61</v>
      </c>
      <c r="C129" s="2460" t="s">
        <v>8</v>
      </c>
      <c r="D129" s="1068" t="s">
        <v>75</v>
      </c>
      <c r="E129" s="1068"/>
      <c r="F129" s="1068"/>
      <c r="G129" s="1068"/>
      <c r="H129" s="199"/>
      <c r="I129" s="199"/>
      <c r="J129" s="199"/>
      <c r="K129" s="199"/>
      <c r="L129" s="199"/>
      <c r="M129" s="199"/>
      <c r="N129" s="199"/>
    </row>
    <row r="130" spans="1:16" ht="77.25" customHeight="1">
      <c r="A130" s="2457"/>
      <c r="B130" s="2459"/>
      <c r="C130" s="2461"/>
      <c r="D130" s="1057" t="s">
        <v>76</v>
      </c>
      <c r="E130" s="1069" t="s">
        <v>77</v>
      </c>
      <c r="F130" s="1057" t="s">
        <v>78</v>
      </c>
      <c r="G130" s="1070" t="s">
        <v>12</v>
      </c>
      <c r="H130" s="199"/>
      <c r="I130" s="199"/>
      <c r="J130" s="199"/>
      <c r="K130" s="199"/>
      <c r="L130" s="199"/>
      <c r="M130" s="199"/>
      <c r="N130" s="199"/>
    </row>
    <row r="131" spans="1:16" ht="15" customHeight="1">
      <c r="A131" s="1071" t="s">
        <v>287</v>
      </c>
      <c r="B131" s="1107"/>
      <c r="C131" s="1042">
        <v>2015</v>
      </c>
      <c r="D131" s="1009">
        <v>18</v>
      </c>
      <c r="E131" s="1003"/>
      <c r="F131" s="1003"/>
      <c r="G131" s="1067">
        <f t="shared" ref="G131:G136" si="11">SUM(D131:F131)</f>
        <v>18</v>
      </c>
      <c r="H131" s="199"/>
      <c r="I131" s="199"/>
      <c r="J131" s="199"/>
      <c r="K131" s="199"/>
      <c r="L131" s="199"/>
      <c r="M131" s="199"/>
      <c r="N131" s="199"/>
    </row>
    <row r="132" spans="1:16" ht="29.25" customHeight="1">
      <c r="A132" s="1005" t="s">
        <v>288</v>
      </c>
      <c r="B132" s="1108"/>
      <c r="C132" s="1041">
        <v>2016</v>
      </c>
      <c r="D132" s="1009">
        <v>60</v>
      </c>
      <c r="E132" s="1002">
        <v>0</v>
      </c>
      <c r="F132" s="1002">
        <v>0</v>
      </c>
      <c r="G132" s="1067">
        <f t="shared" si="11"/>
        <v>60</v>
      </c>
      <c r="H132" s="199"/>
      <c r="I132" s="199"/>
      <c r="J132" s="199"/>
      <c r="K132" s="199"/>
      <c r="L132" s="199"/>
      <c r="M132" s="199"/>
      <c r="N132" s="199"/>
    </row>
    <row r="133" spans="1:16">
      <c r="A133" s="1072"/>
      <c r="B133" s="1108"/>
      <c r="C133" s="1041">
        <v>2017</v>
      </c>
      <c r="D133" s="1002"/>
      <c r="E133" s="1002"/>
      <c r="F133" s="1002"/>
      <c r="G133" s="1067">
        <f t="shared" si="11"/>
        <v>0</v>
      </c>
      <c r="H133" s="199"/>
      <c r="I133" s="199"/>
      <c r="J133" s="199"/>
      <c r="K133" s="199"/>
      <c r="L133" s="199"/>
      <c r="M133" s="199"/>
      <c r="N133" s="199"/>
    </row>
    <row r="134" spans="1:16">
      <c r="A134" s="1005"/>
      <c r="B134" s="1108"/>
      <c r="C134" s="1041">
        <v>2018</v>
      </c>
      <c r="D134" s="1002"/>
      <c r="E134" s="1002"/>
      <c r="F134" s="1002"/>
      <c r="G134" s="1067">
        <f t="shared" si="11"/>
        <v>0</v>
      </c>
      <c r="H134" s="199"/>
      <c r="I134" s="199"/>
      <c r="J134" s="199"/>
      <c r="K134" s="199"/>
      <c r="L134" s="199"/>
      <c r="M134" s="199"/>
      <c r="N134" s="199"/>
    </row>
    <row r="135" spans="1:16">
      <c r="A135" s="1005"/>
      <c r="B135" s="1108"/>
      <c r="C135" s="1041">
        <v>2019</v>
      </c>
      <c r="D135" s="1002"/>
      <c r="E135" s="1002"/>
      <c r="F135" s="1002"/>
      <c r="G135" s="1067">
        <f t="shared" si="11"/>
        <v>0</v>
      </c>
      <c r="H135" s="199"/>
      <c r="I135" s="199"/>
      <c r="J135" s="199"/>
      <c r="K135" s="199"/>
      <c r="L135" s="199"/>
      <c r="M135" s="199"/>
      <c r="N135" s="199"/>
    </row>
    <row r="136" spans="1:16">
      <c r="A136" s="1072"/>
      <c r="B136" s="1108"/>
      <c r="C136" s="1041">
        <v>2020</v>
      </c>
      <c r="D136" s="1002"/>
      <c r="E136" s="1002"/>
      <c r="F136" s="1002"/>
      <c r="G136" s="1067">
        <f t="shared" si="11"/>
        <v>0</v>
      </c>
      <c r="H136" s="199"/>
      <c r="I136" s="199"/>
      <c r="J136" s="199"/>
      <c r="K136" s="199"/>
      <c r="L136" s="199"/>
      <c r="M136" s="199"/>
      <c r="N136" s="199"/>
    </row>
    <row r="137" spans="1:16" ht="17.25" customHeight="1">
      <c r="A137" s="1073"/>
      <c r="B137" s="1109"/>
      <c r="C137" s="1043" t="s">
        <v>12</v>
      </c>
      <c r="D137" s="1045">
        <f>SUM(D131:D136)</f>
        <v>78</v>
      </c>
      <c r="E137" s="1045">
        <f t="shared" ref="E137:F137" si="12">SUM(E131:E136)</f>
        <v>0</v>
      </c>
      <c r="F137" s="1045">
        <f t="shared" si="12"/>
        <v>0</v>
      </c>
      <c r="G137" s="1074">
        <f>SUM(G131:G136)</f>
        <v>78</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c r="A141" s="216"/>
      <c r="B141" s="128"/>
      <c r="C141" s="153"/>
      <c r="D141" s="121"/>
      <c r="E141" s="121"/>
      <c r="F141" s="121"/>
      <c r="G141" s="121"/>
      <c r="H141" s="121"/>
      <c r="I141" s="177"/>
      <c r="J141" s="177"/>
      <c r="K141" s="177"/>
      <c r="L141" s="177"/>
      <c r="M141" s="177"/>
      <c r="N141" s="177"/>
      <c r="O141" s="177"/>
      <c r="P141" s="177"/>
    </row>
    <row r="142" spans="1:16" ht="21.75" customHeight="1">
      <c r="A142" s="2446" t="s">
        <v>80</v>
      </c>
      <c r="B142" s="2447" t="s">
        <v>61</v>
      </c>
      <c r="C142" s="2448" t="s">
        <v>8</v>
      </c>
      <c r="D142" s="1075" t="s">
        <v>81</v>
      </c>
      <c r="E142" s="1075"/>
      <c r="F142" s="1075"/>
      <c r="G142" s="1075"/>
      <c r="H142" s="1075"/>
      <c r="I142" s="1075"/>
      <c r="J142" s="2449" t="s">
        <v>82</v>
      </c>
      <c r="K142" s="2449"/>
      <c r="L142" s="2449"/>
      <c r="M142" s="2449"/>
      <c r="N142" s="2449"/>
      <c r="O142" s="177"/>
      <c r="P142" s="177"/>
    </row>
    <row r="143" spans="1:16" ht="148.5" customHeight="1">
      <c r="A143" s="2446"/>
      <c r="B143" s="2447"/>
      <c r="C143" s="2448"/>
      <c r="D143" s="1076" t="s">
        <v>83</v>
      </c>
      <c r="E143" s="1077" t="s">
        <v>84</v>
      </c>
      <c r="F143" s="1076" t="s">
        <v>85</v>
      </c>
      <c r="G143" s="1076" t="s">
        <v>86</v>
      </c>
      <c r="H143" s="1076" t="s">
        <v>87</v>
      </c>
      <c r="I143" s="1076" t="s">
        <v>88</v>
      </c>
      <c r="J143" s="1078" t="s">
        <v>89</v>
      </c>
      <c r="K143" s="1079" t="s">
        <v>90</v>
      </c>
      <c r="L143" s="1078" t="s">
        <v>91</v>
      </c>
      <c r="M143" s="1079" t="s">
        <v>90</v>
      </c>
      <c r="N143" s="1078" t="s">
        <v>92</v>
      </c>
      <c r="O143" s="177"/>
      <c r="P143" s="177"/>
    </row>
    <row r="144" spans="1:16" ht="19.5" customHeight="1">
      <c r="A144" s="2440"/>
      <c r="B144" s="2441"/>
      <c r="C144" s="1040">
        <v>2014</v>
      </c>
      <c r="D144" s="1000"/>
      <c r="E144" s="1000"/>
      <c r="F144" s="1000"/>
      <c r="G144" s="1061"/>
      <c r="H144" s="1061"/>
      <c r="I144" s="1067">
        <f>D144+F144+G144+H144</f>
        <v>0</v>
      </c>
      <c r="J144" s="1061"/>
      <c r="K144" s="1061"/>
      <c r="L144" s="1061"/>
      <c r="M144" s="1061"/>
      <c r="N144" s="1061"/>
      <c r="O144" s="177"/>
      <c r="P144" s="177"/>
    </row>
    <row r="145" spans="1:16" ht="19.5" customHeight="1">
      <c r="A145" s="2300"/>
      <c r="B145" s="2442"/>
      <c r="C145" s="1041">
        <v>2015</v>
      </c>
      <c r="D145" s="1002">
        <v>0</v>
      </c>
      <c r="E145" s="1002">
        <v>0</v>
      </c>
      <c r="F145" s="1002">
        <v>0</v>
      </c>
      <c r="G145" s="1063">
        <v>0</v>
      </c>
      <c r="H145" s="1063">
        <v>0</v>
      </c>
      <c r="I145" s="1067">
        <v>0</v>
      </c>
      <c r="J145" s="1063">
        <v>0</v>
      </c>
      <c r="K145" s="1063">
        <v>0</v>
      </c>
      <c r="L145" s="1063">
        <v>0</v>
      </c>
      <c r="M145" s="1063">
        <v>0</v>
      </c>
      <c r="N145" s="1063">
        <v>0</v>
      </c>
      <c r="O145" s="177"/>
      <c r="P145" s="177"/>
    </row>
    <row r="146" spans="1:16" ht="20.25" customHeight="1">
      <c r="A146" s="2300"/>
      <c r="B146" s="2442"/>
      <c r="C146" s="1041">
        <v>2016</v>
      </c>
      <c r="D146" s="1002">
        <v>0</v>
      </c>
      <c r="E146" s="1002">
        <v>0</v>
      </c>
      <c r="F146" s="1002">
        <v>0</v>
      </c>
      <c r="G146" s="1063">
        <v>0</v>
      </c>
      <c r="H146" s="1063">
        <v>0</v>
      </c>
      <c r="I146" s="1067">
        <v>0</v>
      </c>
      <c r="J146" s="1063">
        <v>0</v>
      </c>
      <c r="K146" s="1063">
        <v>0</v>
      </c>
      <c r="L146" s="1063">
        <v>0</v>
      </c>
      <c r="M146" s="1063">
        <v>0</v>
      </c>
      <c r="N146" s="1063">
        <v>0</v>
      </c>
      <c r="O146" s="177"/>
      <c r="P146" s="177"/>
    </row>
    <row r="147" spans="1:16" ht="17.25" customHeight="1">
      <c r="A147" s="2300"/>
      <c r="B147" s="2442"/>
      <c r="C147" s="1041">
        <v>2017</v>
      </c>
      <c r="D147" s="1002"/>
      <c r="E147" s="1002"/>
      <c r="F147" s="1002"/>
      <c r="G147" s="1063"/>
      <c r="H147" s="1063"/>
      <c r="I147" s="1067">
        <f t="shared" ref="I147:I150" si="13">D147+F147+G147+H147</f>
        <v>0</v>
      </c>
      <c r="J147" s="1063"/>
      <c r="K147" s="1063"/>
      <c r="L147" s="1063"/>
      <c r="M147" s="1063"/>
      <c r="N147" s="1063"/>
      <c r="O147" s="177"/>
      <c r="P147" s="177"/>
    </row>
    <row r="148" spans="1:16" ht="19.5" customHeight="1">
      <c r="A148" s="2300"/>
      <c r="B148" s="2442"/>
      <c r="C148" s="1041">
        <v>2018</v>
      </c>
      <c r="D148" s="1002"/>
      <c r="E148" s="1002"/>
      <c r="F148" s="1002"/>
      <c r="G148" s="1063"/>
      <c r="H148" s="1063"/>
      <c r="I148" s="1067">
        <f t="shared" si="13"/>
        <v>0</v>
      </c>
      <c r="J148" s="1063"/>
      <c r="K148" s="1063"/>
      <c r="L148" s="1063"/>
      <c r="M148" s="1063"/>
      <c r="N148" s="1063"/>
      <c r="O148" s="177"/>
      <c r="P148" s="177"/>
    </row>
    <row r="149" spans="1:16" ht="19.5" customHeight="1">
      <c r="A149" s="2300"/>
      <c r="B149" s="2442"/>
      <c r="C149" s="1041">
        <v>2019</v>
      </c>
      <c r="D149" s="1002"/>
      <c r="E149" s="1002"/>
      <c r="F149" s="1002"/>
      <c r="G149" s="1063"/>
      <c r="H149" s="1063"/>
      <c r="I149" s="1067">
        <f t="shared" si="13"/>
        <v>0</v>
      </c>
      <c r="J149" s="1063"/>
      <c r="K149" s="1063"/>
      <c r="L149" s="1063"/>
      <c r="M149" s="1063"/>
      <c r="N149" s="1063"/>
      <c r="O149" s="177"/>
      <c r="P149" s="177"/>
    </row>
    <row r="150" spans="1:16" ht="18.75" customHeight="1">
      <c r="A150" s="2300"/>
      <c r="B150" s="2442"/>
      <c r="C150" s="1041">
        <v>2020</v>
      </c>
      <c r="D150" s="1002"/>
      <c r="E150" s="1002"/>
      <c r="F150" s="1002"/>
      <c r="G150" s="1063"/>
      <c r="H150" s="1063"/>
      <c r="I150" s="1067">
        <f t="shared" si="13"/>
        <v>0</v>
      </c>
      <c r="J150" s="1063"/>
      <c r="K150" s="1063"/>
      <c r="L150" s="1063"/>
      <c r="M150" s="1063"/>
      <c r="N150" s="1063"/>
      <c r="O150" s="177"/>
      <c r="P150" s="177"/>
    </row>
    <row r="151" spans="1:16" ht="18" customHeight="1">
      <c r="A151" s="2450"/>
      <c r="B151" s="2444"/>
      <c r="C151" s="1043" t="s">
        <v>12</v>
      </c>
      <c r="D151" s="1045">
        <f>SUM(D144:D150)</f>
        <v>0</v>
      </c>
      <c r="E151" s="1045">
        <f t="shared" ref="E151:I151" si="14">SUM(E144:E150)</f>
        <v>0</v>
      </c>
      <c r="F151" s="1045">
        <f t="shared" si="14"/>
        <v>0</v>
      </c>
      <c r="G151" s="1045">
        <f t="shared" si="14"/>
        <v>0</v>
      </c>
      <c r="H151" s="1045">
        <f t="shared" si="14"/>
        <v>0</v>
      </c>
      <c r="I151" s="1045">
        <f t="shared" si="14"/>
        <v>0</v>
      </c>
      <c r="J151" s="1067">
        <f>SUM(J144:J150)</f>
        <v>0</v>
      </c>
      <c r="K151" s="1067">
        <f>SUM(K144:K150)</f>
        <v>0</v>
      </c>
      <c r="L151" s="1067">
        <f>SUM(L144:L150)</f>
        <v>0</v>
      </c>
      <c r="M151" s="1067">
        <f>SUM(M144:M150)</f>
        <v>0</v>
      </c>
      <c r="N151" s="1067">
        <f>SUM(N144:N150)</f>
        <v>0</v>
      </c>
      <c r="O151" s="177"/>
      <c r="P151" s="177"/>
    </row>
    <row r="152" spans="1:16" ht="27" customHeight="1">
      <c r="B152" s="238"/>
      <c r="O152" s="177"/>
      <c r="P152" s="177"/>
    </row>
    <row r="153" spans="1:16" ht="42.75" customHeight="1">
      <c r="A153" s="2446" t="s">
        <v>93</v>
      </c>
      <c r="B153" s="2447" t="s">
        <v>61</v>
      </c>
      <c r="C153" s="2449" t="s">
        <v>8</v>
      </c>
      <c r="D153" s="1075" t="s">
        <v>94</v>
      </c>
      <c r="E153" s="1075"/>
      <c r="F153" s="1075"/>
      <c r="G153" s="1075"/>
      <c r="H153" s="1075" t="s">
        <v>95</v>
      </c>
      <c r="I153" s="1075"/>
      <c r="J153" s="1075"/>
      <c r="K153" s="31"/>
      <c r="L153" s="31"/>
      <c r="M153" s="31"/>
      <c r="N153" s="31"/>
      <c r="O153" s="177"/>
      <c r="P153" s="177"/>
    </row>
    <row r="154" spans="1:16" ht="49.5" customHeight="1">
      <c r="A154" s="2446"/>
      <c r="B154" s="2447"/>
      <c r="C154" s="2449"/>
      <c r="D154" s="1078" t="s">
        <v>96</v>
      </c>
      <c r="E154" s="1078" t="s">
        <v>97</v>
      </c>
      <c r="F154" s="1078" t="s">
        <v>98</v>
      </c>
      <c r="G154" s="1076" t="s">
        <v>99</v>
      </c>
      <c r="H154" s="1078" t="s">
        <v>100</v>
      </c>
      <c r="I154" s="1078" t="s">
        <v>101</v>
      </c>
      <c r="J154" s="1078" t="s">
        <v>92</v>
      </c>
      <c r="K154" s="31"/>
      <c r="L154" s="31"/>
      <c r="M154" s="31"/>
      <c r="N154" s="31"/>
      <c r="O154" s="177"/>
      <c r="P154" s="177"/>
    </row>
    <row r="155" spans="1:16" ht="18.75" customHeight="1">
      <c r="A155" s="2440"/>
      <c r="B155" s="2441"/>
      <c r="C155" s="1040">
        <v>2014</v>
      </c>
      <c r="D155" s="1061"/>
      <c r="E155" s="1061"/>
      <c r="F155" s="1061"/>
      <c r="G155" s="1067">
        <f>SUM(D155:F155)</f>
        <v>0</v>
      </c>
      <c r="H155" s="1061"/>
      <c r="I155" s="1061"/>
      <c r="J155" s="1061"/>
      <c r="O155" s="177"/>
      <c r="P155" s="177"/>
    </row>
    <row r="156" spans="1:16" ht="19.5" customHeight="1">
      <c r="A156" s="2300"/>
      <c r="B156" s="2442"/>
      <c r="C156" s="1041">
        <v>2015</v>
      </c>
      <c r="D156" s="1063">
        <v>0</v>
      </c>
      <c r="E156" s="1063">
        <v>0</v>
      </c>
      <c r="F156" s="1063">
        <v>0</v>
      </c>
      <c r="G156" s="1067">
        <v>0</v>
      </c>
      <c r="H156" s="1063">
        <v>0</v>
      </c>
      <c r="I156" s="1063">
        <v>0</v>
      </c>
      <c r="J156" s="1063">
        <v>0</v>
      </c>
      <c r="O156" s="177"/>
      <c r="P156" s="177"/>
    </row>
    <row r="157" spans="1:16" ht="17.25" customHeight="1">
      <c r="A157" s="2300"/>
      <c r="B157" s="2442"/>
      <c r="C157" s="1041">
        <v>2016</v>
      </c>
      <c r="D157" s="1063">
        <v>0</v>
      </c>
      <c r="E157" s="1063">
        <v>0</v>
      </c>
      <c r="F157" s="1063">
        <v>0</v>
      </c>
      <c r="G157" s="1067">
        <f t="shared" ref="G157:G161" si="15">SUM(D157:F157)</f>
        <v>0</v>
      </c>
      <c r="H157" s="1063">
        <v>0</v>
      </c>
      <c r="I157" s="1063">
        <v>0</v>
      </c>
      <c r="J157" s="1063">
        <v>0</v>
      </c>
      <c r="O157" s="177"/>
      <c r="P157" s="177"/>
    </row>
    <row r="158" spans="1:16" ht="15" customHeight="1">
      <c r="A158" s="2300"/>
      <c r="B158" s="2442"/>
      <c r="C158" s="1041">
        <v>2017</v>
      </c>
      <c r="D158" s="1063"/>
      <c r="E158" s="1063"/>
      <c r="F158" s="1063"/>
      <c r="G158" s="1067">
        <f t="shared" si="15"/>
        <v>0</v>
      </c>
      <c r="H158" s="1063"/>
      <c r="I158" s="1063"/>
      <c r="J158" s="1063"/>
      <c r="O158" s="177"/>
      <c r="P158" s="177"/>
    </row>
    <row r="159" spans="1:16" ht="19.5" customHeight="1">
      <c r="A159" s="2300"/>
      <c r="B159" s="2442"/>
      <c r="C159" s="1041">
        <v>2018</v>
      </c>
      <c r="D159" s="1063"/>
      <c r="E159" s="1063"/>
      <c r="F159" s="1063"/>
      <c r="G159" s="1067">
        <f t="shared" si="15"/>
        <v>0</v>
      </c>
      <c r="H159" s="1063"/>
      <c r="I159" s="1063"/>
      <c r="J159" s="1063"/>
      <c r="O159" s="177"/>
      <c r="P159" s="177"/>
    </row>
    <row r="160" spans="1:16" ht="15" customHeight="1">
      <c r="A160" s="2300"/>
      <c r="B160" s="2442"/>
      <c r="C160" s="1041">
        <v>2019</v>
      </c>
      <c r="D160" s="1063"/>
      <c r="E160" s="1063"/>
      <c r="F160" s="1063"/>
      <c r="G160" s="1067">
        <f t="shared" si="15"/>
        <v>0</v>
      </c>
      <c r="H160" s="1063"/>
      <c r="I160" s="1063"/>
      <c r="J160" s="1063"/>
      <c r="O160" s="177"/>
      <c r="P160" s="177"/>
    </row>
    <row r="161" spans="1:18" ht="17.25" customHeight="1">
      <c r="A161" s="2300"/>
      <c r="B161" s="2442"/>
      <c r="C161" s="1041">
        <v>2020</v>
      </c>
      <c r="D161" s="1063"/>
      <c r="E161" s="1063"/>
      <c r="F161" s="1063"/>
      <c r="G161" s="1067">
        <f t="shared" si="15"/>
        <v>0</v>
      </c>
      <c r="H161" s="1063"/>
      <c r="I161" s="1063"/>
      <c r="J161" s="1063"/>
      <c r="O161" s="177"/>
      <c r="P161" s="177"/>
    </row>
    <row r="162" spans="1:18">
      <c r="A162" s="2450"/>
      <c r="B162" s="2444"/>
      <c r="C162" s="1043" t="s">
        <v>12</v>
      </c>
      <c r="D162" s="1067">
        <f t="shared" ref="D162:G162" si="16">SUM(D155:D161)</f>
        <v>0</v>
      </c>
      <c r="E162" s="1067">
        <f t="shared" si="16"/>
        <v>0</v>
      </c>
      <c r="F162" s="1067">
        <f t="shared" si="16"/>
        <v>0</v>
      </c>
      <c r="G162" s="1067">
        <f t="shared" si="16"/>
        <v>0</v>
      </c>
      <c r="H162" s="1067">
        <f>SUM(H155:H161)</f>
        <v>0</v>
      </c>
      <c r="I162" s="1067">
        <f>SUM(I155:I161)</f>
        <v>0</v>
      </c>
      <c r="J162" s="1074">
        <f>SUM(J155:J161)</f>
        <v>0</v>
      </c>
    </row>
    <row r="163" spans="1:18" ht="24.75" customHeight="1">
      <c r="A163" s="251"/>
      <c r="B163" s="252"/>
      <c r="C163" s="253"/>
      <c r="D163" s="177"/>
      <c r="E163" s="177"/>
      <c r="F163" s="177"/>
      <c r="G163" s="177"/>
      <c r="H163" s="177"/>
      <c r="I163" s="177"/>
      <c r="J163" s="255"/>
      <c r="K163" s="8"/>
    </row>
    <row r="164" spans="1:18" ht="95.25" customHeight="1">
      <c r="A164" s="1080" t="s">
        <v>102</v>
      </c>
      <c r="B164" s="1081" t="s">
        <v>103</v>
      </c>
      <c r="C164" s="1082" t="s">
        <v>8</v>
      </c>
      <c r="D164" s="1083" t="s">
        <v>104</v>
      </c>
      <c r="E164" s="1083" t="s">
        <v>105</v>
      </c>
      <c r="F164" s="1083" t="s">
        <v>106</v>
      </c>
      <c r="G164" s="1083" t="s">
        <v>107</v>
      </c>
      <c r="H164" s="1083" t="s">
        <v>108</v>
      </c>
      <c r="I164" s="1083" t="s">
        <v>109</v>
      </c>
      <c r="J164" s="1084" t="s">
        <v>110</v>
      </c>
      <c r="K164" s="1084" t="s">
        <v>111</v>
      </c>
      <c r="L164" s="8"/>
    </row>
    <row r="165" spans="1:18" ht="15.75" customHeight="1">
      <c r="A165" s="2451"/>
      <c r="B165" s="2452"/>
      <c r="C165" s="1085">
        <v>2014</v>
      </c>
      <c r="D165" s="1061"/>
      <c r="E165" s="1061"/>
      <c r="F165" s="1061"/>
      <c r="G165" s="1061"/>
      <c r="H165" s="1061"/>
      <c r="I165" s="1061"/>
      <c r="J165" s="1086">
        <f>SUM(D165,F165,H165)</f>
        <v>0</v>
      </c>
      <c r="K165" s="1000">
        <f>SUM(E165,G165,I165)</f>
        <v>0</v>
      </c>
      <c r="L165" s="8"/>
    </row>
    <row r="166" spans="1:18">
      <c r="A166" s="2013"/>
      <c r="B166" s="2453"/>
      <c r="C166" s="1087">
        <v>2015</v>
      </c>
      <c r="D166" s="1088">
        <v>0</v>
      </c>
      <c r="E166" s="1088">
        <v>0</v>
      </c>
      <c r="F166" s="1088">
        <v>0</v>
      </c>
      <c r="G166" s="1088">
        <v>0</v>
      </c>
      <c r="H166" s="1088">
        <v>0</v>
      </c>
      <c r="I166" s="1088">
        <v>0</v>
      </c>
      <c r="J166" s="1074">
        <f t="shared" ref="J166:K171" si="17">SUM(D166,F166,H166)</f>
        <v>0</v>
      </c>
      <c r="K166" s="1045">
        <f t="shared" si="17"/>
        <v>0</v>
      </c>
      <c r="L166" s="8"/>
    </row>
    <row r="167" spans="1:18">
      <c r="A167" s="2013"/>
      <c r="B167" s="2453"/>
      <c r="C167" s="1087">
        <v>2016</v>
      </c>
      <c r="D167" s="1088">
        <v>0</v>
      </c>
      <c r="E167" s="1088">
        <v>0</v>
      </c>
      <c r="F167" s="1088">
        <v>0</v>
      </c>
      <c r="G167" s="1088">
        <v>0</v>
      </c>
      <c r="H167" s="1088">
        <v>0</v>
      </c>
      <c r="I167" s="1088">
        <v>0</v>
      </c>
      <c r="J167" s="1074">
        <f t="shared" si="17"/>
        <v>0</v>
      </c>
      <c r="K167" s="1045">
        <f t="shared" si="17"/>
        <v>0</v>
      </c>
    </row>
    <row r="168" spans="1:18">
      <c r="A168" s="2013"/>
      <c r="B168" s="2453"/>
      <c r="C168" s="1087">
        <v>2017</v>
      </c>
      <c r="D168" s="1088"/>
      <c r="E168" s="1088"/>
      <c r="F168" s="1088"/>
      <c r="G168" s="1088"/>
      <c r="H168" s="1088"/>
      <c r="I168" s="1088"/>
      <c r="J168" s="1074">
        <f t="shared" si="17"/>
        <v>0</v>
      </c>
      <c r="K168" s="1045">
        <f t="shared" si="17"/>
        <v>0</v>
      </c>
    </row>
    <row r="169" spans="1:18">
      <c r="A169" s="2013"/>
      <c r="B169" s="2453"/>
      <c r="C169" s="1087">
        <v>2018</v>
      </c>
      <c r="D169" s="1088"/>
      <c r="E169" s="1088"/>
      <c r="F169" s="1088"/>
      <c r="G169" s="1088"/>
      <c r="H169" s="1088"/>
      <c r="I169" s="1088"/>
      <c r="J169" s="1074">
        <f t="shared" si="17"/>
        <v>0</v>
      </c>
      <c r="K169" s="1045">
        <f t="shared" si="17"/>
        <v>0</v>
      </c>
      <c r="L169" s="8"/>
    </row>
    <row r="170" spans="1:18">
      <c r="A170" s="2013"/>
      <c r="B170" s="2453"/>
      <c r="C170" s="1087">
        <v>2019</v>
      </c>
      <c r="D170" s="1088"/>
      <c r="E170" s="1088"/>
      <c r="F170" s="1088"/>
      <c r="G170" s="1088"/>
      <c r="H170" s="1088"/>
      <c r="I170" s="1088"/>
      <c r="J170" s="1074">
        <f t="shared" si="17"/>
        <v>0</v>
      </c>
      <c r="K170" s="1045">
        <f t="shared" si="17"/>
        <v>0</v>
      </c>
      <c r="L170" s="8"/>
    </row>
    <row r="171" spans="1:18">
      <c r="A171" s="2013"/>
      <c r="B171" s="2453"/>
      <c r="C171" s="1087">
        <v>2020</v>
      </c>
      <c r="D171" s="1088"/>
      <c r="E171" s="1088"/>
      <c r="F171" s="1088"/>
      <c r="G171" s="1088"/>
      <c r="H171" s="1088"/>
      <c r="I171" s="1088"/>
      <c r="J171" s="1074">
        <f t="shared" si="17"/>
        <v>0</v>
      </c>
      <c r="K171" s="1045">
        <f t="shared" si="17"/>
        <v>0</v>
      </c>
      <c r="L171" s="8"/>
    </row>
    <row r="172" spans="1:18" ht="18.75" customHeight="1">
      <c r="A172" s="2454"/>
      <c r="B172" s="2455"/>
      <c r="C172" s="1043" t="s">
        <v>12</v>
      </c>
      <c r="D172" s="1067">
        <f>SUM(D165:D171)</f>
        <v>0</v>
      </c>
      <c r="E172" s="1067">
        <f t="shared" ref="E172:K172" si="18">SUM(E165:E171)</f>
        <v>0</v>
      </c>
      <c r="F172" s="1067">
        <f t="shared" si="18"/>
        <v>0</v>
      </c>
      <c r="G172" s="1067">
        <f t="shared" si="18"/>
        <v>0</v>
      </c>
      <c r="H172" s="1067">
        <f t="shared" si="18"/>
        <v>0</v>
      </c>
      <c r="I172" s="1067">
        <f t="shared" si="18"/>
        <v>0</v>
      </c>
      <c r="J172" s="1067">
        <f t="shared" si="18"/>
        <v>0</v>
      </c>
      <c r="K172" s="1067">
        <f t="shared" si="18"/>
        <v>0</v>
      </c>
      <c r="L172" s="8"/>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
      <c r="A175" s="281"/>
      <c r="B175" s="281"/>
    </row>
    <row r="176" spans="1:18" s="31" customFormat="1" ht="22.5" customHeight="1">
      <c r="A176" s="2456" t="s">
        <v>113</v>
      </c>
      <c r="B176" s="2438" t="s">
        <v>114</v>
      </c>
      <c r="C176" s="2445" t="s">
        <v>8</v>
      </c>
      <c r="D176" s="1089" t="s">
        <v>115</v>
      </c>
      <c r="E176" s="1089"/>
      <c r="F176" s="1089"/>
      <c r="G176" s="1089"/>
      <c r="H176" s="1090"/>
      <c r="I176" s="2445" t="s">
        <v>116</v>
      </c>
      <c r="J176" s="2445"/>
      <c r="K176" s="2445"/>
      <c r="L176" s="2445"/>
      <c r="M176" s="2445"/>
      <c r="N176" s="2445"/>
      <c r="O176" s="2445"/>
    </row>
    <row r="177" spans="1:15" s="31" customFormat="1" ht="129.75" customHeight="1">
      <c r="A177" s="2456"/>
      <c r="B177" s="2438"/>
      <c r="C177" s="2445"/>
      <c r="D177" s="1090" t="s">
        <v>117</v>
      </c>
      <c r="E177" s="1090" t="s">
        <v>118</v>
      </c>
      <c r="F177" s="1090" t="s">
        <v>119</v>
      </c>
      <c r="G177" s="1091" t="s">
        <v>120</v>
      </c>
      <c r="H177" s="1092" t="s">
        <v>121</v>
      </c>
      <c r="I177" s="1093" t="s">
        <v>52</v>
      </c>
      <c r="J177" s="1093" t="s">
        <v>53</v>
      </c>
      <c r="K177" s="1093" t="s">
        <v>54</v>
      </c>
      <c r="L177" s="1093" t="s">
        <v>55</v>
      </c>
      <c r="M177" s="1093" t="s">
        <v>56</v>
      </c>
      <c r="N177" s="1093" t="s">
        <v>57</v>
      </c>
      <c r="O177" s="1093" t="s">
        <v>58</v>
      </c>
    </row>
    <row r="178" spans="1:15" ht="15" customHeight="1">
      <c r="A178" s="1094" t="s">
        <v>289</v>
      </c>
      <c r="B178" s="1095"/>
      <c r="C178" s="1040">
        <v>2014</v>
      </c>
      <c r="D178" s="1000"/>
      <c r="E178" s="1000"/>
      <c r="F178" s="1000"/>
      <c r="G178" s="1045">
        <f>SUM(D178:F178)</f>
        <v>0</v>
      </c>
      <c r="H178" s="1000"/>
      <c r="I178" s="1000"/>
      <c r="J178" s="1000"/>
      <c r="K178" s="1000"/>
      <c r="L178" s="1000"/>
      <c r="M178" s="1000"/>
      <c r="N178" s="1000"/>
      <c r="O178" s="1000"/>
    </row>
    <row r="179" spans="1:15">
      <c r="A179" s="1096" t="s">
        <v>290</v>
      </c>
      <c r="B179" s="1097"/>
      <c r="C179" s="1041">
        <v>2015</v>
      </c>
      <c r="D179" s="1003">
        <v>1</v>
      </c>
      <c r="E179" s="1002">
        <v>0</v>
      </c>
      <c r="F179" s="1002">
        <v>0</v>
      </c>
      <c r="G179" s="1045">
        <f t="shared" ref="G179:G184" si="19">SUM(D179:F179)</f>
        <v>1</v>
      </c>
      <c r="H179" s="1003"/>
      <c r="I179" s="1002">
        <v>0</v>
      </c>
      <c r="J179" s="1002">
        <v>0</v>
      </c>
      <c r="K179" s="1002">
        <v>0</v>
      </c>
      <c r="L179" s="1002">
        <v>0</v>
      </c>
      <c r="M179" s="1002">
        <v>0</v>
      </c>
      <c r="N179" s="1002">
        <v>0</v>
      </c>
      <c r="O179" s="1003">
        <v>1</v>
      </c>
    </row>
    <row r="180" spans="1:15" ht="30" customHeight="1">
      <c r="A180" s="2431" t="s">
        <v>291</v>
      </c>
      <c r="B180" s="2432"/>
      <c r="C180" s="1041">
        <v>2016</v>
      </c>
      <c r="D180" s="1002">
        <f>24+4</f>
        <v>28</v>
      </c>
      <c r="E180" s="1031">
        <v>1</v>
      </c>
      <c r="F180" s="1002">
        <v>1</v>
      </c>
      <c r="G180" s="1045">
        <f t="shared" si="19"/>
        <v>30</v>
      </c>
      <c r="H180" s="1009">
        <f>69+5</f>
        <v>74</v>
      </c>
      <c r="I180" s="1002">
        <v>0</v>
      </c>
      <c r="J180" s="1002">
        <v>9</v>
      </c>
      <c r="K180" s="1002">
        <v>0</v>
      </c>
      <c r="L180" s="1002">
        <v>7</v>
      </c>
      <c r="M180" s="1002">
        <f>1+2</f>
        <v>3</v>
      </c>
      <c r="N180" s="1002">
        <v>0</v>
      </c>
      <c r="O180" s="1002">
        <f>9+2</f>
        <v>11</v>
      </c>
    </row>
    <row r="181" spans="1:15" ht="41.25" customHeight="1">
      <c r="A181" s="2433" t="s">
        <v>292</v>
      </c>
      <c r="B181" s="2434"/>
      <c r="C181" s="1041">
        <v>2017</v>
      </c>
      <c r="D181" s="1002"/>
      <c r="E181" s="1002"/>
      <c r="F181" s="1002"/>
      <c r="G181" s="1045">
        <f t="shared" si="19"/>
        <v>0</v>
      </c>
      <c r="H181" s="1009"/>
      <c r="I181" s="1002"/>
      <c r="J181" s="1002"/>
      <c r="K181" s="1002"/>
      <c r="L181" s="1002"/>
      <c r="M181" s="1002"/>
      <c r="N181" s="1002"/>
      <c r="O181" s="1002"/>
    </row>
    <row r="182" spans="1:15">
      <c r="A182" s="1098" t="s">
        <v>293</v>
      </c>
      <c r="B182" s="1097"/>
      <c r="C182" s="1041">
        <v>2018</v>
      </c>
      <c r="D182" s="1002"/>
      <c r="E182" s="1002"/>
      <c r="F182" s="1002"/>
      <c r="G182" s="1045">
        <f t="shared" si="19"/>
        <v>0</v>
      </c>
      <c r="H182" s="1009"/>
      <c r="I182" s="1002"/>
      <c r="J182" s="1002"/>
      <c r="K182" s="1002"/>
      <c r="L182" s="1002"/>
      <c r="M182" s="1002"/>
      <c r="N182" s="1002"/>
      <c r="O182" s="1002"/>
    </row>
    <row r="183" spans="1:15">
      <c r="A183" s="1096" t="s">
        <v>294</v>
      </c>
      <c r="B183" s="1097"/>
      <c r="C183" s="1041">
        <v>2019</v>
      </c>
      <c r="D183" s="1002"/>
      <c r="E183" s="1002"/>
      <c r="F183" s="1002"/>
      <c r="G183" s="1045">
        <f t="shared" si="19"/>
        <v>0</v>
      </c>
      <c r="H183" s="1009"/>
      <c r="I183" s="1002"/>
      <c r="J183" s="1002"/>
      <c r="K183" s="1002"/>
      <c r="L183" s="1002"/>
      <c r="M183" s="1002"/>
      <c r="N183" s="1002"/>
      <c r="O183" s="1002"/>
    </row>
    <row r="184" spans="1:15">
      <c r="A184" s="1096" t="s">
        <v>295</v>
      </c>
      <c r="B184" s="1097"/>
      <c r="C184" s="1041">
        <v>2020</v>
      </c>
      <c r="D184" s="1002"/>
      <c r="E184" s="1002"/>
      <c r="F184" s="1002"/>
      <c r="G184" s="1045">
        <f t="shared" si="19"/>
        <v>0</v>
      </c>
      <c r="H184" s="1009"/>
      <c r="I184" s="1002"/>
      <c r="J184" s="1002"/>
      <c r="K184" s="1002"/>
      <c r="L184" s="1002"/>
      <c r="M184" s="1002"/>
      <c r="N184" s="1002"/>
      <c r="O184" s="1002"/>
    </row>
    <row r="185" spans="1:15" ht="79.5" customHeight="1">
      <c r="A185" s="2435" t="s">
        <v>296</v>
      </c>
      <c r="B185" s="2436"/>
      <c r="C185" s="1043" t="s">
        <v>12</v>
      </c>
      <c r="D185" s="1045">
        <f>SUM(D178:D184)</f>
        <v>29</v>
      </c>
      <c r="E185" s="1045">
        <f>SUM(E178:E184)</f>
        <v>1</v>
      </c>
      <c r="F185" s="1045">
        <f>SUM(F178:F184)</f>
        <v>1</v>
      </c>
      <c r="G185" s="1045">
        <f t="shared" ref="G185:O185" si="20">SUM(G178:G184)</f>
        <v>31</v>
      </c>
      <c r="H185" s="1045">
        <f t="shared" si="20"/>
        <v>74</v>
      </c>
      <c r="I185" s="1045">
        <f t="shared" si="20"/>
        <v>0</v>
      </c>
      <c r="J185" s="1045">
        <f t="shared" si="20"/>
        <v>9</v>
      </c>
      <c r="K185" s="1045">
        <f t="shared" si="20"/>
        <v>0</v>
      </c>
      <c r="L185" s="1045">
        <f t="shared" si="20"/>
        <v>7</v>
      </c>
      <c r="M185" s="1045">
        <f t="shared" si="20"/>
        <v>3</v>
      </c>
      <c r="N185" s="1045">
        <f t="shared" si="20"/>
        <v>0</v>
      </c>
      <c r="O185" s="1045">
        <f t="shared" si="20"/>
        <v>12</v>
      </c>
    </row>
    <row r="186" spans="1:15" ht="33" customHeight="1"/>
    <row r="187" spans="1:15" ht="19.5" customHeight="1">
      <c r="A187" s="2437" t="s">
        <v>122</v>
      </c>
      <c r="B187" s="2438" t="s">
        <v>114</v>
      </c>
      <c r="C187" s="2411" t="s">
        <v>8</v>
      </c>
      <c r="D187" s="2411" t="s">
        <v>123</v>
      </c>
      <c r="E187" s="2411"/>
      <c r="F187" s="2411"/>
      <c r="G187" s="2411"/>
      <c r="H187" s="2411" t="s">
        <v>124</v>
      </c>
      <c r="I187" s="2411"/>
      <c r="J187" s="2411"/>
      <c r="K187" s="2411"/>
      <c r="L187" s="2411"/>
    </row>
    <row r="188" spans="1:15" ht="90">
      <c r="A188" s="2437"/>
      <c r="B188" s="2438"/>
      <c r="C188" s="2411"/>
      <c r="D188" s="1093" t="s">
        <v>125</v>
      </c>
      <c r="E188" s="1093" t="s">
        <v>126</v>
      </c>
      <c r="F188" s="1093" t="s">
        <v>127</v>
      </c>
      <c r="G188" s="1092" t="s">
        <v>12</v>
      </c>
      <c r="H188" s="1093" t="s">
        <v>128</v>
      </c>
      <c r="I188" s="1093" t="s">
        <v>129</v>
      </c>
      <c r="J188" s="1093" t="s">
        <v>130</v>
      </c>
      <c r="K188" s="1093" t="s">
        <v>131</v>
      </c>
      <c r="L188" s="1093" t="s">
        <v>132</v>
      </c>
    </row>
    <row r="189" spans="1:15" ht="15" customHeight="1">
      <c r="A189" s="1099" t="s">
        <v>297</v>
      </c>
      <c r="B189" s="415"/>
      <c r="C189" s="1020">
        <v>2014</v>
      </c>
      <c r="D189" s="1000"/>
      <c r="E189" s="1000"/>
      <c r="F189" s="1000"/>
      <c r="G189" s="1045">
        <f>SUM(D189:F189)</f>
        <v>0</v>
      </c>
      <c r="H189" s="1000"/>
      <c r="I189" s="1000"/>
      <c r="J189" s="1000"/>
      <c r="K189" s="1000"/>
      <c r="L189" s="1000"/>
    </row>
    <row r="190" spans="1:15">
      <c r="A190" s="1100" t="s">
        <v>298</v>
      </c>
      <c r="B190" s="415"/>
      <c r="C190" s="1021">
        <v>2015</v>
      </c>
      <c r="D190" s="1003">
        <v>4</v>
      </c>
      <c r="E190" s="1002">
        <v>0</v>
      </c>
      <c r="F190" s="1002">
        <v>0</v>
      </c>
      <c r="G190" s="1045">
        <f t="shared" ref="G190:G195" si="21">SUM(D190:F190)</f>
        <v>4</v>
      </c>
      <c r="H190" s="1002">
        <v>0</v>
      </c>
      <c r="I190" s="1002">
        <v>0</v>
      </c>
      <c r="J190" s="1002">
        <v>0</v>
      </c>
      <c r="K190" s="1002">
        <v>0</v>
      </c>
      <c r="L190" s="1003">
        <v>4</v>
      </c>
    </row>
    <row r="191" spans="1:15" ht="60.75" customHeight="1">
      <c r="A191" s="1100" t="s">
        <v>299</v>
      </c>
      <c r="B191" s="415"/>
      <c r="C191" s="1021">
        <v>2016</v>
      </c>
      <c r="D191" s="1002">
        <f>1159+357</f>
        <v>1516</v>
      </c>
      <c r="E191" s="1002">
        <v>30</v>
      </c>
      <c r="F191" s="1002">
        <v>40</v>
      </c>
      <c r="G191" s="1045">
        <f t="shared" si="21"/>
        <v>1586</v>
      </c>
      <c r="H191" s="1002">
        <v>0</v>
      </c>
      <c r="I191" s="1002">
        <f>49+40</f>
        <v>89</v>
      </c>
      <c r="J191" s="1002">
        <v>0</v>
      </c>
      <c r="K191" s="1002">
        <v>0</v>
      </c>
      <c r="L191" s="1002">
        <f>80+18+60+4+146+89+40+125+30+360+60+145+90+250</f>
        <v>1497</v>
      </c>
    </row>
    <row r="192" spans="1:15">
      <c r="A192" s="560"/>
      <c r="B192" s="415"/>
      <c r="C192" s="1021">
        <v>2017</v>
      </c>
      <c r="D192" s="1002"/>
      <c r="E192" s="1002"/>
      <c r="F192" s="1002"/>
      <c r="G192" s="1045">
        <f t="shared" si="21"/>
        <v>0</v>
      </c>
      <c r="H192" s="1002"/>
      <c r="I192" s="1002"/>
      <c r="J192" s="1002"/>
      <c r="K192" s="1002"/>
      <c r="L192" s="1002"/>
    </row>
    <row r="193" spans="1:14">
      <c r="A193" s="560"/>
      <c r="B193" s="415"/>
      <c r="C193" s="1021">
        <v>2018</v>
      </c>
      <c r="D193" s="1002"/>
      <c r="E193" s="1002"/>
      <c r="F193" s="1002"/>
      <c r="G193" s="1045">
        <f t="shared" si="21"/>
        <v>0</v>
      </c>
      <c r="H193" s="1002"/>
      <c r="I193" s="1002"/>
      <c r="J193" s="1002"/>
      <c r="K193" s="1002"/>
      <c r="L193" s="1002"/>
    </row>
    <row r="194" spans="1:14">
      <c r="A194" s="560"/>
      <c r="B194" s="415"/>
      <c r="C194" s="1021">
        <v>2019</v>
      </c>
      <c r="D194" s="1002"/>
      <c r="E194" s="1002"/>
      <c r="F194" s="1002"/>
      <c r="G194" s="1045">
        <f t="shared" si="21"/>
        <v>0</v>
      </c>
      <c r="H194" s="1002"/>
      <c r="I194" s="1002"/>
      <c r="J194" s="1002"/>
      <c r="K194" s="1002"/>
      <c r="L194" s="1002"/>
    </row>
    <row r="195" spans="1:14">
      <c r="A195" s="560"/>
      <c r="B195" s="415"/>
      <c r="C195" s="1021">
        <v>2020</v>
      </c>
      <c r="D195" s="1002"/>
      <c r="E195" s="1002"/>
      <c r="F195" s="1002"/>
      <c r="G195" s="1045">
        <f t="shared" si="21"/>
        <v>0</v>
      </c>
      <c r="H195" s="1002"/>
      <c r="I195" s="1002"/>
      <c r="J195" s="1002"/>
      <c r="K195" s="1002"/>
      <c r="L195" s="1002"/>
    </row>
    <row r="196" spans="1:14" ht="15.75" thickBot="1">
      <c r="A196" s="561"/>
      <c r="B196" s="1101"/>
      <c r="C196" s="1049" t="s">
        <v>12</v>
      </c>
      <c r="D196" s="1045">
        <f t="shared" ref="D196:L196" si="22">SUM(D189:D195)</f>
        <v>1520</v>
      </c>
      <c r="E196" s="1045">
        <f t="shared" si="22"/>
        <v>30</v>
      </c>
      <c r="F196" s="1045">
        <f t="shared" si="22"/>
        <v>40</v>
      </c>
      <c r="G196" s="1045">
        <f t="shared" si="22"/>
        <v>1590</v>
      </c>
      <c r="H196" s="1045">
        <f t="shared" si="22"/>
        <v>0</v>
      </c>
      <c r="I196" s="1045">
        <f t="shared" si="22"/>
        <v>89</v>
      </c>
      <c r="J196" s="1045">
        <f t="shared" si="22"/>
        <v>0</v>
      </c>
      <c r="K196" s="1045">
        <f t="shared" si="22"/>
        <v>0</v>
      </c>
      <c r="L196" s="1045">
        <f t="shared" si="22"/>
        <v>1501</v>
      </c>
    </row>
    <row r="198" spans="1:14">
      <c r="A198" s="8"/>
      <c r="B198" s="8"/>
      <c r="C198" s="8"/>
      <c r="D198" s="8"/>
      <c r="E198" s="8"/>
      <c r="F198" s="8"/>
      <c r="G198" s="8"/>
      <c r="H198" s="8"/>
      <c r="I198" s="8"/>
      <c r="J198" s="8"/>
      <c r="K198" s="8"/>
      <c r="L198" s="8"/>
    </row>
    <row r="199" spans="1:14" ht="21">
      <c r="A199" s="433" t="s">
        <v>134</v>
      </c>
      <c r="B199" s="433"/>
      <c r="C199" s="1102"/>
      <c r="D199" s="1102"/>
      <c r="E199" s="1102"/>
      <c r="F199" s="1102"/>
      <c r="G199" s="1102"/>
      <c r="H199" s="1102"/>
      <c r="I199" s="1102"/>
      <c r="J199" s="1102"/>
      <c r="K199" s="1102"/>
      <c r="L199" s="1102"/>
      <c r="M199" s="77"/>
      <c r="N199" s="77"/>
    </row>
    <row r="200" spans="1:14" s="172" customFormat="1" ht="22.5" customHeight="1">
      <c r="A200" s="1103"/>
      <c r="B200" s="1103"/>
      <c r="L200" s="121"/>
      <c r="M200" s="121"/>
    </row>
    <row r="201" spans="1:14" s="31" customFormat="1" ht="101.25" customHeight="1">
      <c r="A201" s="1104" t="s">
        <v>135</v>
      </c>
      <c r="B201" s="1105" t="s">
        <v>114</v>
      </c>
      <c r="C201" s="1106" t="s">
        <v>8</v>
      </c>
      <c r="D201" s="1106" t="s">
        <v>136</v>
      </c>
      <c r="E201" s="1106" t="s">
        <v>137</v>
      </c>
      <c r="F201" s="1106" t="s">
        <v>138</v>
      </c>
      <c r="G201" s="1106" t="s">
        <v>139</v>
      </c>
      <c r="H201" s="1106" t="s">
        <v>140</v>
      </c>
      <c r="I201" s="1106" t="s">
        <v>141</v>
      </c>
      <c r="J201" s="1106" t="s">
        <v>142</v>
      </c>
      <c r="K201" s="1106" t="s">
        <v>143</v>
      </c>
      <c r="L201" s="1106" t="s">
        <v>144</v>
      </c>
    </row>
    <row r="202" spans="1:14" ht="15" customHeight="1">
      <c r="A202" s="2412"/>
      <c r="B202" s="2413"/>
      <c r="C202" s="1020">
        <v>2014</v>
      </c>
      <c r="D202" s="1000"/>
      <c r="E202" s="1000"/>
      <c r="F202" s="1000"/>
      <c r="G202" s="1000"/>
      <c r="H202" s="1000"/>
      <c r="I202" s="1000"/>
      <c r="J202" s="1000"/>
      <c r="K202" s="1000"/>
      <c r="L202" s="1000"/>
    </row>
    <row r="203" spans="1:14">
      <c r="A203" s="2414"/>
      <c r="B203" s="2415"/>
      <c r="C203" s="1021">
        <v>2015</v>
      </c>
      <c r="D203" s="1002">
        <v>0</v>
      </c>
      <c r="E203" s="1002">
        <v>0</v>
      </c>
      <c r="F203" s="1002">
        <v>0</v>
      </c>
      <c r="G203" s="1002">
        <v>0</v>
      </c>
      <c r="H203" s="1002">
        <v>0</v>
      </c>
      <c r="I203" s="1002">
        <v>0</v>
      </c>
      <c r="J203" s="1002">
        <v>0</v>
      </c>
      <c r="K203" s="1002">
        <v>0</v>
      </c>
      <c r="L203" s="1002">
        <v>0</v>
      </c>
    </row>
    <row r="204" spans="1:14">
      <c r="A204" s="2414"/>
      <c r="B204" s="2415"/>
      <c r="C204" s="1021">
        <v>2016</v>
      </c>
      <c r="D204" s="1002">
        <v>0</v>
      </c>
      <c r="E204" s="1002">
        <v>0</v>
      </c>
      <c r="F204" s="1002">
        <v>0</v>
      </c>
      <c r="G204" s="1002">
        <v>0</v>
      </c>
      <c r="H204" s="1002">
        <v>0</v>
      </c>
      <c r="I204" s="1002">
        <v>0</v>
      </c>
      <c r="J204" s="1002">
        <v>0</v>
      </c>
      <c r="K204" s="1002">
        <v>0</v>
      </c>
      <c r="L204" s="1002">
        <v>0</v>
      </c>
    </row>
    <row r="205" spans="1:14">
      <c r="A205" s="2414"/>
      <c r="B205" s="2415"/>
      <c r="C205" s="1021">
        <v>2017</v>
      </c>
      <c r="D205" s="1002"/>
      <c r="E205" s="1002"/>
      <c r="F205" s="1002"/>
      <c r="G205" s="1002"/>
      <c r="H205" s="1002"/>
      <c r="I205" s="1002"/>
      <c r="J205" s="1002"/>
      <c r="K205" s="1002"/>
      <c r="L205" s="1002"/>
    </row>
    <row r="206" spans="1:14">
      <c r="A206" s="2414"/>
      <c r="B206" s="2415"/>
      <c r="C206" s="1021">
        <v>2018</v>
      </c>
      <c r="D206" s="1002"/>
      <c r="E206" s="1002"/>
      <c r="F206" s="1002"/>
      <c r="G206" s="1002"/>
      <c r="H206" s="1002"/>
      <c r="I206" s="1002"/>
      <c r="J206" s="1002"/>
      <c r="K206" s="1002"/>
      <c r="L206" s="1002"/>
    </row>
    <row r="207" spans="1:14">
      <c r="A207" s="2414"/>
      <c r="B207" s="2415"/>
      <c r="C207" s="1021">
        <v>2019</v>
      </c>
      <c r="D207" s="1002"/>
      <c r="E207" s="1002"/>
      <c r="F207" s="1002"/>
      <c r="G207" s="1002"/>
      <c r="H207" s="1002"/>
      <c r="I207" s="1002"/>
      <c r="J207" s="1002"/>
      <c r="K207" s="1002"/>
      <c r="L207" s="1002"/>
    </row>
    <row r="208" spans="1:14">
      <c r="A208" s="2414"/>
      <c r="B208" s="2415"/>
      <c r="C208" s="1021">
        <v>2020</v>
      </c>
      <c r="D208" s="1002"/>
      <c r="E208" s="1002"/>
      <c r="F208" s="1002"/>
      <c r="G208" s="1002"/>
      <c r="H208" s="1002"/>
      <c r="I208" s="1002"/>
      <c r="J208" s="1002"/>
      <c r="K208" s="1002"/>
      <c r="L208" s="1002"/>
    </row>
    <row r="209" spans="1:12" ht="20.25" customHeight="1">
      <c r="A209" s="2416"/>
      <c r="B209" s="2417"/>
      <c r="C209" s="1049" t="s">
        <v>12</v>
      </c>
      <c r="D209" s="1045">
        <f>SUM(D202:D208)</f>
        <v>0</v>
      </c>
      <c r="E209" s="1045">
        <f t="shared" ref="E209:L209" si="23">SUM(E202:E208)</f>
        <v>0</v>
      </c>
      <c r="F209" s="1045">
        <f t="shared" si="23"/>
        <v>0</v>
      </c>
      <c r="G209" s="1045">
        <f t="shared" si="23"/>
        <v>0</v>
      </c>
      <c r="H209" s="1045">
        <f t="shared" si="23"/>
        <v>0</v>
      </c>
      <c r="I209" s="1045">
        <f t="shared" si="23"/>
        <v>0</v>
      </c>
      <c r="J209" s="1045">
        <f t="shared" si="23"/>
        <v>0</v>
      </c>
      <c r="K209" s="1045">
        <f t="shared" si="23"/>
        <v>0</v>
      </c>
      <c r="L209" s="1045">
        <f t="shared" si="23"/>
        <v>0</v>
      </c>
    </row>
    <row r="212" spans="1:12" ht="29.25">
      <c r="A212" s="1110" t="s">
        <v>145</v>
      </c>
      <c r="B212" s="1111" t="s">
        <v>146</v>
      </c>
      <c r="C212" s="1069">
        <v>2014</v>
      </c>
      <c r="D212" s="1069">
        <v>2015</v>
      </c>
      <c r="E212" s="1069">
        <v>2016</v>
      </c>
      <c r="F212" s="1069">
        <v>2017</v>
      </c>
      <c r="G212" s="1069">
        <v>2018</v>
      </c>
      <c r="H212" s="1069">
        <v>2019</v>
      </c>
      <c r="I212" s="1069">
        <v>2020</v>
      </c>
    </row>
    <row r="213" spans="1:12" ht="118.5" customHeight="1">
      <c r="A213" s="1002" t="s">
        <v>147</v>
      </c>
      <c r="B213" s="1112" t="s">
        <v>300</v>
      </c>
      <c r="C213" s="1020"/>
      <c r="D213" s="1113">
        <v>92876.5</v>
      </c>
      <c r="E213" s="1113">
        <v>556789.65</v>
      </c>
      <c r="F213" s="1021"/>
      <c r="G213" s="1021"/>
      <c r="H213" s="1021"/>
      <c r="I213" s="1021"/>
    </row>
    <row r="214" spans="1:12">
      <c r="A214" s="1002" t="s">
        <v>149</v>
      </c>
      <c r="B214" s="1114"/>
      <c r="C214" s="1020"/>
      <c r="D214" s="1115">
        <v>80668.899999999994</v>
      </c>
      <c r="E214" s="1113">
        <f>3291.5+7370.65+13642.26+211.82+4890+4700+28104.7+9296.8+17749.45+24942.5+5335+75299.37+50000+843.6+945+1600+12715</f>
        <v>260937.65</v>
      </c>
      <c r="F214" s="1021"/>
      <c r="G214" s="1021"/>
      <c r="H214" s="1021"/>
      <c r="I214" s="1021"/>
    </row>
    <row r="215" spans="1:12">
      <c r="A215" s="1002" t="s">
        <v>150</v>
      </c>
      <c r="B215" s="1114"/>
      <c r="C215" s="1020"/>
      <c r="D215" s="1115">
        <v>0</v>
      </c>
      <c r="E215" s="1113">
        <v>0</v>
      </c>
      <c r="F215" s="1021"/>
      <c r="G215" s="1021"/>
      <c r="H215" s="1021"/>
      <c r="I215" s="1021"/>
    </row>
    <row r="216" spans="1:12">
      <c r="A216" s="1002" t="s">
        <v>151</v>
      </c>
      <c r="B216" s="1114"/>
      <c r="C216" s="1020"/>
      <c r="D216" s="1115">
        <v>11563.08</v>
      </c>
      <c r="E216" s="1113">
        <f>27231.51+124715.6</f>
        <v>151947.11000000002</v>
      </c>
      <c r="F216" s="1021"/>
      <c r="G216" s="1021"/>
      <c r="H216" s="1021"/>
      <c r="I216" s="1021"/>
    </row>
    <row r="217" spans="1:12" ht="60">
      <c r="A217" s="1002" t="s">
        <v>152</v>
      </c>
      <c r="B217" s="1116" t="s">
        <v>301</v>
      </c>
      <c r="C217" s="1020"/>
      <c r="D217" s="1115">
        <v>1251.9100000000001</v>
      </c>
      <c r="E217" s="1113">
        <f>12112.4+22275.07+11946.7+30363.96+13607.5+24270.88+2090+2639+675+21477.04+900</f>
        <v>142357.55000000002</v>
      </c>
      <c r="F217" s="1021"/>
      <c r="G217" s="1021"/>
      <c r="H217" s="1021"/>
      <c r="I217" s="1021"/>
    </row>
    <row r="218" spans="1:12" ht="30">
      <c r="A218" s="2418" t="s">
        <v>153</v>
      </c>
      <c r="B218" s="1117" t="s">
        <v>302</v>
      </c>
      <c r="C218" s="2421"/>
      <c r="D218" s="2424">
        <v>97277.6</v>
      </c>
      <c r="E218" s="2425">
        <v>278731.90000000002</v>
      </c>
      <c r="F218" s="2428"/>
      <c r="G218" s="2410"/>
      <c r="H218" s="2410"/>
      <c r="I218" s="2410"/>
    </row>
    <row r="219" spans="1:12">
      <c r="A219" s="2419"/>
      <c r="B219" s="1118" t="s">
        <v>303</v>
      </c>
      <c r="C219" s="2422"/>
      <c r="D219" s="2424"/>
      <c r="E219" s="2426"/>
      <c r="F219" s="2429"/>
      <c r="G219" s="2410"/>
      <c r="H219" s="2410"/>
      <c r="I219" s="2410"/>
    </row>
    <row r="220" spans="1:12">
      <c r="A220" s="2419"/>
      <c r="B220" s="1118" t="s">
        <v>304</v>
      </c>
      <c r="C220" s="2422"/>
      <c r="D220" s="2424"/>
      <c r="E220" s="2426"/>
      <c r="F220" s="2429"/>
      <c r="G220" s="2410"/>
      <c r="H220" s="2410"/>
      <c r="I220" s="2410"/>
    </row>
    <row r="221" spans="1:12" ht="30">
      <c r="A221" s="2419"/>
      <c r="B221" s="1118" t="s">
        <v>305</v>
      </c>
      <c r="C221" s="2422"/>
      <c r="D221" s="2424"/>
      <c r="E221" s="2426"/>
      <c r="F221" s="2429"/>
      <c r="G221" s="2410"/>
      <c r="H221" s="2410"/>
      <c r="I221" s="2410"/>
    </row>
    <row r="222" spans="1:12" ht="30">
      <c r="A222" s="2419"/>
      <c r="B222" s="1118" t="s">
        <v>306</v>
      </c>
      <c r="C222" s="2422"/>
      <c r="D222" s="2424"/>
      <c r="E222" s="2426"/>
      <c r="F222" s="2429"/>
      <c r="G222" s="2410"/>
      <c r="H222" s="2410"/>
      <c r="I222" s="2410"/>
    </row>
    <row r="223" spans="1:12" ht="62.25" customHeight="1">
      <c r="A223" s="2419"/>
      <c r="B223" s="1118" t="s">
        <v>307</v>
      </c>
      <c r="C223" s="2422"/>
      <c r="D223" s="2424"/>
      <c r="E223" s="2426"/>
      <c r="F223" s="2429"/>
      <c r="G223" s="2410"/>
      <c r="H223" s="2410"/>
      <c r="I223" s="2410"/>
    </row>
    <row r="224" spans="1:12" ht="18" customHeight="1">
      <c r="A224" s="2419"/>
      <c r="B224" s="1118" t="s">
        <v>308</v>
      </c>
      <c r="C224" s="2422"/>
      <c r="D224" s="2424"/>
      <c r="E224" s="2426"/>
      <c r="F224" s="2429"/>
      <c r="G224" s="2410"/>
      <c r="H224" s="2410"/>
      <c r="I224" s="2410"/>
    </row>
    <row r="225" spans="1:9">
      <c r="A225" s="2420"/>
      <c r="B225" s="1119" t="s">
        <v>309</v>
      </c>
      <c r="C225" s="2423"/>
      <c r="D225" s="2424"/>
      <c r="E225" s="2427"/>
      <c r="F225" s="2430"/>
      <c r="G225" s="2410"/>
      <c r="H225" s="2410"/>
      <c r="I225" s="2410"/>
    </row>
    <row r="226" spans="1:9">
      <c r="A226" s="1002"/>
      <c r="B226" s="1002"/>
      <c r="C226" s="1012" t="s">
        <v>12</v>
      </c>
      <c r="D226" s="1120">
        <f>SUM(D214:D218)</f>
        <v>190761.49</v>
      </c>
      <c r="E226" s="1120">
        <f>SUM(E214:E225)</f>
        <v>833974.21000000008</v>
      </c>
      <c r="F226" s="1012">
        <f t="shared" ref="F226:I226" si="24">SUM(F214:F218)</f>
        <v>0</v>
      </c>
      <c r="G226" s="1012">
        <f t="shared" si="24"/>
        <v>0</v>
      </c>
      <c r="H226" s="1012">
        <f t="shared" si="24"/>
        <v>0</v>
      </c>
      <c r="I226" s="1012">
        <f t="shared" si="24"/>
        <v>0</v>
      </c>
    </row>
    <row r="229" spans="1:9">
      <c r="A229" s="31"/>
      <c r="D229" s="408"/>
      <c r="E229" s="408"/>
    </row>
    <row r="232" spans="1:9">
      <c r="B232" s="8"/>
    </row>
    <row r="233" spans="1:9">
      <c r="A233" s="172"/>
      <c r="B233" s="8"/>
    </row>
    <row r="234" spans="1:9">
      <c r="A234" s="31"/>
      <c r="B234" s="1121"/>
    </row>
    <row r="235" spans="1:9">
      <c r="B235" s="1121"/>
    </row>
    <row r="236" spans="1:9">
      <c r="B236" s="1121"/>
    </row>
    <row r="237" spans="1:9">
      <c r="B237" s="1121"/>
    </row>
  </sheetData>
  <mergeCells count="97">
    <mergeCell ref="D26:G26"/>
    <mergeCell ref="F3:O3"/>
    <mergeCell ref="A4:O10"/>
    <mergeCell ref="B15:B16"/>
    <mergeCell ref="C15:C16"/>
    <mergeCell ref="D15:G15"/>
    <mergeCell ref="A17:B17"/>
    <mergeCell ref="A18:B18"/>
    <mergeCell ref="B26:B27"/>
    <mergeCell ref="C26:C27"/>
    <mergeCell ref="A50:B50"/>
    <mergeCell ref="A28:B28"/>
    <mergeCell ref="A29:B29"/>
    <mergeCell ref="A30:B30"/>
    <mergeCell ref="A31:B31"/>
    <mergeCell ref="A32:B32"/>
    <mergeCell ref="A33:B33"/>
    <mergeCell ref="A34:B34"/>
    <mergeCell ref="A35:B35"/>
    <mergeCell ref="A40:B40"/>
    <mergeCell ref="A41:B41"/>
    <mergeCell ref="A42:B42"/>
    <mergeCell ref="D60:D61"/>
    <mergeCell ref="A51:B51"/>
    <mergeCell ref="A52:B52"/>
    <mergeCell ref="A53:B53"/>
    <mergeCell ref="A54:B54"/>
    <mergeCell ref="A55:B55"/>
    <mergeCell ref="A56:B56"/>
    <mergeCell ref="A57:B57"/>
    <mergeCell ref="A58:B58"/>
    <mergeCell ref="A60:A61"/>
    <mergeCell ref="B60:B61"/>
    <mergeCell ref="C60:C61"/>
    <mergeCell ref="A78:B78"/>
    <mergeCell ref="A63:B63"/>
    <mergeCell ref="A64:B64"/>
    <mergeCell ref="A65:B65"/>
    <mergeCell ref="A66:B66"/>
    <mergeCell ref="A67:B67"/>
    <mergeCell ref="A68:B69"/>
    <mergeCell ref="A72:B72"/>
    <mergeCell ref="A73:B73"/>
    <mergeCell ref="A74:B74"/>
    <mergeCell ref="A75:B76"/>
    <mergeCell ref="A77:B77"/>
    <mergeCell ref="D107:D108"/>
    <mergeCell ref="A109:B116"/>
    <mergeCell ref="A79:B79"/>
    <mergeCell ref="A85:B92"/>
    <mergeCell ref="A96:A97"/>
    <mergeCell ref="B96:B97"/>
    <mergeCell ref="C96:C97"/>
    <mergeCell ref="D96:E96"/>
    <mergeCell ref="A129:A130"/>
    <mergeCell ref="B129:B130"/>
    <mergeCell ref="C129:C130"/>
    <mergeCell ref="B98:B105"/>
    <mergeCell ref="A107:A108"/>
    <mergeCell ref="B107:B108"/>
    <mergeCell ref="C107:C108"/>
    <mergeCell ref="A118:A119"/>
    <mergeCell ref="B118:B119"/>
    <mergeCell ref="C118:C119"/>
    <mergeCell ref="D118:D119"/>
    <mergeCell ref="A120:B127"/>
    <mergeCell ref="I176:O176"/>
    <mergeCell ref="A142:A143"/>
    <mergeCell ref="B142:B143"/>
    <mergeCell ref="C142:C143"/>
    <mergeCell ref="J142:N142"/>
    <mergeCell ref="A144:B151"/>
    <mergeCell ref="A153:A154"/>
    <mergeCell ref="B153:B154"/>
    <mergeCell ref="C153:C154"/>
    <mergeCell ref="A155:B162"/>
    <mergeCell ref="A165:B172"/>
    <mergeCell ref="A176:A177"/>
    <mergeCell ref="B176:B177"/>
    <mergeCell ref="C176:C177"/>
    <mergeCell ref="A180:B180"/>
    <mergeCell ref="A181:B181"/>
    <mergeCell ref="A185:B185"/>
    <mergeCell ref="A187:A188"/>
    <mergeCell ref="B187:B188"/>
    <mergeCell ref="I218:I225"/>
    <mergeCell ref="D187:G187"/>
    <mergeCell ref="H187:L187"/>
    <mergeCell ref="A202:B209"/>
    <mergeCell ref="A218:A225"/>
    <mergeCell ref="C218:C225"/>
    <mergeCell ref="D218:D225"/>
    <mergeCell ref="E218:E225"/>
    <mergeCell ref="F218:F225"/>
    <mergeCell ref="G218:G225"/>
    <mergeCell ref="H218:H225"/>
    <mergeCell ref="C187:C18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AMJ227"/>
  <sheetViews>
    <sheetView topLeftCell="A211" workbookViewId="0">
      <selection activeCell="D213" sqref="D213:E213"/>
    </sheetView>
  </sheetViews>
  <sheetFormatPr defaultRowHeight="15"/>
  <cols>
    <col min="1" max="1" width="96.85546875" style="1127" customWidth="1"/>
    <col min="2" max="2" width="31.28515625" style="1127" customWidth="1"/>
    <col min="3" max="3" width="17.140625" style="1127" customWidth="1"/>
    <col min="4" max="7" width="18.85546875" style="1127" customWidth="1"/>
    <col min="8" max="8" width="15.28515625" style="1127" customWidth="1"/>
    <col min="9" max="9" width="17.7109375" style="1127" customWidth="1"/>
    <col min="10" max="10" width="16.85546875" style="1127" customWidth="1"/>
    <col min="11" max="11" width="18.5703125" style="1127" customWidth="1"/>
    <col min="12" max="12" width="16.42578125" style="1127" customWidth="1"/>
    <col min="13" max="13" width="15.42578125" style="1127" customWidth="1"/>
    <col min="14" max="14" width="14.85546875" style="1127" customWidth="1"/>
    <col min="15" max="15" width="14.42578125" style="1127" customWidth="1"/>
    <col min="16" max="25" width="14.5703125" style="1127" customWidth="1"/>
    <col min="26" max="1024" width="9.42578125" style="1127" customWidth="1"/>
  </cols>
  <sheetData>
    <row r="1" spans="1:25" s="1125" customFormat="1" ht="31.5">
      <c r="A1" s="1124" t="s">
        <v>0</v>
      </c>
      <c r="B1" s="2510" t="s">
        <v>339</v>
      </c>
      <c r="C1" s="2510"/>
      <c r="D1" s="2510"/>
      <c r="E1" s="2510"/>
      <c r="F1" s="2510"/>
    </row>
    <row r="2" spans="1:25" s="1125" customFormat="1" ht="20.100000000000001" customHeight="1"/>
    <row r="3" spans="1:25" s="1126" customFormat="1" ht="20.100000000000001" customHeight="1">
      <c r="A3" s="2511" t="s">
        <v>1</v>
      </c>
      <c r="B3" s="2511"/>
      <c r="C3" s="2511"/>
      <c r="D3" s="2511"/>
      <c r="E3" s="2511"/>
      <c r="F3" s="2512"/>
      <c r="G3" s="2512"/>
      <c r="H3" s="2512"/>
      <c r="I3" s="2512"/>
      <c r="J3" s="2512"/>
      <c r="K3" s="2512"/>
      <c r="L3" s="2512"/>
      <c r="M3" s="2512"/>
      <c r="N3" s="2512"/>
      <c r="O3" s="2512"/>
    </row>
    <row r="4" spans="1:25" s="1126" customFormat="1" ht="20.100000000000001" customHeight="1">
      <c r="A4" s="2513" t="s">
        <v>310</v>
      </c>
      <c r="B4" s="2513"/>
      <c r="C4" s="2513"/>
      <c r="D4" s="2513"/>
      <c r="E4" s="2513"/>
      <c r="F4" s="2513"/>
      <c r="G4" s="2513"/>
      <c r="H4" s="2513"/>
      <c r="I4" s="2513"/>
      <c r="J4" s="2513"/>
      <c r="K4" s="2513"/>
      <c r="L4" s="2513"/>
      <c r="M4" s="2513"/>
      <c r="N4" s="2513"/>
      <c r="O4" s="2513"/>
    </row>
    <row r="5" spans="1:25" s="1126" customFormat="1" ht="20.100000000000001" customHeight="1">
      <c r="A5" s="2513"/>
      <c r="B5" s="2513"/>
      <c r="C5" s="2513"/>
      <c r="D5" s="2513"/>
      <c r="E5" s="2513"/>
      <c r="F5" s="2513"/>
      <c r="G5" s="2513"/>
      <c r="H5" s="2513"/>
      <c r="I5" s="2513"/>
      <c r="J5" s="2513"/>
      <c r="K5" s="2513"/>
      <c r="L5" s="2513"/>
      <c r="M5" s="2513"/>
      <c r="N5" s="2513"/>
      <c r="O5" s="2513"/>
    </row>
    <row r="6" spans="1:25" s="1126" customFormat="1" ht="20.100000000000001" customHeight="1">
      <c r="A6" s="2513"/>
      <c r="B6" s="2513"/>
      <c r="C6" s="2513"/>
      <c r="D6" s="2513"/>
      <c r="E6" s="2513"/>
      <c r="F6" s="2513"/>
      <c r="G6" s="2513"/>
      <c r="H6" s="2513"/>
      <c r="I6" s="2513"/>
      <c r="J6" s="2513"/>
      <c r="K6" s="2513"/>
      <c r="L6" s="2513"/>
      <c r="M6" s="2513"/>
      <c r="N6" s="2513"/>
      <c r="O6" s="2513"/>
    </row>
    <row r="7" spans="1:25" s="1126" customFormat="1" ht="20.100000000000001" customHeight="1">
      <c r="A7" s="2513"/>
      <c r="B7" s="2513"/>
      <c r="C7" s="2513"/>
      <c r="D7" s="2513"/>
      <c r="E7" s="2513"/>
      <c r="F7" s="2513"/>
      <c r="G7" s="2513"/>
      <c r="H7" s="2513"/>
      <c r="I7" s="2513"/>
      <c r="J7" s="2513"/>
      <c r="K7" s="2513"/>
      <c r="L7" s="2513"/>
      <c r="M7" s="2513"/>
      <c r="N7" s="2513"/>
      <c r="O7" s="2513"/>
    </row>
    <row r="8" spans="1:25" s="1126" customFormat="1" ht="20.100000000000001" customHeight="1">
      <c r="A8" s="2513"/>
      <c r="B8" s="2513"/>
      <c r="C8" s="2513"/>
      <c r="D8" s="2513"/>
      <c r="E8" s="2513"/>
      <c r="F8" s="2513"/>
      <c r="G8" s="2513"/>
      <c r="H8" s="2513"/>
      <c r="I8" s="2513"/>
      <c r="J8" s="2513"/>
      <c r="K8" s="2513"/>
      <c r="L8" s="2513"/>
      <c r="M8" s="2513"/>
      <c r="N8" s="2513"/>
      <c r="O8" s="2513"/>
    </row>
    <row r="9" spans="1:25" s="1126" customFormat="1" ht="20.100000000000001" customHeight="1">
      <c r="A9" s="2513"/>
      <c r="B9" s="2513"/>
      <c r="C9" s="2513"/>
      <c r="D9" s="2513"/>
      <c r="E9" s="2513"/>
      <c r="F9" s="2513"/>
      <c r="G9" s="2513"/>
      <c r="H9" s="2513"/>
      <c r="I9" s="2513"/>
      <c r="J9" s="2513"/>
      <c r="K9" s="2513"/>
      <c r="L9" s="2513"/>
      <c r="M9" s="2513"/>
      <c r="N9" s="2513"/>
      <c r="O9" s="2513"/>
    </row>
    <row r="10" spans="1:25" s="1126" customFormat="1" ht="87" customHeight="1">
      <c r="A10" s="2513"/>
      <c r="B10" s="2513"/>
      <c r="C10" s="2513"/>
      <c r="D10" s="2513"/>
      <c r="E10" s="2513"/>
      <c r="F10" s="2513"/>
      <c r="G10" s="2513"/>
      <c r="H10" s="2513"/>
      <c r="I10" s="2513"/>
      <c r="J10" s="2513"/>
      <c r="K10" s="2513"/>
      <c r="L10" s="2513"/>
      <c r="M10" s="2513"/>
      <c r="N10" s="2513"/>
      <c r="O10" s="2513"/>
    </row>
    <row r="11" spans="1:25" s="1125" customFormat="1" ht="20.100000000000001" customHeight="1"/>
    <row r="12" spans="1:25" customFormat="1">
      <c r="A12" s="1127"/>
      <c r="B12" s="1127"/>
      <c r="C12" s="1127"/>
      <c r="D12" s="1127"/>
      <c r="E12" s="1127"/>
      <c r="F12" s="1127"/>
      <c r="G12" s="1127"/>
      <c r="H12" s="1127"/>
      <c r="I12" s="1127"/>
      <c r="J12" s="1127"/>
      <c r="K12" s="1127"/>
      <c r="L12" s="1127"/>
      <c r="M12" s="1127"/>
      <c r="N12" s="1127"/>
      <c r="O12" s="1127"/>
      <c r="P12" s="1127"/>
      <c r="Q12" s="1127"/>
      <c r="R12" s="1127"/>
      <c r="S12" s="1127"/>
      <c r="T12" s="1127"/>
      <c r="U12" s="1127"/>
      <c r="V12" s="1127"/>
      <c r="W12" s="1127"/>
      <c r="X12" s="1127"/>
      <c r="Y12" s="1127"/>
    </row>
    <row r="13" spans="1:25" customFormat="1" ht="21">
      <c r="A13" s="1128" t="s">
        <v>3</v>
      </c>
      <c r="B13" s="1128"/>
      <c r="C13" s="1129"/>
      <c r="D13" s="1129"/>
      <c r="E13" s="1129"/>
      <c r="F13" s="1129"/>
      <c r="G13" s="1129"/>
      <c r="H13" s="1129"/>
      <c r="I13" s="1129"/>
      <c r="J13" s="1129"/>
      <c r="K13" s="1129"/>
      <c r="L13" s="1129"/>
      <c r="M13" s="1129"/>
      <c r="N13" s="1129"/>
      <c r="O13" s="1129"/>
      <c r="P13" s="1127"/>
      <c r="Q13" s="1127"/>
      <c r="R13" s="1127"/>
      <c r="S13" s="1127"/>
      <c r="T13" s="1127"/>
      <c r="U13" s="1127"/>
      <c r="V13" s="1127"/>
      <c r="W13" s="1127"/>
      <c r="X13" s="1127"/>
      <c r="Y13" s="1127"/>
    </row>
    <row r="14" spans="1:25" customFormat="1">
      <c r="A14" s="1127"/>
      <c r="B14" s="1127"/>
      <c r="C14" s="1127"/>
      <c r="D14" s="1127"/>
      <c r="E14" s="1127"/>
      <c r="F14" s="1127"/>
      <c r="G14" s="1127"/>
      <c r="H14" s="1127"/>
      <c r="I14" s="1127"/>
      <c r="J14" s="1127"/>
      <c r="K14" s="1127"/>
      <c r="L14" s="1127"/>
      <c r="M14" s="1127"/>
      <c r="N14" s="1127"/>
      <c r="O14" s="1127"/>
      <c r="P14" s="1130"/>
      <c r="Q14" s="1130"/>
      <c r="R14" s="1130"/>
      <c r="S14" s="1130"/>
      <c r="T14" s="1130"/>
      <c r="U14" s="1130"/>
      <c r="V14" s="1130"/>
      <c r="W14" s="1130"/>
      <c r="X14" s="1130"/>
      <c r="Y14" s="1127"/>
    </row>
    <row r="15" spans="1:25" s="1138" customFormat="1" ht="22.5" customHeight="1">
      <c r="A15" s="1131"/>
      <c r="B15" s="1132"/>
      <c r="C15" s="1133"/>
      <c r="D15" s="2514" t="s">
        <v>4</v>
      </c>
      <c r="E15" s="2514"/>
      <c r="F15" s="2514"/>
      <c r="G15" s="2514"/>
      <c r="H15" s="1133"/>
      <c r="I15" s="1134" t="s">
        <v>5</v>
      </c>
      <c r="J15" s="1135"/>
      <c r="K15" s="1135"/>
      <c r="L15" s="1135"/>
      <c r="M15" s="1135"/>
      <c r="N15" s="1135"/>
      <c r="O15" s="1133"/>
      <c r="P15" s="1136"/>
      <c r="Q15" s="1136"/>
      <c r="R15" s="1137"/>
      <c r="S15" s="1137"/>
      <c r="T15" s="1137"/>
      <c r="U15" s="1137"/>
      <c r="V15" s="1137"/>
      <c r="W15" s="1136"/>
      <c r="X15" s="1136"/>
      <c r="Y15" s="1136"/>
    </row>
    <row r="16" spans="1:25" s="1147" customFormat="1" ht="129" customHeight="1">
      <c r="A16" s="1139" t="s">
        <v>6</v>
      </c>
      <c r="B16" s="1140" t="s">
        <v>311</v>
      </c>
      <c r="C16" s="1141" t="s">
        <v>8</v>
      </c>
      <c r="D16" s="1142" t="s">
        <v>9</v>
      </c>
      <c r="E16" s="1143" t="s">
        <v>10</v>
      </c>
      <c r="F16" s="1143" t="s">
        <v>11</v>
      </c>
      <c r="G16" s="1144" t="s">
        <v>12</v>
      </c>
      <c r="H16" s="1145" t="s">
        <v>13</v>
      </c>
      <c r="I16" s="1141" t="s">
        <v>14</v>
      </c>
      <c r="J16" s="1141" t="s">
        <v>15</v>
      </c>
      <c r="K16" s="1141" t="s">
        <v>16</v>
      </c>
      <c r="L16" s="1141" t="s">
        <v>312</v>
      </c>
      <c r="M16" s="1145" t="s">
        <v>18</v>
      </c>
      <c r="N16" s="1141" t="s">
        <v>19</v>
      </c>
      <c r="O16" s="1141" t="s">
        <v>20</v>
      </c>
      <c r="P16" s="1146"/>
      <c r="Q16" s="1146"/>
      <c r="R16" s="1146"/>
      <c r="S16" s="1146"/>
      <c r="T16" s="1146"/>
      <c r="U16" s="1146"/>
      <c r="V16" s="1146"/>
      <c r="W16" s="1146"/>
      <c r="X16" s="1146"/>
      <c r="Y16" s="1146"/>
    </row>
    <row r="17" spans="1:25" customFormat="1" ht="15" customHeight="1">
      <c r="A17" s="2505" t="s">
        <v>313</v>
      </c>
      <c r="B17" s="2506"/>
      <c r="C17" s="1148">
        <v>2014</v>
      </c>
      <c r="D17" s="1149"/>
      <c r="E17" s="1148"/>
      <c r="F17" s="1148"/>
      <c r="G17" s="1150">
        <v>0</v>
      </c>
      <c r="H17" s="1148"/>
      <c r="I17" s="1148"/>
      <c r="J17" s="1148"/>
      <c r="K17" s="1148"/>
      <c r="L17" s="1148"/>
      <c r="M17" s="1148"/>
      <c r="N17" s="1148"/>
      <c r="O17" s="1148"/>
      <c r="P17" s="1151"/>
      <c r="Q17" s="1151"/>
      <c r="R17" s="1151"/>
      <c r="S17" s="1151"/>
      <c r="T17" s="1151"/>
      <c r="U17" s="1151"/>
      <c r="V17" s="1151"/>
      <c r="W17" s="1151"/>
      <c r="X17" s="1151"/>
      <c r="Y17" s="1151"/>
    </row>
    <row r="18" spans="1:25" customFormat="1">
      <c r="A18" s="2507"/>
      <c r="B18" s="2506"/>
      <c r="C18" s="1152">
        <v>2015</v>
      </c>
      <c r="D18" s="1153">
        <v>5</v>
      </c>
      <c r="E18" s="1152">
        <v>0</v>
      </c>
      <c r="F18" s="1152">
        <v>0</v>
      </c>
      <c r="G18" s="1150">
        <f>SUM(D18:F18)</f>
        <v>5</v>
      </c>
      <c r="H18" s="1152">
        <v>1</v>
      </c>
      <c r="I18" s="1152">
        <v>0</v>
      </c>
      <c r="J18" s="1152">
        <v>0</v>
      </c>
      <c r="K18" s="1152">
        <v>0</v>
      </c>
      <c r="L18" s="1152">
        <v>0</v>
      </c>
      <c r="M18" s="1152">
        <v>0</v>
      </c>
      <c r="N18" s="1152">
        <v>0</v>
      </c>
      <c r="O18" s="1154">
        <v>4</v>
      </c>
      <c r="P18" s="1151"/>
      <c r="Q18" s="1151"/>
      <c r="R18" s="1151"/>
      <c r="S18" s="1151"/>
      <c r="T18" s="1151"/>
      <c r="U18" s="1151"/>
      <c r="V18" s="1151"/>
      <c r="W18" s="1151"/>
      <c r="X18" s="1151"/>
      <c r="Y18" s="1151"/>
    </row>
    <row r="19" spans="1:25" customFormat="1">
      <c r="A19" s="2507"/>
      <c r="B19" s="2506"/>
      <c r="C19" s="1152">
        <v>2016</v>
      </c>
      <c r="D19" s="1155">
        <v>12</v>
      </c>
      <c r="E19" s="1152">
        <v>2</v>
      </c>
      <c r="F19" s="1152">
        <v>2</v>
      </c>
      <c r="G19" s="1150">
        <f>SUM(D19:F19)</f>
        <v>16</v>
      </c>
      <c r="H19" s="1152">
        <v>0</v>
      </c>
      <c r="I19" s="1152">
        <v>0</v>
      </c>
      <c r="J19" s="1152">
        <v>0</v>
      </c>
      <c r="K19" s="1152">
        <v>1</v>
      </c>
      <c r="L19" s="1152">
        <v>0</v>
      </c>
      <c r="M19" s="1152">
        <v>0</v>
      </c>
      <c r="N19" s="1152">
        <v>0</v>
      </c>
      <c r="O19" s="1156">
        <v>15</v>
      </c>
      <c r="P19" s="1151"/>
      <c r="Q19" s="1151"/>
      <c r="R19" s="1151"/>
      <c r="S19" s="1151"/>
      <c r="T19" s="1151"/>
      <c r="U19" s="1151"/>
      <c r="V19" s="1151"/>
      <c r="W19" s="1151"/>
      <c r="X19" s="1151"/>
      <c r="Y19" s="1151"/>
    </row>
    <row r="20" spans="1:25" customFormat="1">
      <c r="A20" s="2507"/>
      <c r="B20" s="2506"/>
      <c r="C20" s="1152">
        <v>2017</v>
      </c>
      <c r="D20" s="1155"/>
      <c r="E20" s="1152"/>
      <c r="F20" s="1152"/>
      <c r="G20" s="1150">
        <v>0</v>
      </c>
      <c r="H20" s="1152"/>
      <c r="I20" s="1152"/>
      <c r="J20" s="1152"/>
      <c r="K20" s="1152"/>
      <c r="L20" s="1152"/>
      <c r="M20" s="1152"/>
      <c r="N20" s="1152"/>
      <c r="O20" s="1156"/>
      <c r="P20" s="1151"/>
      <c r="Q20" s="1151"/>
      <c r="R20" s="1151"/>
      <c r="S20" s="1151"/>
      <c r="T20" s="1151"/>
      <c r="U20" s="1151"/>
      <c r="V20" s="1151"/>
      <c r="W20" s="1151"/>
      <c r="X20" s="1151"/>
      <c r="Y20" s="1151"/>
    </row>
    <row r="21" spans="1:25" customFormat="1">
      <c r="A21" s="2507"/>
      <c r="B21" s="2506"/>
      <c r="C21" s="1152">
        <v>2018</v>
      </c>
      <c r="D21" s="1155"/>
      <c r="E21" s="1152"/>
      <c r="F21" s="1152"/>
      <c r="G21" s="1150">
        <v>0</v>
      </c>
      <c r="H21" s="1152"/>
      <c r="I21" s="1152"/>
      <c r="J21" s="1152"/>
      <c r="K21" s="1152"/>
      <c r="L21" s="1152"/>
      <c r="M21" s="1152"/>
      <c r="N21" s="1152"/>
      <c r="O21" s="1156"/>
      <c r="P21" s="1151"/>
      <c r="Q21" s="1151"/>
      <c r="R21" s="1151"/>
      <c r="S21" s="1151"/>
      <c r="T21" s="1151"/>
      <c r="U21" s="1151"/>
      <c r="V21" s="1151"/>
      <c r="W21" s="1151"/>
      <c r="X21" s="1151"/>
      <c r="Y21" s="1151"/>
    </row>
    <row r="22" spans="1:25" customFormat="1">
      <c r="A22" s="2507"/>
      <c r="B22" s="2506"/>
      <c r="C22" s="1157">
        <v>2019</v>
      </c>
      <c r="D22" s="1155"/>
      <c r="E22" s="1152"/>
      <c r="F22" s="1152"/>
      <c r="G22" s="1150">
        <v>0</v>
      </c>
      <c r="H22" s="1152"/>
      <c r="I22" s="1152"/>
      <c r="J22" s="1152"/>
      <c r="K22" s="1152"/>
      <c r="L22" s="1152"/>
      <c r="M22" s="1152"/>
      <c r="N22" s="1152"/>
      <c r="O22" s="1156"/>
      <c r="P22" s="1151"/>
      <c r="Q22" s="1151"/>
      <c r="R22" s="1151"/>
      <c r="S22" s="1151"/>
      <c r="T22" s="1151"/>
      <c r="U22" s="1151"/>
      <c r="V22" s="1151"/>
      <c r="W22" s="1151"/>
      <c r="X22" s="1151"/>
      <c r="Y22" s="1151"/>
    </row>
    <row r="23" spans="1:25" customFormat="1">
      <c r="A23" s="2507"/>
      <c r="B23" s="2506"/>
      <c r="C23" s="1152">
        <v>2020</v>
      </c>
      <c r="D23" s="1155"/>
      <c r="E23" s="1152"/>
      <c r="F23" s="1152"/>
      <c r="G23" s="1150">
        <v>0</v>
      </c>
      <c r="H23" s="1152"/>
      <c r="I23" s="1152"/>
      <c r="J23" s="1152"/>
      <c r="K23" s="1152"/>
      <c r="L23" s="1152"/>
      <c r="M23" s="1152"/>
      <c r="N23" s="1152"/>
      <c r="O23" s="1156"/>
      <c r="P23" s="1151"/>
      <c r="Q23" s="1151"/>
      <c r="R23" s="1151"/>
      <c r="S23" s="1151"/>
      <c r="T23" s="1151"/>
      <c r="U23" s="1151"/>
      <c r="V23" s="1151"/>
      <c r="W23" s="1151"/>
      <c r="X23" s="1151"/>
      <c r="Y23" s="1151"/>
    </row>
    <row r="24" spans="1:25" customFormat="1" ht="35.25" customHeight="1">
      <c r="A24" s="2508"/>
      <c r="B24" s="2509"/>
      <c r="C24" s="1158" t="s">
        <v>12</v>
      </c>
      <c r="D24" s="1159">
        <f t="shared" ref="D24:O24" si="0">SUM(D18:D23)</f>
        <v>17</v>
      </c>
      <c r="E24" s="1160">
        <f t="shared" si="0"/>
        <v>2</v>
      </c>
      <c r="F24" s="1160">
        <f t="shared" si="0"/>
        <v>2</v>
      </c>
      <c r="G24" s="1150">
        <f t="shared" si="0"/>
        <v>21</v>
      </c>
      <c r="H24" s="1160">
        <f t="shared" si="0"/>
        <v>1</v>
      </c>
      <c r="I24" s="1161">
        <f t="shared" si="0"/>
        <v>0</v>
      </c>
      <c r="J24" s="1161">
        <f t="shared" si="0"/>
        <v>0</v>
      </c>
      <c r="K24" s="1161">
        <f t="shared" si="0"/>
        <v>1</v>
      </c>
      <c r="L24" s="1161">
        <f t="shared" si="0"/>
        <v>0</v>
      </c>
      <c r="M24" s="1161">
        <f t="shared" si="0"/>
        <v>0</v>
      </c>
      <c r="N24" s="1161">
        <f t="shared" si="0"/>
        <v>0</v>
      </c>
      <c r="O24" s="1160">
        <f t="shared" si="0"/>
        <v>19</v>
      </c>
      <c r="P24" s="1151"/>
      <c r="Q24" s="1151"/>
      <c r="R24" s="1151"/>
      <c r="S24" s="1151"/>
      <c r="T24" s="1151"/>
      <c r="U24" s="1151"/>
      <c r="V24" s="1151"/>
      <c r="W24" s="1151"/>
      <c r="X24" s="1151"/>
      <c r="Y24" s="1151"/>
    </row>
    <row r="25" spans="1:25" customFormat="1">
      <c r="A25" s="1127"/>
      <c r="B25" s="1127"/>
      <c r="C25" s="1162"/>
      <c r="D25" s="1127"/>
      <c r="E25" s="1127"/>
      <c r="F25" s="1127"/>
      <c r="G25" s="1127"/>
      <c r="H25" s="1130"/>
      <c r="I25" s="1130"/>
      <c r="J25" s="1130"/>
      <c r="K25" s="1130"/>
      <c r="L25" s="1130"/>
      <c r="M25" s="1130"/>
      <c r="N25" s="1130"/>
      <c r="O25" s="1130"/>
      <c r="P25" s="1130"/>
      <c r="Q25" s="1130"/>
      <c r="R25" s="1127"/>
      <c r="S25" s="1127"/>
      <c r="T25" s="1127"/>
      <c r="U25" s="1127"/>
      <c r="V25" s="1127"/>
      <c r="W25" s="1127"/>
      <c r="X25" s="1127"/>
      <c r="Y25" s="1127"/>
    </row>
    <row r="26" spans="1:25" s="1138" customFormat="1" ht="30.75" customHeight="1">
      <c r="A26" s="1131"/>
      <c r="B26" s="1132"/>
      <c r="C26" s="1163"/>
      <c r="D26" s="2515" t="s">
        <v>4</v>
      </c>
      <c r="E26" s="2515"/>
      <c r="F26" s="2515"/>
      <c r="G26" s="2515"/>
      <c r="H26" s="1136"/>
      <c r="I26" s="1136"/>
      <c r="J26" s="1137"/>
      <c r="K26" s="1137"/>
      <c r="L26" s="1137"/>
      <c r="M26" s="1137"/>
      <c r="N26" s="1137"/>
      <c r="O26" s="1136"/>
      <c r="P26" s="1136"/>
    </row>
    <row r="27" spans="1:25" s="1147" customFormat="1" ht="93" customHeight="1">
      <c r="A27" s="1164" t="s">
        <v>22</v>
      </c>
      <c r="B27" s="1140" t="s">
        <v>311</v>
      </c>
      <c r="C27" s="1165" t="s">
        <v>8</v>
      </c>
      <c r="D27" s="1143" t="s">
        <v>9</v>
      </c>
      <c r="E27" s="1143" t="s">
        <v>10</v>
      </c>
      <c r="F27" s="1143" t="s">
        <v>11</v>
      </c>
      <c r="G27" s="1166" t="s">
        <v>12</v>
      </c>
      <c r="H27" s="1146"/>
      <c r="I27" s="1146"/>
      <c r="J27" s="1146"/>
      <c r="K27" s="1146"/>
      <c r="L27" s="1146"/>
      <c r="M27" s="1146"/>
      <c r="N27" s="1146"/>
      <c r="O27" s="1146"/>
      <c r="P27" s="1146"/>
      <c r="Q27" s="1138"/>
    </row>
    <row r="28" spans="1:25" customFormat="1" ht="15" customHeight="1">
      <c r="A28" s="2507" t="s">
        <v>314</v>
      </c>
      <c r="B28" s="2506"/>
      <c r="C28" s="1167">
        <v>2014</v>
      </c>
      <c r="D28" s="1148"/>
      <c r="E28" s="1148"/>
      <c r="F28" s="1148"/>
      <c r="G28" s="1160">
        <v>0</v>
      </c>
      <c r="H28" s="1151"/>
      <c r="I28" s="1151"/>
      <c r="J28" s="1151"/>
      <c r="K28" s="1151"/>
      <c r="L28" s="1151"/>
      <c r="M28" s="1151"/>
      <c r="N28" s="1151"/>
      <c r="O28" s="1151"/>
      <c r="P28" s="1151"/>
      <c r="Q28" s="1130"/>
      <c r="R28" s="1127"/>
      <c r="S28" s="1127"/>
      <c r="T28" s="1127"/>
      <c r="U28" s="1127"/>
      <c r="V28" s="1127"/>
      <c r="W28" s="1127"/>
      <c r="X28" s="1127"/>
      <c r="Y28" s="1127"/>
    </row>
    <row r="29" spans="1:25" customFormat="1">
      <c r="A29" s="2507"/>
      <c r="B29" s="2506"/>
      <c r="C29" s="1168">
        <v>2015</v>
      </c>
      <c r="D29" s="1169">
        <v>984</v>
      </c>
      <c r="E29" s="1169">
        <v>0</v>
      </c>
      <c r="F29" s="1169">
        <v>0</v>
      </c>
      <c r="G29" s="1170">
        <f>SUM(D29:F29)</f>
        <v>984</v>
      </c>
      <c r="H29" s="1151"/>
      <c r="I29" s="1151"/>
      <c r="J29" s="1151"/>
      <c r="K29" s="1151"/>
      <c r="L29" s="1151"/>
      <c r="M29" s="1151"/>
      <c r="N29" s="1151"/>
      <c r="O29" s="1151"/>
      <c r="P29" s="1151"/>
      <c r="Q29" s="1130"/>
      <c r="R29" s="1127"/>
      <c r="S29" s="1127"/>
      <c r="T29" s="1127"/>
      <c r="U29" s="1127"/>
      <c r="V29" s="1127"/>
      <c r="W29" s="1127"/>
      <c r="X29" s="1127"/>
      <c r="Y29" s="1127"/>
    </row>
    <row r="30" spans="1:25" customFormat="1">
      <c r="A30" s="2507"/>
      <c r="B30" s="2506"/>
      <c r="C30" s="1168">
        <v>2016</v>
      </c>
      <c r="D30" s="1171">
        <v>12390</v>
      </c>
      <c r="E30" s="1171">
        <v>90000</v>
      </c>
      <c r="F30" s="1171">
        <v>30000</v>
      </c>
      <c r="G30" s="1172">
        <f>SUM(D30:F30)</f>
        <v>132390</v>
      </c>
      <c r="H30" s="1151"/>
      <c r="I30" s="1151"/>
      <c r="J30" s="1151"/>
      <c r="K30" s="1151"/>
      <c r="L30" s="1151"/>
      <c r="M30" s="1151"/>
      <c r="N30" s="1151"/>
      <c r="O30" s="1151"/>
      <c r="P30" s="1151"/>
      <c r="Q30" s="1130"/>
      <c r="R30" s="1127"/>
      <c r="S30" s="1127"/>
      <c r="T30" s="1127"/>
      <c r="U30" s="1127"/>
      <c r="V30" s="1127"/>
      <c r="W30" s="1127"/>
      <c r="X30" s="1127"/>
      <c r="Y30" s="1127"/>
    </row>
    <row r="31" spans="1:25" customFormat="1">
      <c r="A31" s="2507"/>
      <c r="B31" s="2506"/>
      <c r="C31" s="1168">
        <v>2017</v>
      </c>
      <c r="D31" s="1173"/>
      <c r="E31" s="1173"/>
      <c r="F31" s="1173"/>
      <c r="G31" s="1172">
        <v>0</v>
      </c>
      <c r="H31" s="1151"/>
      <c r="I31" s="1151"/>
      <c r="J31" s="1151"/>
      <c r="K31" s="1151"/>
      <c r="L31" s="1151"/>
      <c r="M31" s="1151"/>
      <c r="N31" s="1151"/>
      <c r="O31" s="1151"/>
      <c r="P31" s="1151"/>
      <c r="Q31" s="1130"/>
      <c r="R31" s="1127"/>
      <c r="S31" s="1127"/>
      <c r="T31" s="1127"/>
      <c r="U31" s="1127"/>
      <c r="V31" s="1127"/>
      <c r="W31" s="1127"/>
      <c r="X31" s="1127"/>
      <c r="Y31" s="1127"/>
    </row>
    <row r="32" spans="1:25" customFormat="1">
      <c r="A32" s="2507"/>
      <c r="B32" s="2506"/>
      <c r="C32" s="1168">
        <v>2018</v>
      </c>
      <c r="D32" s="1173"/>
      <c r="E32" s="1173"/>
      <c r="F32" s="1173"/>
      <c r="G32" s="1172">
        <v>0</v>
      </c>
      <c r="H32" s="1151"/>
      <c r="I32" s="1151"/>
      <c r="J32" s="1151"/>
      <c r="K32" s="1151"/>
      <c r="L32" s="1151"/>
      <c r="M32" s="1151"/>
      <c r="N32" s="1151"/>
      <c r="O32" s="1151"/>
      <c r="P32" s="1151"/>
      <c r="Q32" s="1130"/>
      <c r="R32" s="1127"/>
      <c r="S32" s="1127"/>
      <c r="T32" s="1127"/>
      <c r="U32" s="1127"/>
      <c r="V32" s="1127"/>
      <c r="W32" s="1127"/>
      <c r="X32" s="1127"/>
      <c r="Y32" s="1127"/>
    </row>
    <row r="33" spans="1:17" customFormat="1">
      <c r="A33" s="2507"/>
      <c r="B33" s="2506"/>
      <c r="C33" s="1174">
        <v>2019</v>
      </c>
      <c r="D33" s="1173"/>
      <c r="E33" s="1173"/>
      <c r="F33" s="1173"/>
      <c r="G33" s="1172">
        <v>0</v>
      </c>
      <c r="H33" s="1151"/>
      <c r="I33" s="1151"/>
      <c r="J33" s="1151"/>
      <c r="K33" s="1151"/>
      <c r="L33" s="1151"/>
      <c r="M33" s="1151"/>
      <c r="N33" s="1151"/>
      <c r="O33" s="1151"/>
      <c r="P33" s="1151"/>
      <c r="Q33" s="1130"/>
    </row>
    <row r="34" spans="1:17" customFormat="1">
      <c r="A34" s="2507"/>
      <c r="B34" s="2506"/>
      <c r="C34" s="1168">
        <v>2020</v>
      </c>
      <c r="D34" s="1173"/>
      <c r="E34" s="1173"/>
      <c r="F34" s="1173"/>
      <c r="G34" s="1172">
        <v>0</v>
      </c>
      <c r="H34" s="1151"/>
      <c r="I34" s="1151"/>
      <c r="J34" s="1151"/>
      <c r="K34" s="1151"/>
      <c r="L34" s="1151"/>
      <c r="M34" s="1151"/>
      <c r="N34" s="1151"/>
      <c r="O34" s="1151"/>
      <c r="P34" s="1151"/>
      <c r="Q34" s="1130"/>
    </row>
    <row r="35" spans="1:17" customFormat="1" ht="66.75" customHeight="1">
      <c r="A35" s="2508"/>
      <c r="B35" s="2509"/>
      <c r="C35" s="1175" t="s">
        <v>12</v>
      </c>
      <c r="D35" s="1172">
        <f>SUM(D29:D34)</f>
        <v>13374</v>
      </c>
      <c r="E35" s="1172">
        <f>SUM(E29:E34)</f>
        <v>90000</v>
      </c>
      <c r="F35" s="1172">
        <f>SUM(F29:F34)</f>
        <v>30000</v>
      </c>
      <c r="G35" s="1172">
        <f>SUM(G29:G34)</f>
        <v>133374</v>
      </c>
      <c r="H35" s="1151"/>
      <c r="I35" s="1151"/>
      <c r="J35" s="1151"/>
      <c r="K35" s="1151"/>
      <c r="L35" s="1151"/>
      <c r="M35" s="1151"/>
      <c r="N35" s="1151"/>
      <c r="O35" s="1151"/>
      <c r="P35" s="1151"/>
      <c r="Q35" s="1130"/>
    </row>
    <row r="36" spans="1:17" customFormat="1">
      <c r="A36" s="1176"/>
      <c r="B36" s="1176"/>
      <c r="C36" s="1162"/>
      <c r="D36" s="1127"/>
      <c r="E36" s="1127"/>
      <c r="F36" s="1127"/>
      <c r="G36" s="1127"/>
      <c r="H36" s="1130"/>
      <c r="I36" s="1130"/>
      <c r="J36" s="1130"/>
      <c r="K36" s="1130"/>
      <c r="L36" s="1130"/>
      <c r="M36" s="1130"/>
      <c r="N36" s="1130"/>
      <c r="O36" s="1130"/>
      <c r="P36" s="1130"/>
      <c r="Q36" s="1130"/>
    </row>
    <row r="37" spans="1:17" customFormat="1" ht="21" customHeight="1">
      <c r="A37" s="1177" t="s">
        <v>24</v>
      </c>
      <c r="B37" s="1177"/>
      <c r="C37" s="1178"/>
      <c r="D37" s="1178"/>
      <c r="E37" s="1178"/>
      <c r="F37" s="1151"/>
      <c r="G37" s="1151"/>
      <c r="H37" s="1151"/>
      <c r="I37" s="1179"/>
      <c r="J37" s="1179"/>
      <c r="K37" s="1179"/>
      <c r="L37" s="1127"/>
      <c r="M37" s="1127"/>
      <c r="N37" s="1127"/>
      <c r="O37" s="1127"/>
      <c r="P37" s="1127"/>
      <c r="Q37" s="1127"/>
    </row>
    <row r="38" spans="1:17" customFormat="1" ht="12.75" customHeight="1">
      <c r="A38" s="1127"/>
      <c r="B38" s="1127"/>
      <c r="C38" s="1127"/>
      <c r="D38" s="1127"/>
      <c r="E38" s="1127"/>
      <c r="F38" s="1127"/>
      <c r="G38" s="1151"/>
      <c r="H38" s="1151"/>
      <c r="I38" s="1127"/>
      <c r="J38" s="1127"/>
      <c r="K38" s="1127"/>
      <c r="L38" s="1127"/>
      <c r="M38" s="1127"/>
      <c r="N38" s="1127"/>
      <c r="O38" s="1127"/>
      <c r="P38" s="1127"/>
      <c r="Q38" s="1127"/>
    </row>
    <row r="39" spans="1:17" customFormat="1" ht="88.5" customHeight="1">
      <c r="A39" s="1180" t="s">
        <v>25</v>
      </c>
      <c r="B39" s="1181" t="s">
        <v>311</v>
      </c>
      <c r="C39" s="1182" t="s">
        <v>8</v>
      </c>
      <c r="D39" s="1183" t="s">
        <v>26</v>
      </c>
      <c r="E39" s="1184" t="s">
        <v>27</v>
      </c>
      <c r="F39" s="1185"/>
      <c r="G39" s="1146"/>
      <c r="H39" s="1146"/>
      <c r="I39" s="1127"/>
      <c r="J39" s="1127"/>
      <c r="K39" s="1127"/>
      <c r="L39" s="1127"/>
      <c r="M39" s="1127"/>
      <c r="N39" s="1127"/>
      <c r="O39" s="1127"/>
      <c r="P39" s="1127"/>
      <c r="Q39" s="1127"/>
    </row>
    <row r="40" spans="1:17" customFormat="1">
      <c r="A40" s="2516" t="s">
        <v>315</v>
      </c>
      <c r="B40" s="2516"/>
      <c r="C40" s="1186">
        <v>2014</v>
      </c>
      <c r="D40" s="1149"/>
      <c r="E40" s="1148"/>
      <c r="F40" s="1130"/>
      <c r="G40" s="1151"/>
      <c r="H40" s="1151"/>
      <c r="I40" s="1127"/>
      <c r="J40" s="1127"/>
      <c r="K40" s="1127"/>
      <c r="L40" s="1127"/>
      <c r="M40" s="1127"/>
      <c r="N40" s="1127"/>
      <c r="O40" s="1127"/>
      <c r="P40" s="1127"/>
      <c r="Q40" s="1127"/>
    </row>
    <row r="41" spans="1:17" customFormat="1">
      <c r="A41" s="2516"/>
      <c r="B41" s="2516"/>
      <c r="C41" s="1187">
        <v>2015</v>
      </c>
      <c r="D41" s="1188">
        <v>12550</v>
      </c>
      <c r="E41" s="1169">
        <v>2265</v>
      </c>
      <c r="F41" s="1130"/>
      <c r="G41" s="1151"/>
      <c r="H41" s="1151"/>
      <c r="I41" s="1127"/>
      <c r="J41" s="1127"/>
      <c r="K41" s="1127"/>
      <c r="L41" s="1127"/>
      <c r="M41" s="1127"/>
      <c r="N41" s="1127"/>
      <c r="O41" s="1127"/>
      <c r="P41" s="1127"/>
      <c r="Q41" s="1127"/>
    </row>
    <row r="42" spans="1:17" customFormat="1">
      <c r="A42" s="2516"/>
      <c r="B42" s="2516"/>
      <c r="C42" s="1187">
        <v>2016</v>
      </c>
      <c r="D42" s="1189">
        <v>68992</v>
      </c>
      <c r="E42" s="1190">
        <v>16134</v>
      </c>
      <c r="F42" s="1130"/>
      <c r="G42" s="1151"/>
      <c r="H42" s="1151"/>
      <c r="I42" s="1127"/>
      <c r="J42" s="1127"/>
      <c r="K42" s="1127"/>
      <c r="L42" s="1127"/>
      <c r="M42" s="1127"/>
      <c r="N42" s="1127"/>
      <c r="O42" s="1127"/>
      <c r="P42" s="1127"/>
      <c r="Q42" s="1127"/>
    </row>
    <row r="43" spans="1:17" customFormat="1">
      <c r="A43" s="2516"/>
      <c r="B43" s="2516"/>
      <c r="C43" s="1187">
        <v>2017</v>
      </c>
      <c r="D43" s="1188"/>
      <c r="E43" s="1169"/>
      <c r="F43" s="1130"/>
      <c r="G43" s="1151"/>
      <c r="H43" s="1151"/>
      <c r="I43" s="1127"/>
      <c r="J43" s="1127"/>
      <c r="K43" s="1127"/>
      <c r="L43" s="1127"/>
      <c r="M43" s="1127"/>
      <c r="N43" s="1127"/>
      <c r="O43" s="1127"/>
      <c r="P43" s="1127"/>
      <c r="Q43" s="1127"/>
    </row>
    <row r="44" spans="1:17" customFormat="1">
      <c r="A44" s="2516"/>
      <c r="B44" s="2516"/>
      <c r="C44" s="1187">
        <v>2018</v>
      </c>
      <c r="D44" s="1188"/>
      <c r="E44" s="1169"/>
      <c r="F44" s="1130"/>
      <c r="G44" s="1151"/>
      <c r="H44" s="1151"/>
      <c r="I44" s="1127"/>
      <c r="J44" s="1127"/>
      <c r="K44" s="1127"/>
      <c r="L44" s="1127"/>
      <c r="M44" s="1127"/>
      <c r="N44" s="1127"/>
      <c r="O44" s="1127"/>
      <c r="P44" s="1127"/>
      <c r="Q44" s="1127"/>
    </row>
    <row r="45" spans="1:17" customFormat="1">
      <c r="A45" s="2516"/>
      <c r="B45" s="2516"/>
      <c r="C45" s="1187">
        <v>2019</v>
      </c>
      <c r="D45" s="1188"/>
      <c r="E45" s="1169"/>
      <c r="F45" s="1130"/>
      <c r="G45" s="1151"/>
      <c r="H45" s="1151"/>
      <c r="I45" s="1127"/>
      <c r="J45" s="1127"/>
      <c r="K45" s="1127"/>
      <c r="L45" s="1127"/>
      <c r="M45" s="1127"/>
      <c r="N45" s="1127"/>
      <c r="O45" s="1127"/>
      <c r="P45" s="1127"/>
      <c r="Q45" s="1127"/>
    </row>
    <row r="46" spans="1:17" customFormat="1">
      <c r="A46" s="2516"/>
      <c r="B46" s="2516"/>
      <c r="C46" s="1187">
        <v>2020</v>
      </c>
      <c r="D46" s="1188"/>
      <c r="E46" s="1169"/>
      <c r="F46" s="1130"/>
      <c r="G46" s="1151"/>
      <c r="H46" s="1151"/>
      <c r="I46" s="1127"/>
      <c r="J46" s="1127"/>
      <c r="K46" s="1127"/>
      <c r="L46" s="1127"/>
      <c r="M46" s="1127"/>
      <c r="N46" s="1127"/>
      <c r="O46" s="1127"/>
      <c r="P46" s="1127"/>
      <c r="Q46" s="1127"/>
    </row>
    <row r="47" spans="1:17" customFormat="1">
      <c r="A47" s="2516"/>
      <c r="B47" s="2516"/>
      <c r="C47" s="1158" t="s">
        <v>12</v>
      </c>
      <c r="D47" s="1159">
        <f>SUM(D41:D46)</f>
        <v>81542</v>
      </c>
      <c r="E47" s="1160">
        <f>SUM(E41:E46)</f>
        <v>18399</v>
      </c>
      <c r="F47" s="1191"/>
      <c r="G47" s="1151"/>
      <c r="H47" s="1151"/>
      <c r="I47" s="1127"/>
      <c r="J47" s="1127"/>
      <c r="K47" s="1127"/>
      <c r="L47" s="1127"/>
      <c r="M47" s="1127"/>
      <c r="N47" s="1127"/>
      <c r="O47" s="1127"/>
      <c r="P47" s="1127"/>
      <c r="Q47" s="1127"/>
    </row>
    <row r="48" spans="1:17" s="1151" customFormat="1">
      <c r="A48" s="1192"/>
      <c r="B48" s="1193"/>
      <c r="C48" s="1194"/>
    </row>
    <row r="49" spans="1:15" customFormat="1" ht="83.25" customHeight="1">
      <c r="A49" s="1195" t="s">
        <v>29</v>
      </c>
      <c r="B49" s="1181" t="s">
        <v>311</v>
      </c>
      <c r="C49" s="1196" t="s">
        <v>8</v>
      </c>
      <c r="D49" s="1183" t="s">
        <v>30</v>
      </c>
      <c r="E49" s="1184" t="s">
        <v>31</v>
      </c>
      <c r="F49" s="1184" t="s">
        <v>32</v>
      </c>
      <c r="G49" s="1184" t="s">
        <v>33</v>
      </c>
      <c r="H49" s="1184" t="s">
        <v>34</v>
      </c>
      <c r="I49" s="1184" t="s">
        <v>35</v>
      </c>
      <c r="J49" s="1184" t="s">
        <v>36</v>
      </c>
      <c r="K49" s="1184" t="s">
        <v>37</v>
      </c>
      <c r="L49" s="1127"/>
      <c r="M49" s="1127"/>
      <c r="N49" s="1127"/>
      <c r="O49" s="1127"/>
    </row>
    <row r="50" spans="1:15" customFormat="1" ht="17.25" customHeight="1">
      <c r="A50" s="2517" t="s">
        <v>225</v>
      </c>
      <c r="B50" s="2517"/>
      <c r="C50" s="1197" t="s">
        <v>38</v>
      </c>
      <c r="D50" s="1149"/>
      <c r="E50" s="1148"/>
      <c r="F50" s="1148"/>
      <c r="G50" s="1148"/>
      <c r="H50" s="1148"/>
      <c r="I50" s="1148"/>
      <c r="J50" s="1148"/>
      <c r="K50" s="1148"/>
      <c r="L50" s="1127"/>
      <c r="M50" s="1127"/>
      <c r="N50" s="1127"/>
      <c r="O50" s="1127"/>
    </row>
    <row r="51" spans="1:15" customFormat="1" ht="15" customHeight="1">
      <c r="A51" s="2517"/>
      <c r="B51" s="2517"/>
      <c r="C51" s="1187">
        <v>2014</v>
      </c>
      <c r="D51" s="1155"/>
      <c r="E51" s="1152"/>
      <c r="F51" s="1152"/>
      <c r="G51" s="1152"/>
      <c r="H51" s="1152"/>
      <c r="I51" s="1152"/>
      <c r="J51" s="1152"/>
      <c r="K51" s="1152"/>
      <c r="L51" s="1127"/>
      <c r="M51" s="1127"/>
      <c r="N51" s="1127"/>
      <c r="O51" s="1127"/>
    </row>
    <row r="52" spans="1:15" customFormat="1">
      <c r="A52" s="2517"/>
      <c r="B52" s="2517"/>
      <c r="C52" s="1187">
        <v>2015</v>
      </c>
      <c r="D52" s="1155">
        <v>0</v>
      </c>
      <c r="E52" s="1152">
        <v>0</v>
      </c>
      <c r="F52" s="1152">
        <v>0</v>
      </c>
      <c r="G52" s="1152">
        <v>0</v>
      </c>
      <c r="H52" s="1152">
        <v>0</v>
      </c>
      <c r="I52" s="1152">
        <v>0</v>
      </c>
      <c r="J52" s="1152">
        <v>0</v>
      </c>
      <c r="K52" s="1152">
        <v>0</v>
      </c>
      <c r="L52" s="1127"/>
      <c r="M52" s="1127"/>
      <c r="N52" s="1127"/>
      <c r="O52" s="1127"/>
    </row>
    <row r="53" spans="1:15" customFormat="1">
      <c r="A53" s="2517"/>
      <c r="B53" s="2517"/>
      <c r="C53" s="1187">
        <v>2016</v>
      </c>
      <c r="D53" s="1155">
        <v>0</v>
      </c>
      <c r="E53" s="1152">
        <v>0</v>
      </c>
      <c r="F53" s="1152">
        <v>0</v>
      </c>
      <c r="G53" s="1152">
        <v>0</v>
      </c>
      <c r="H53" s="1152">
        <v>0</v>
      </c>
      <c r="I53" s="1152">
        <v>0</v>
      </c>
      <c r="J53" s="1152">
        <v>0</v>
      </c>
      <c r="K53" s="1152">
        <v>0</v>
      </c>
      <c r="L53" s="1127"/>
      <c r="M53" s="1127"/>
      <c r="N53" s="1127"/>
      <c r="O53" s="1127"/>
    </row>
    <row r="54" spans="1:15" customFormat="1">
      <c r="A54" s="2517"/>
      <c r="B54" s="2517"/>
      <c r="C54" s="1187">
        <v>2017</v>
      </c>
      <c r="D54" s="1155"/>
      <c r="E54" s="1152"/>
      <c r="F54" s="1152"/>
      <c r="G54" s="1152"/>
      <c r="H54" s="1152"/>
      <c r="I54" s="1152"/>
      <c r="J54" s="1152"/>
      <c r="K54" s="1152"/>
      <c r="L54" s="1127"/>
      <c r="M54" s="1127"/>
      <c r="N54" s="1127"/>
      <c r="O54" s="1127"/>
    </row>
    <row r="55" spans="1:15" customFormat="1">
      <c r="A55" s="2517"/>
      <c r="B55" s="2517"/>
      <c r="C55" s="1187">
        <v>2018</v>
      </c>
      <c r="D55" s="1155"/>
      <c r="E55" s="1152"/>
      <c r="F55" s="1152"/>
      <c r="G55" s="1152"/>
      <c r="H55" s="1152"/>
      <c r="I55" s="1152"/>
      <c r="J55" s="1152"/>
      <c r="K55" s="1152"/>
      <c r="L55" s="1127"/>
      <c r="M55" s="1127"/>
      <c r="N55" s="1127"/>
      <c r="O55" s="1127"/>
    </row>
    <row r="56" spans="1:15" customFormat="1">
      <c r="A56" s="2517"/>
      <c r="B56" s="2517"/>
      <c r="C56" s="1187">
        <v>2019</v>
      </c>
      <c r="D56" s="1155"/>
      <c r="E56" s="1152"/>
      <c r="F56" s="1152"/>
      <c r="G56" s="1152"/>
      <c r="H56" s="1152"/>
      <c r="I56" s="1152"/>
      <c r="J56" s="1152"/>
      <c r="K56" s="1152"/>
      <c r="L56" s="1127"/>
      <c r="M56" s="1127"/>
      <c r="N56" s="1127"/>
      <c r="O56" s="1127"/>
    </row>
    <row r="57" spans="1:15" customFormat="1">
      <c r="A57" s="2517"/>
      <c r="B57" s="2517"/>
      <c r="C57" s="1187">
        <v>2020</v>
      </c>
      <c r="D57" s="1155"/>
      <c r="E57" s="1152"/>
      <c r="F57" s="1152"/>
      <c r="G57" s="1152"/>
      <c r="H57" s="1152"/>
      <c r="I57" s="1152"/>
      <c r="J57" s="1152"/>
      <c r="K57" s="1198"/>
      <c r="L57" s="1127"/>
      <c r="M57" s="1127"/>
      <c r="N57" s="1127"/>
      <c r="O57" s="1127"/>
    </row>
    <row r="58" spans="1:15" customFormat="1" ht="20.25" customHeight="1">
      <c r="A58" s="2517"/>
      <c r="B58" s="2517"/>
      <c r="C58" s="1158" t="s">
        <v>12</v>
      </c>
      <c r="D58" s="1159">
        <v>0</v>
      </c>
      <c r="E58" s="1160">
        <v>0</v>
      </c>
      <c r="F58" s="1160">
        <v>0</v>
      </c>
      <c r="G58" s="1160">
        <v>0</v>
      </c>
      <c r="H58" s="1160">
        <v>0</v>
      </c>
      <c r="I58" s="1160">
        <v>0</v>
      </c>
      <c r="J58" s="1160">
        <v>0</v>
      </c>
      <c r="K58" s="1160">
        <v>0</v>
      </c>
      <c r="L58" s="1127"/>
      <c r="M58" s="1127"/>
      <c r="N58" s="1127"/>
      <c r="O58" s="1127"/>
    </row>
    <row r="59" spans="1:15" customFormat="1">
      <c r="A59" s="1127"/>
      <c r="B59" s="1127"/>
      <c r="C59" s="1127"/>
      <c r="D59" s="1127"/>
      <c r="E59" s="1127"/>
      <c r="F59" s="1127"/>
      <c r="G59" s="1127"/>
      <c r="H59" s="1127"/>
      <c r="I59" s="1127"/>
      <c r="J59" s="1127"/>
      <c r="K59" s="1127"/>
      <c r="L59" s="1127"/>
      <c r="M59" s="1127"/>
      <c r="N59" s="1127"/>
      <c r="O59" s="1127"/>
    </row>
    <row r="60" spans="1:15" customFormat="1" ht="21" customHeight="1">
      <c r="A60" s="2518" t="s">
        <v>39</v>
      </c>
      <c r="B60" s="1199"/>
      <c r="C60" s="2519" t="s">
        <v>8</v>
      </c>
      <c r="D60" s="2520" t="s">
        <v>40</v>
      </c>
      <c r="E60" s="2521" t="s">
        <v>5</v>
      </c>
      <c r="F60" s="2521"/>
      <c r="G60" s="2521"/>
      <c r="H60" s="2521"/>
      <c r="I60" s="2521"/>
      <c r="J60" s="2521"/>
      <c r="K60" s="2521"/>
      <c r="L60" s="2521"/>
      <c r="M60" s="1127"/>
      <c r="N60" s="1127"/>
      <c r="O60" s="1127"/>
    </row>
    <row r="61" spans="1:15" customFormat="1" ht="115.5" customHeight="1">
      <c r="A61" s="2518"/>
      <c r="B61" s="1181" t="s">
        <v>311</v>
      </c>
      <c r="C61" s="2519"/>
      <c r="D61" s="2520"/>
      <c r="E61" s="1200" t="s">
        <v>13</v>
      </c>
      <c r="F61" s="1201" t="s">
        <v>14</v>
      </c>
      <c r="G61" s="1201" t="s">
        <v>15</v>
      </c>
      <c r="H61" s="1202" t="s">
        <v>16</v>
      </c>
      <c r="I61" s="1202" t="s">
        <v>312</v>
      </c>
      <c r="J61" s="1203" t="s">
        <v>18</v>
      </c>
      <c r="K61" s="1201" t="s">
        <v>19</v>
      </c>
      <c r="L61" s="1201" t="s">
        <v>20</v>
      </c>
      <c r="M61" s="1204"/>
      <c r="N61" s="1130"/>
      <c r="O61" s="1130"/>
    </row>
    <row r="62" spans="1:15" customFormat="1">
      <c r="A62" s="2516" t="s">
        <v>316</v>
      </c>
      <c r="B62" s="2516"/>
      <c r="C62" s="1186">
        <v>2014</v>
      </c>
      <c r="D62" s="1186"/>
      <c r="E62" s="1205"/>
      <c r="F62" s="1206"/>
      <c r="G62" s="1206"/>
      <c r="H62" s="1206"/>
      <c r="I62" s="1206"/>
      <c r="J62" s="1206"/>
      <c r="K62" s="1206"/>
      <c r="L62" s="1148"/>
      <c r="M62" s="1130"/>
      <c r="N62" s="1130"/>
      <c r="O62" s="1130"/>
    </row>
    <row r="63" spans="1:15" customFormat="1">
      <c r="A63" s="2516"/>
      <c r="B63" s="2516"/>
      <c r="C63" s="1187">
        <v>2015</v>
      </c>
      <c r="D63" s="1187">
        <v>3</v>
      </c>
      <c r="E63" s="1207">
        <v>0</v>
      </c>
      <c r="F63" s="1152">
        <v>0</v>
      </c>
      <c r="G63" s="1152">
        <v>0</v>
      </c>
      <c r="H63" s="1152">
        <v>0</v>
      </c>
      <c r="I63" s="1152">
        <v>0</v>
      </c>
      <c r="J63" s="1152">
        <v>0</v>
      </c>
      <c r="K63" s="1152">
        <v>0</v>
      </c>
      <c r="L63" s="1152">
        <v>3</v>
      </c>
      <c r="M63" s="1130"/>
      <c r="N63" s="1130"/>
      <c r="O63" s="1130"/>
    </row>
    <row r="64" spans="1:15" customFormat="1">
      <c r="A64" s="2516"/>
      <c r="B64" s="2516"/>
      <c r="C64" s="1187">
        <v>2016</v>
      </c>
      <c r="D64" s="1208">
        <v>5</v>
      </c>
      <c r="E64" s="1207">
        <v>0</v>
      </c>
      <c r="F64" s="1152">
        <v>0</v>
      </c>
      <c r="G64" s="1152">
        <v>0</v>
      </c>
      <c r="H64" s="1152">
        <v>0</v>
      </c>
      <c r="I64" s="1152">
        <v>0</v>
      </c>
      <c r="J64" s="1152">
        <v>0</v>
      </c>
      <c r="K64" s="1152">
        <v>0</v>
      </c>
      <c r="L64" s="1209">
        <v>5</v>
      </c>
      <c r="M64" s="1130"/>
      <c r="N64" s="1130"/>
      <c r="O64" s="1130"/>
    </row>
    <row r="65" spans="1:20" customFormat="1">
      <c r="A65" s="2516"/>
      <c r="B65" s="2516"/>
      <c r="C65" s="1187">
        <v>2017</v>
      </c>
      <c r="D65" s="1187"/>
      <c r="E65" s="1207"/>
      <c r="F65" s="1152"/>
      <c r="G65" s="1152"/>
      <c r="H65" s="1152"/>
      <c r="I65" s="1152"/>
      <c r="J65" s="1152"/>
      <c r="K65" s="1152"/>
      <c r="L65" s="1152"/>
      <c r="M65" s="1130"/>
      <c r="N65" s="1130"/>
      <c r="O65" s="1130"/>
      <c r="P65" s="1127"/>
      <c r="Q65" s="1127"/>
      <c r="R65" s="1127"/>
      <c r="S65" s="1127"/>
      <c r="T65" s="1127"/>
    </row>
    <row r="66" spans="1:20" customFormat="1">
      <c r="A66" s="2516"/>
      <c r="B66" s="2516"/>
      <c r="C66" s="1187">
        <v>2018</v>
      </c>
      <c r="D66" s="1187"/>
      <c r="E66" s="1207"/>
      <c r="F66" s="1152"/>
      <c r="G66" s="1152"/>
      <c r="H66" s="1152"/>
      <c r="I66" s="1152"/>
      <c r="J66" s="1152"/>
      <c r="K66" s="1152"/>
      <c r="L66" s="1152"/>
      <c r="M66" s="1130"/>
      <c r="N66" s="1130"/>
      <c r="O66" s="1130"/>
      <c r="P66" s="1127"/>
      <c r="Q66" s="1127"/>
      <c r="R66" s="1127"/>
      <c r="S66" s="1127"/>
      <c r="T66" s="1127"/>
    </row>
    <row r="67" spans="1:20" customFormat="1" ht="17.25" customHeight="1">
      <c r="A67" s="2516"/>
      <c r="B67" s="2516"/>
      <c r="C67" s="1187">
        <v>2019</v>
      </c>
      <c r="D67" s="1187"/>
      <c r="E67" s="1207"/>
      <c r="F67" s="1152"/>
      <c r="G67" s="1152"/>
      <c r="H67" s="1152"/>
      <c r="I67" s="1152"/>
      <c r="J67" s="1152"/>
      <c r="K67" s="1152"/>
      <c r="L67" s="1152"/>
      <c r="M67" s="1130"/>
      <c r="N67" s="1130"/>
      <c r="O67" s="1130"/>
      <c r="P67" s="1127"/>
      <c r="Q67" s="1127"/>
      <c r="R67" s="1127"/>
      <c r="S67" s="1127"/>
      <c r="T67" s="1127"/>
    </row>
    <row r="68" spans="1:20" customFormat="1" ht="16.5" customHeight="1">
      <c r="A68" s="2516"/>
      <c r="B68" s="2516"/>
      <c r="C68" s="1187">
        <v>2020</v>
      </c>
      <c r="D68" s="1187"/>
      <c r="E68" s="1207"/>
      <c r="F68" s="1152"/>
      <c r="G68" s="1152"/>
      <c r="H68" s="1152"/>
      <c r="I68" s="1152"/>
      <c r="J68" s="1152"/>
      <c r="K68" s="1152"/>
      <c r="L68" s="1152"/>
      <c r="M68" s="1191"/>
      <c r="N68" s="1191"/>
      <c r="O68" s="1191"/>
      <c r="P68" s="1127"/>
      <c r="Q68" s="1127"/>
      <c r="R68" s="1127"/>
      <c r="S68" s="1127"/>
      <c r="T68" s="1127"/>
    </row>
    <row r="69" spans="1:20" customFormat="1" ht="18" customHeight="1">
      <c r="A69" s="2516"/>
      <c r="B69" s="2516"/>
      <c r="C69" s="1210" t="s">
        <v>12</v>
      </c>
      <c r="D69" s="1211">
        <f t="shared" ref="D69:L69" si="1">SUM(D63:D68)</f>
        <v>8</v>
      </c>
      <c r="E69" s="1212">
        <f t="shared" si="1"/>
        <v>0</v>
      </c>
      <c r="F69" s="1213">
        <f t="shared" si="1"/>
        <v>0</v>
      </c>
      <c r="G69" s="1213">
        <f t="shared" si="1"/>
        <v>0</v>
      </c>
      <c r="H69" s="1213">
        <f t="shared" si="1"/>
        <v>0</v>
      </c>
      <c r="I69" s="1213">
        <f t="shared" si="1"/>
        <v>0</v>
      </c>
      <c r="J69" s="1213">
        <f t="shared" si="1"/>
        <v>0</v>
      </c>
      <c r="K69" s="1213">
        <f t="shared" si="1"/>
        <v>0</v>
      </c>
      <c r="L69" s="1213">
        <f t="shared" si="1"/>
        <v>8</v>
      </c>
      <c r="M69" s="1191"/>
      <c r="N69" s="1191"/>
      <c r="O69" s="1191"/>
      <c r="P69" s="1127"/>
      <c r="Q69" s="1127"/>
      <c r="R69" s="1127"/>
      <c r="S69" s="1127"/>
      <c r="T69" s="1127"/>
    </row>
    <row r="70" spans="1:20" customFormat="1" ht="20.25" customHeight="1">
      <c r="A70" s="1214"/>
      <c r="B70" s="1215"/>
      <c r="C70" s="1216"/>
      <c r="D70" s="1217"/>
      <c r="E70" s="1217"/>
      <c r="F70" s="1217"/>
      <c r="G70" s="1217"/>
      <c r="H70" s="1216"/>
      <c r="I70" s="1218"/>
      <c r="J70" s="1218"/>
      <c r="K70" s="1218"/>
      <c r="L70" s="1218"/>
      <c r="M70" s="1218"/>
      <c r="N70" s="1218"/>
      <c r="O70" s="1218"/>
      <c r="P70" s="1147"/>
      <c r="Q70" s="1147"/>
      <c r="R70" s="1147"/>
      <c r="S70" s="1147"/>
      <c r="T70" s="1147"/>
    </row>
    <row r="71" spans="1:20" customFormat="1" ht="132" customHeight="1">
      <c r="A71" s="1180" t="s">
        <v>42</v>
      </c>
      <c r="B71" s="1181" t="s">
        <v>311</v>
      </c>
      <c r="C71" s="1182" t="s">
        <v>8</v>
      </c>
      <c r="D71" s="1219" t="s">
        <v>43</v>
      </c>
      <c r="E71" s="1219" t="s">
        <v>317</v>
      </c>
      <c r="F71" s="1219" t="s">
        <v>318</v>
      </c>
      <c r="G71" s="1220" t="s">
        <v>46</v>
      </c>
      <c r="H71" s="1221" t="s">
        <v>13</v>
      </c>
      <c r="I71" s="1219" t="s">
        <v>14</v>
      </c>
      <c r="J71" s="1219" t="s">
        <v>15</v>
      </c>
      <c r="K71" s="1219" t="s">
        <v>16</v>
      </c>
      <c r="L71" s="1219" t="s">
        <v>312</v>
      </c>
      <c r="M71" s="1222" t="s">
        <v>18</v>
      </c>
      <c r="N71" s="1219" t="s">
        <v>19</v>
      </c>
      <c r="O71" s="1219" t="s">
        <v>20</v>
      </c>
      <c r="P71" s="1127"/>
      <c r="Q71" s="1127"/>
      <c r="R71" s="1127"/>
      <c r="S71" s="1127"/>
      <c r="T71" s="1127"/>
    </row>
    <row r="72" spans="1:20" customFormat="1" ht="15" customHeight="1">
      <c r="A72" s="2516" t="s">
        <v>319</v>
      </c>
      <c r="B72" s="2516"/>
      <c r="C72" s="1186">
        <v>2014</v>
      </c>
      <c r="D72" s="1186"/>
      <c r="E72" s="1186"/>
      <c r="F72" s="1186"/>
      <c r="G72" s="1223">
        <v>0</v>
      </c>
      <c r="H72" s="1149"/>
      <c r="I72" s="1224"/>
      <c r="J72" s="1206"/>
      <c r="K72" s="1206"/>
      <c r="L72" s="1206"/>
      <c r="M72" s="1206"/>
      <c r="N72" s="1206"/>
      <c r="O72" s="1206"/>
      <c r="P72" s="1127"/>
      <c r="Q72" s="1127"/>
      <c r="R72" s="1127"/>
      <c r="S72" s="1127"/>
      <c r="T72" s="1127"/>
    </row>
    <row r="73" spans="1:20" customFormat="1">
      <c r="A73" s="2516"/>
      <c r="B73" s="2516"/>
      <c r="C73" s="1187">
        <v>2015</v>
      </c>
      <c r="D73" s="1187">
        <v>0</v>
      </c>
      <c r="E73" s="1187">
        <v>0</v>
      </c>
      <c r="F73" s="1187">
        <v>9</v>
      </c>
      <c r="G73" s="1223">
        <f>SUM(D73:F73)</f>
        <v>9</v>
      </c>
      <c r="H73" s="1155">
        <v>0</v>
      </c>
      <c r="I73" s="1155">
        <v>0</v>
      </c>
      <c r="J73" s="1152">
        <v>0</v>
      </c>
      <c r="K73" s="1152">
        <v>0</v>
      </c>
      <c r="L73" s="1152">
        <v>0</v>
      </c>
      <c r="M73" s="1152">
        <v>0</v>
      </c>
      <c r="N73" s="1152">
        <v>0</v>
      </c>
      <c r="O73" s="1152">
        <v>9</v>
      </c>
      <c r="P73" s="1127"/>
      <c r="Q73" s="1127"/>
      <c r="R73" s="1127"/>
      <c r="S73" s="1127"/>
      <c r="T73" s="1127"/>
    </row>
    <row r="74" spans="1:20" customFormat="1">
      <c r="A74" s="2516"/>
      <c r="B74" s="2516"/>
      <c r="C74" s="1187">
        <v>2016</v>
      </c>
      <c r="D74" s="1187">
        <v>0</v>
      </c>
      <c r="E74" s="1187">
        <v>2</v>
      </c>
      <c r="F74" s="1187">
        <v>1</v>
      </c>
      <c r="G74" s="1223">
        <f>SUM(D74,E74,F74)</f>
        <v>3</v>
      </c>
      <c r="H74" s="1155">
        <v>0</v>
      </c>
      <c r="I74" s="1155">
        <v>0</v>
      </c>
      <c r="J74" s="1152">
        <v>0</v>
      </c>
      <c r="K74" s="1152">
        <v>0</v>
      </c>
      <c r="L74" s="1152">
        <v>0</v>
      </c>
      <c r="M74" s="1152">
        <v>0</v>
      </c>
      <c r="N74" s="1152">
        <v>0</v>
      </c>
      <c r="O74" s="1152">
        <v>3</v>
      </c>
      <c r="P74" s="1127"/>
      <c r="Q74" s="1127"/>
      <c r="R74" s="1127"/>
      <c r="S74" s="1127"/>
      <c r="T74" s="1127"/>
    </row>
    <row r="75" spans="1:20" customFormat="1">
      <c r="A75" s="2516"/>
      <c r="B75" s="2516"/>
      <c r="C75" s="1187">
        <v>2017</v>
      </c>
      <c r="D75" s="1187"/>
      <c r="E75" s="1187"/>
      <c r="F75" s="1187"/>
      <c r="G75" s="1223">
        <v>0</v>
      </c>
      <c r="H75" s="1155"/>
      <c r="I75" s="1155"/>
      <c r="J75" s="1152"/>
      <c r="K75" s="1152"/>
      <c r="L75" s="1152"/>
      <c r="M75" s="1152"/>
      <c r="N75" s="1152"/>
      <c r="O75" s="1152"/>
      <c r="P75" s="1127"/>
      <c r="Q75" s="1127"/>
      <c r="R75" s="1127"/>
      <c r="S75" s="1127"/>
      <c r="T75" s="1127"/>
    </row>
    <row r="76" spans="1:20" customFormat="1">
      <c r="A76" s="2516"/>
      <c r="B76" s="2516"/>
      <c r="C76" s="1187">
        <v>2018</v>
      </c>
      <c r="D76" s="1187"/>
      <c r="E76" s="1187"/>
      <c r="F76" s="1187"/>
      <c r="G76" s="1223">
        <v>0</v>
      </c>
      <c r="H76" s="1155"/>
      <c r="I76" s="1155"/>
      <c r="J76" s="1152"/>
      <c r="K76" s="1152"/>
      <c r="L76" s="1152"/>
      <c r="M76" s="1152"/>
      <c r="N76" s="1152"/>
      <c r="O76" s="1152"/>
      <c r="P76" s="1127"/>
      <c r="Q76" s="1127"/>
      <c r="R76" s="1127"/>
      <c r="S76" s="1127"/>
      <c r="T76" s="1127"/>
    </row>
    <row r="77" spans="1:20" customFormat="1" ht="15.75" customHeight="1">
      <c r="A77" s="2516"/>
      <c r="B77" s="2516"/>
      <c r="C77" s="1187">
        <v>2019</v>
      </c>
      <c r="D77" s="1187"/>
      <c r="E77" s="1187"/>
      <c r="F77" s="1187"/>
      <c r="G77" s="1223">
        <v>0</v>
      </c>
      <c r="H77" s="1155"/>
      <c r="I77" s="1155"/>
      <c r="J77" s="1152"/>
      <c r="K77" s="1152"/>
      <c r="L77" s="1152"/>
      <c r="M77" s="1152"/>
      <c r="N77" s="1152"/>
      <c r="O77" s="1152"/>
      <c r="P77" s="1127"/>
      <c r="Q77" s="1127"/>
      <c r="R77" s="1127"/>
      <c r="S77" s="1127"/>
      <c r="T77" s="1127"/>
    </row>
    <row r="78" spans="1:20" customFormat="1" ht="17.25" customHeight="1">
      <c r="A78" s="2516"/>
      <c r="B78" s="2516"/>
      <c r="C78" s="1187">
        <v>2020</v>
      </c>
      <c r="D78" s="1187"/>
      <c r="E78" s="1187"/>
      <c r="F78" s="1187"/>
      <c r="G78" s="1223">
        <v>0</v>
      </c>
      <c r="H78" s="1155"/>
      <c r="I78" s="1155"/>
      <c r="J78" s="1152"/>
      <c r="K78" s="1152"/>
      <c r="L78" s="1152"/>
      <c r="M78" s="1152"/>
      <c r="N78" s="1152"/>
      <c r="O78" s="1152"/>
      <c r="P78" s="1127"/>
      <c r="Q78" s="1127"/>
      <c r="R78" s="1127"/>
      <c r="S78" s="1127"/>
      <c r="T78" s="1127"/>
    </row>
    <row r="79" spans="1:20" customFormat="1" ht="20.25" customHeight="1">
      <c r="A79" s="2516"/>
      <c r="B79" s="2516"/>
      <c r="C79" s="1210" t="s">
        <v>12</v>
      </c>
      <c r="D79" s="1211">
        <f>SUM(D73:D78)</f>
        <v>0</v>
      </c>
      <c r="E79" s="1211">
        <f>SUM(E73:E78)</f>
        <v>2</v>
      </c>
      <c r="F79" s="1211">
        <f>SUM(F73:F78)</f>
        <v>10</v>
      </c>
      <c r="G79" s="1225">
        <f>SUM(G72:G78)</f>
        <v>12</v>
      </c>
      <c r="H79" s="1226">
        <f t="shared" ref="H79:O79" si="2">SUM(H73:H78)</f>
        <v>0</v>
      </c>
      <c r="I79" s="1227">
        <f t="shared" si="2"/>
        <v>0</v>
      </c>
      <c r="J79" s="1213">
        <f t="shared" si="2"/>
        <v>0</v>
      </c>
      <c r="K79" s="1213">
        <f t="shared" si="2"/>
        <v>0</v>
      </c>
      <c r="L79" s="1213">
        <f t="shared" si="2"/>
        <v>0</v>
      </c>
      <c r="M79" s="1213">
        <f t="shared" si="2"/>
        <v>0</v>
      </c>
      <c r="N79" s="1213">
        <f t="shared" si="2"/>
        <v>0</v>
      </c>
      <c r="O79" s="1213">
        <f t="shared" si="2"/>
        <v>12</v>
      </c>
      <c r="P79" s="1127"/>
      <c r="Q79" s="1127"/>
      <c r="R79" s="1127"/>
      <c r="S79" s="1127"/>
      <c r="T79" s="1127"/>
    </row>
    <row r="80" spans="1:20" customFormat="1">
      <c r="A80" s="1127"/>
      <c r="B80" s="1127"/>
      <c r="C80" s="1127"/>
      <c r="D80" s="1127"/>
      <c r="E80" s="1127"/>
      <c r="F80" s="1127"/>
      <c r="G80" s="1127"/>
      <c r="H80" s="1127"/>
      <c r="I80" s="1127"/>
      <c r="J80" s="1127"/>
      <c r="K80" s="1127"/>
      <c r="L80" s="1127"/>
      <c r="M80" s="1127"/>
      <c r="N80" s="1127"/>
      <c r="O80" s="1127"/>
      <c r="P80" s="1127"/>
      <c r="Q80" s="1127"/>
      <c r="R80" s="1127"/>
      <c r="S80" s="1127"/>
      <c r="T80" s="1127"/>
    </row>
    <row r="81" spans="1:16" customFormat="1" ht="36.75" customHeight="1">
      <c r="A81" s="1228"/>
      <c r="B81" s="1215"/>
      <c r="C81" s="1229"/>
      <c r="D81" s="1230"/>
      <c r="E81" s="1191"/>
      <c r="F81" s="1191"/>
      <c r="G81" s="1191"/>
      <c r="H81" s="1191"/>
      <c r="I81" s="1191"/>
      <c r="J81" s="1191"/>
      <c r="K81" s="1191"/>
      <c r="L81" s="1127"/>
      <c r="M81" s="1127"/>
      <c r="N81" s="1127"/>
      <c r="O81" s="1127"/>
      <c r="P81" s="1127"/>
    </row>
    <row r="82" spans="1:16" customFormat="1" ht="28.5" customHeight="1">
      <c r="A82" s="1231" t="s">
        <v>48</v>
      </c>
      <c r="B82" s="1231"/>
      <c r="C82" s="1232"/>
      <c r="D82" s="1232"/>
      <c r="E82" s="1232"/>
      <c r="F82" s="1232"/>
      <c r="G82" s="1232"/>
      <c r="H82" s="1232"/>
      <c r="I82" s="1232"/>
      <c r="J82" s="1232"/>
      <c r="K82" s="1232"/>
      <c r="L82" s="1233"/>
      <c r="M82" s="1127"/>
      <c r="N82" s="1127"/>
      <c r="O82" s="1127"/>
      <c r="P82" s="1127"/>
    </row>
    <row r="83" spans="1:16" customFormat="1" ht="14.25" customHeight="1">
      <c r="A83" s="1234"/>
      <c r="B83" s="1234"/>
      <c r="C83" s="1127"/>
      <c r="D83" s="1127"/>
      <c r="E83" s="1127"/>
      <c r="F83" s="1127"/>
      <c r="G83" s="1127"/>
      <c r="H83" s="1127"/>
      <c r="I83" s="1127"/>
      <c r="J83" s="1127"/>
      <c r="K83" s="1127"/>
      <c r="L83" s="1127"/>
      <c r="M83" s="1127"/>
      <c r="N83" s="1127"/>
      <c r="O83" s="1127"/>
      <c r="P83" s="1127"/>
    </row>
    <row r="84" spans="1:16" s="1147" customFormat="1" ht="128.25" customHeight="1">
      <c r="A84" s="1235" t="s">
        <v>320</v>
      </c>
      <c r="B84" s="1236" t="s">
        <v>321</v>
      </c>
      <c r="C84" s="1237" t="s">
        <v>8</v>
      </c>
      <c r="D84" s="1238" t="s">
        <v>322</v>
      </c>
      <c r="E84" s="1239" t="s">
        <v>323</v>
      </c>
      <c r="F84" s="1237" t="s">
        <v>53</v>
      </c>
      <c r="G84" s="1237" t="s">
        <v>54</v>
      </c>
      <c r="H84" s="1237" t="s">
        <v>55</v>
      </c>
      <c r="I84" s="1237" t="s">
        <v>56</v>
      </c>
      <c r="J84" s="1237" t="s">
        <v>57</v>
      </c>
      <c r="K84" s="1237" t="s">
        <v>58</v>
      </c>
    </row>
    <row r="85" spans="1:16" customFormat="1" ht="15" customHeight="1">
      <c r="A85" s="2522" t="s">
        <v>324</v>
      </c>
      <c r="B85" s="2522"/>
      <c r="C85" s="1186">
        <v>2014</v>
      </c>
      <c r="D85" s="1240"/>
      <c r="E85" s="1241"/>
      <c r="F85" s="1148"/>
      <c r="G85" s="1148"/>
      <c r="H85" s="1148"/>
      <c r="I85" s="1148"/>
      <c r="J85" s="1148"/>
      <c r="K85" s="1148"/>
      <c r="L85" s="1127"/>
      <c r="M85" s="1127"/>
      <c r="N85" s="1127"/>
      <c r="O85" s="1127"/>
      <c r="P85" s="1127"/>
    </row>
    <row r="86" spans="1:16" customFormat="1">
      <c r="A86" s="2522"/>
      <c r="B86" s="2522"/>
      <c r="C86" s="1187">
        <v>2015</v>
      </c>
      <c r="D86" s="1242">
        <v>0</v>
      </c>
      <c r="E86" s="1207">
        <v>0</v>
      </c>
      <c r="F86" s="1152">
        <v>0</v>
      </c>
      <c r="G86" s="1152">
        <v>0</v>
      </c>
      <c r="H86" s="1152">
        <v>0</v>
      </c>
      <c r="I86" s="1152">
        <v>0</v>
      </c>
      <c r="J86" s="1152">
        <v>0</v>
      </c>
      <c r="K86" s="1152">
        <v>0</v>
      </c>
      <c r="L86" s="1127"/>
      <c r="M86" s="1127"/>
      <c r="N86" s="1127"/>
      <c r="O86" s="1127"/>
      <c r="P86" s="1127"/>
    </row>
    <row r="87" spans="1:16" customFormat="1">
      <c r="A87" s="2522"/>
      <c r="B87" s="2522"/>
      <c r="C87" s="1187">
        <v>2016</v>
      </c>
      <c r="D87" s="1242">
        <v>3</v>
      </c>
      <c r="E87" s="1243">
        <v>0</v>
      </c>
      <c r="F87" s="1209">
        <v>0</v>
      </c>
      <c r="G87" s="1209">
        <v>0</v>
      </c>
      <c r="H87" s="1209">
        <v>0</v>
      </c>
      <c r="I87" s="1209">
        <v>0</v>
      </c>
      <c r="J87" s="1209">
        <v>0</v>
      </c>
      <c r="K87" s="1209">
        <v>3</v>
      </c>
      <c r="L87" s="1127"/>
      <c r="M87" s="1127"/>
      <c r="N87" s="1127"/>
      <c r="O87" s="1127"/>
      <c r="P87" s="1127"/>
    </row>
    <row r="88" spans="1:16" customFormat="1">
      <c r="A88" s="2522"/>
      <c r="B88" s="2522"/>
      <c r="C88" s="1187">
        <v>2017</v>
      </c>
      <c r="D88" s="1242"/>
      <c r="E88" s="1207"/>
      <c r="F88" s="1152"/>
      <c r="G88" s="1152"/>
      <c r="H88" s="1152"/>
      <c r="I88" s="1152"/>
      <c r="J88" s="1152"/>
      <c r="K88" s="1152"/>
      <c r="L88" s="1127"/>
      <c r="M88" s="1127"/>
      <c r="N88" s="1127"/>
      <c r="O88" s="1127"/>
      <c r="P88" s="1127"/>
    </row>
    <row r="89" spans="1:16" customFormat="1">
      <c r="A89" s="2522"/>
      <c r="B89" s="2522"/>
      <c r="C89" s="1187">
        <v>2018</v>
      </c>
      <c r="D89" s="1242"/>
      <c r="E89" s="1207"/>
      <c r="F89" s="1152"/>
      <c r="G89" s="1152"/>
      <c r="H89" s="1152"/>
      <c r="I89" s="1152"/>
      <c r="J89" s="1152"/>
      <c r="K89" s="1152"/>
      <c r="L89" s="1127"/>
      <c r="M89" s="1127"/>
      <c r="N89" s="1127"/>
      <c r="O89" s="1127"/>
      <c r="P89" s="1127"/>
    </row>
    <row r="90" spans="1:16" customFormat="1">
      <c r="A90" s="2522"/>
      <c r="B90" s="2522"/>
      <c r="C90" s="1187">
        <v>2019</v>
      </c>
      <c r="D90" s="1242"/>
      <c r="E90" s="1207"/>
      <c r="F90" s="1152"/>
      <c r="G90" s="1152"/>
      <c r="H90" s="1152"/>
      <c r="I90" s="1152"/>
      <c r="J90" s="1152"/>
      <c r="K90" s="1152"/>
      <c r="L90" s="1127"/>
      <c r="M90" s="1127"/>
      <c r="N90" s="1127"/>
      <c r="O90" s="1127"/>
      <c r="P90" s="1127"/>
    </row>
    <row r="91" spans="1:16" customFormat="1">
      <c r="A91" s="2522"/>
      <c r="B91" s="2522"/>
      <c r="C91" s="1187">
        <v>2020</v>
      </c>
      <c r="D91" s="1242"/>
      <c r="E91" s="1207"/>
      <c r="F91" s="1152"/>
      <c r="G91" s="1152"/>
      <c r="H91" s="1152"/>
      <c r="I91" s="1152"/>
      <c r="J91" s="1152"/>
      <c r="K91" s="1152"/>
      <c r="L91" s="1127"/>
      <c r="M91" s="1127"/>
      <c r="N91" s="1127"/>
      <c r="O91" s="1127"/>
      <c r="P91" s="1127"/>
    </row>
    <row r="92" spans="1:16" customFormat="1" ht="18" customHeight="1">
      <c r="A92" s="2522"/>
      <c r="B92" s="2522"/>
      <c r="C92" s="1210" t="s">
        <v>12</v>
      </c>
      <c r="D92" s="1244">
        <v>0</v>
      </c>
      <c r="E92" s="1212">
        <v>0</v>
      </c>
      <c r="F92" s="1213">
        <v>0</v>
      </c>
      <c r="G92" s="1213">
        <v>0</v>
      </c>
      <c r="H92" s="1213">
        <v>0</v>
      </c>
      <c r="I92" s="1213">
        <v>0</v>
      </c>
      <c r="J92" s="1213">
        <v>0</v>
      </c>
      <c r="K92" s="1213">
        <v>0</v>
      </c>
      <c r="L92" s="1127"/>
      <c r="M92" s="1127"/>
      <c r="N92" s="1127"/>
      <c r="O92" s="1127"/>
      <c r="P92" s="1127"/>
    </row>
    <row r="93" spans="1:16" customFormat="1" ht="20.25" customHeight="1">
      <c r="A93" s="1127"/>
      <c r="B93" s="1127"/>
      <c r="C93" s="1127"/>
      <c r="D93" s="1127"/>
      <c r="E93" s="1127"/>
      <c r="F93" s="1127"/>
      <c r="G93" s="1127"/>
      <c r="H93" s="1127"/>
      <c r="I93" s="1127"/>
      <c r="J93" s="1127"/>
      <c r="K93" s="1127"/>
      <c r="L93" s="1127"/>
      <c r="M93" s="1127"/>
      <c r="N93" s="1127"/>
      <c r="O93" s="1127"/>
      <c r="P93" s="1127"/>
    </row>
    <row r="94" spans="1:16" customFormat="1" ht="21">
      <c r="A94" s="1245" t="s">
        <v>59</v>
      </c>
      <c r="B94" s="1245"/>
      <c r="C94" s="1246"/>
      <c r="D94" s="1246"/>
      <c r="E94" s="1246"/>
      <c r="F94" s="1246"/>
      <c r="G94" s="1246"/>
      <c r="H94" s="1246"/>
      <c r="I94" s="1246"/>
      <c r="J94" s="1246"/>
      <c r="K94" s="1246"/>
      <c r="L94" s="1246"/>
      <c r="M94" s="1246"/>
      <c r="N94" s="1247"/>
      <c r="O94" s="1247"/>
      <c r="P94" s="1247"/>
    </row>
    <row r="95" spans="1:16" s="1179" customFormat="1" ht="15" customHeight="1">
      <c r="A95" s="1248"/>
      <c r="B95" s="1248"/>
    </row>
    <row r="96" spans="1:16" customFormat="1" ht="29.25" customHeight="1">
      <c r="A96" s="2523" t="s">
        <v>60</v>
      </c>
      <c r="B96" s="2524" t="s">
        <v>325</v>
      </c>
      <c r="C96" s="2528" t="s">
        <v>8</v>
      </c>
      <c r="D96" s="2526" t="s">
        <v>62</v>
      </c>
      <c r="E96" s="2526"/>
      <c r="F96" s="2525" t="s">
        <v>63</v>
      </c>
      <c r="G96" s="2525"/>
      <c r="H96" s="2525"/>
      <c r="I96" s="2525"/>
      <c r="J96" s="2525"/>
      <c r="K96" s="2525"/>
      <c r="L96" s="2525"/>
      <c r="M96" s="2525"/>
      <c r="N96" s="1249"/>
      <c r="O96" s="1249"/>
      <c r="P96" s="1249"/>
    </row>
    <row r="97" spans="1:16" customFormat="1" ht="100.5" customHeight="1">
      <c r="A97" s="2523"/>
      <c r="B97" s="2524"/>
      <c r="C97" s="2528"/>
      <c r="D97" s="1250" t="s">
        <v>64</v>
      </c>
      <c r="E97" s="1251" t="s">
        <v>65</v>
      </c>
      <c r="F97" s="1252" t="s">
        <v>13</v>
      </c>
      <c r="G97" s="1253" t="s">
        <v>66</v>
      </c>
      <c r="H97" s="1254" t="s">
        <v>54</v>
      </c>
      <c r="I97" s="1255" t="s">
        <v>55</v>
      </c>
      <c r="J97" s="1255" t="s">
        <v>56</v>
      </c>
      <c r="K97" s="1256" t="s">
        <v>67</v>
      </c>
      <c r="L97" s="1254" t="s">
        <v>57</v>
      </c>
      <c r="M97" s="1254" t="s">
        <v>58</v>
      </c>
      <c r="N97" s="1249"/>
      <c r="O97" s="1249"/>
      <c r="P97" s="1249"/>
    </row>
    <row r="98" spans="1:16" customFormat="1" ht="17.25" customHeight="1">
      <c r="A98" s="2527" t="s">
        <v>326</v>
      </c>
      <c r="B98" s="2516"/>
      <c r="C98" s="1186">
        <v>2014</v>
      </c>
      <c r="D98" s="1149"/>
      <c r="E98" s="1148"/>
      <c r="F98" s="1257"/>
      <c r="G98" s="1186"/>
      <c r="H98" s="1186"/>
      <c r="I98" s="1186"/>
      <c r="J98" s="1186"/>
      <c r="K98" s="1186"/>
      <c r="L98" s="1186"/>
      <c r="M98" s="1186"/>
      <c r="N98" s="1249"/>
      <c r="O98" s="1249"/>
      <c r="P98" s="1249"/>
    </row>
    <row r="99" spans="1:16" customFormat="1" ht="16.5" customHeight="1">
      <c r="A99" s="2516"/>
      <c r="B99" s="2516"/>
      <c r="C99" s="1187">
        <v>2015</v>
      </c>
      <c r="D99" s="1155">
        <v>1</v>
      </c>
      <c r="E99" s="1258">
        <v>3</v>
      </c>
      <c r="F99" s="1259">
        <v>0</v>
      </c>
      <c r="G99" s="1187">
        <v>0</v>
      </c>
      <c r="H99" s="1187">
        <v>0</v>
      </c>
      <c r="I99" s="1187">
        <v>0</v>
      </c>
      <c r="J99" s="1187">
        <v>0</v>
      </c>
      <c r="K99" s="1187">
        <v>0</v>
      </c>
      <c r="L99" s="1187">
        <v>0</v>
      </c>
      <c r="M99" s="1187">
        <v>1</v>
      </c>
      <c r="N99" s="1249"/>
      <c r="O99" s="1249"/>
      <c r="P99" s="1249"/>
    </row>
    <row r="100" spans="1:16" customFormat="1" ht="16.5" customHeight="1">
      <c r="A100" s="2516"/>
      <c r="B100" s="2516"/>
      <c r="C100" s="1187">
        <v>2016</v>
      </c>
      <c r="D100" s="1155">
        <v>1</v>
      </c>
      <c r="E100" s="1152">
        <v>10</v>
      </c>
      <c r="F100" s="1259">
        <v>0</v>
      </c>
      <c r="G100" s="1187">
        <v>0</v>
      </c>
      <c r="H100" s="1187">
        <v>0</v>
      </c>
      <c r="I100" s="1187">
        <v>0</v>
      </c>
      <c r="J100" s="1187">
        <v>0</v>
      </c>
      <c r="K100" s="1187">
        <v>0</v>
      </c>
      <c r="L100" s="1187">
        <v>0</v>
      </c>
      <c r="M100" s="1187">
        <v>1</v>
      </c>
      <c r="N100" s="1249"/>
      <c r="O100" s="1249"/>
      <c r="P100" s="1249"/>
    </row>
    <row r="101" spans="1:16" customFormat="1" ht="16.5" customHeight="1">
      <c r="A101" s="2516"/>
      <c r="B101" s="2516"/>
      <c r="C101" s="1187">
        <v>2017</v>
      </c>
      <c r="D101" s="1155"/>
      <c r="E101" s="1152"/>
      <c r="F101" s="1259"/>
      <c r="G101" s="1187"/>
      <c r="H101" s="1187"/>
      <c r="I101" s="1187"/>
      <c r="J101" s="1187"/>
      <c r="K101" s="1187"/>
      <c r="L101" s="1187"/>
      <c r="M101" s="1187"/>
      <c r="N101" s="1249"/>
      <c r="O101" s="1249"/>
      <c r="P101" s="1249"/>
    </row>
    <row r="102" spans="1:16" customFormat="1" ht="15.75" customHeight="1">
      <c r="A102" s="2516"/>
      <c r="B102" s="2516"/>
      <c r="C102" s="1187">
        <v>2018</v>
      </c>
      <c r="D102" s="1155"/>
      <c r="E102" s="1152"/>
      <c r="F102" s="1259"/>
      <c r="G102" s="1187"/>
      <c r="H102" s="1187"/>
      <c r="I102" s="1187"/>
      <c r="J102" s="1187"/>
      <c r="K102" s="1187"/>
      <c r="L102" s="1187"/>
      <c r="M102" s="1187"/>
      <c r="N102" s="1249"/>
      <c r="O102" s="1249"/>
      <c r="P102" s="1249"/>
    </row>
    <row r="103" spans="1:16" customFormat="1" ht="14.25" customHeight="1">
      <c r="A103" s="2516"/>
      <c r="B103" s="2516"/>
      <c r="C103" s="1187">
        <v>2019</v>
      </c>
      <c r="D103" s="1155"/>
      <c r="E103" s="1152"/>
      <c r="F103" s="1259"/>
      <c r="G103" s="1187"/>
      <c r="H103" s="1187"/>
      <c r="I103" s="1187"/>
      <c r="J103" s="1187"/>
      <c r="K103" s="1187"/>
      <c r="L103" s="1187"/>
      <c r="M103" s="1187"/>
      <c r="N103" s="1249"/>
      <c r="O103" s="1249"/>
      <c r="P103" s="1249"/>
    </row>
    <row r="104" spans="1:16" customFormat="1" ht="14.25" customHeight="1">
      <c r="A104" s="2516"/>
      <c r="B104" s="2516"/>
      <c r="C104" s="1187">
        <v>2020</v>
      </c>
      <c r="D104" s="1155"/>
      <c r="E104" s="1152"/>
      <c r="F104" s="1259"/>
      <c r="G104" s="1187"/>
      <c r="H104" s="1187"/>
      <c r="I104" s="1187"/>
      <c r="J104" s="1187"/>
      <c r="K104" s="1187"/>
      <c r="L104" s="1187"/>
      <c r="M104" s="1187"/>
      <c r="N104" s="1249"/>
      <c r="O104" s="1249"/>
      <c r="P104" s="1249"/>
    </row>
    <row r="105" spans="1:16" customFormat="1" ht="19.5" customHeight="1">
      <c r="A105" s="2516"/>
      <c r="B105" s="2516"/>
      <c r="C105" s="1210" t="s">
        <v>12</v>
      </c>
      <c r="D105" s="1227">
        <f>SUM(D99:D104)</f>
        <v>2</v>
      </c>
      <c r="E105" s="1213">
        <f>SUM(E99:E104)</f>
        <v>13</v>
      </c>
      <c r="F105" s="1260">
        <v>0</v>
      </c>
      <c r="G105" s="1261">
        <v>0</v>
      </c>
      <c r="H105" s="1261">
        <v>0</v>
      </c>
      <c r="I105" s="1261">
        <v>0</v>
      </c>
      <c r="J105" s="1261">
        <v>0</v>
      </c>
      <c r="K105" s="1261">
        <v>0</v>
      </c>
      <c r="L105" s="1261">
        <v>0</v>
      </c>
      <c r="M105" s="1261">
        <f>SUM(M99:M104)</f>
        <v>2</v>
      </c>
      <c r="N105" s="1249"/>
      <c r="O105" s="1249"/>
      <c r="P105" s="1249"/>
    </row>
    <row r="106" spans="1:16" customFormat="1">
      <c r="A106" s="1262"/>
      <c r="B106" s="1262"/>
      <c r="C106" s="1263"/>
      <c r="D106" s="1130"/>
      <c r="E106" s="1130"/>
      <c r="F106" s="1127"/>
      <c r="G106" s="1127"/>
      <c r="H106" s="1264"/>
      <c r="I106" s="1264"/>
      <c r="J106" s="1264"/>
      <c r="K106" s="1264"/>
      <c r="L106" s="1264"/>
      <c r="M106" s="1264"/>
      <c r="N106" s="1264"/>
      <c r="O106" s="1127"/>
      <c r="P106" s="1127"/>
    </row>
    <row r="107" spans="1:16" customFormat="1" ht="15" customHeight="1">
      <c r="A107" s="2523" t="s">
        <v>327</v>
      </c>
      <c r="B107" s="2524" t="s">
        <v>325</v>
      </c>
      <c r="C107" s="2528" t="s">
        <v>8</v>
      </c>
      <c r="D107" s="2526" t="s">
        <v>70</v>
      </c>
      <c r="E107" s="2525" t="s">
        <v>71</v>
      </c>
      <c r="F107" s="2525"/>
      <c r="G107" s="2525"/>
      <c r="H107" s="2525"/>
      <c r="I107" s="2525"/>
      <c r="J107" s="2525"/>
      <c r="K107" s="2525"/>
      <c r="L107" s="2525"/>
      <c r="M107" s="1264"/>
      <c r="N107" s="1264"/>
      <c r="O107" s="1127"/>
      <c r="P107" s="1127"/>
    </row>
    <row r="108" spans="1:16" customFormat="1" ht="103.5" customHeight="1">
      <c r="A108" s="2523"/>
      <c r="B108" s="2524"/>
      <c r="C108" s="2528"/>
      <c r="D108" s="2526"/>
      <c r="E108" s="1252" t="s">
        <v>13</v>
      </c>
      <c r="F108" s="1253" t="s">
        <v>66</v>
      </c>
      <c r="G108" s="1254" t="s">
        <v>54</v>
      </c>
      <c r="H108" s="1255" t="s">
        <v>55</v>
      </c>
      <c r="I108" s="1255" t="s">
        <v>56</v>
      </c>
      <c r="J108" s="1256" t="s">
        <v>67</v>
      </c>
      <c r="K108" s="1254" t="s">
        <v>57</v>
      </c>
      <c r="L108" s="1254" t="s">
        <v>58</v>
      </c>
      <c r="M108" s="1264"/>
      <c r="N108" s="1264"/>
      <c r="O108" s="1127"/>
      <c r="P108" s="1127"/>
    </row>
    <row r="109" spans="1:16" customFormat="1">
      <c r="A109" s="2529"/>
      <c r="B109" s="2529"/>
      <c r="C109" s="1186">
        <v>2014</v>
      </c>
      <c r="D109" s="1148"/>
      <c r="E109" s="1257"/>
      <c r="F109" s="1186"/>
      <c r="G109" s="1186"/>
      <c r="H109" s="1186"/>
      <c r="I109" s="1186"/>
      <c r="J109" s="1186"/>
      <c r="K109" s="1186"/>
      <c r="L109" s="1186"/>
      <c r="M109" s="1264"/>
      <c r="N109" s="1264"/>
      <c r="O109" s="1127"/>
      <c r="P109" s="1127"/>
    </row>
    <row r="110" spans="1:16" customFormat="1">
      <c r="A110" s="2529"/>
      <c r="B110" s="2529"/>
      <c r="C110" s="1187">
        <v>2015</v>
      </c>
      <c r="D110" s="1152">
        <v>0</v>
      </c>
      <c r="E110" s="1259">
        <v>0</v>
      </c>
      <c r="F110" s="1187">
        <v>0</v>
      </c>
      <c r="G110" s="1187">
        <v>0</v>
      </c>
      <c r="H110" s="1187">
        <v>0</v>
      </c>
      <c r="I110" s="1187">
        <v>0</v>
      </c>
      <c r="J110" s="1187">
        <v>0</v>
      </c>
      <c r="K110" s="1187">
        <v>0</v>
      </c>
      <c r="L110" s="1187">
        <v>0</v>
      </c>
      <c r="M110" s="1264"/>
      <c r="N110" s="1264"/>
      <c r="O110" s="1127"/>
      <c r="P110" s="1127"/>
    </row>
    <row r="111" spans="1:16" customFormat="1">
      <c r="A111" s="2529"/>
      <c r="B111" s="2529"/>
      <c r="C111" s="1187">
        <v>2016</v>
      </c>
      <c r="D111" s="1152">
        <v>0</v>
      </c>
      <c r="E111" s="1259">
        <v>0</v>
      </c>
      <c r="F111" s="1187">
        <v>0</v>
      </c>
      <c r="G111" s="1187">
        <v>0</v>
      </c>
      <c r="H111" s="1187">
        <v>0</v>
      </c>
      <c r="I111" s="1187">
        <v>0</v>
      </c>
      <c r="J111" s="1187">
        <v>0</v>
      </c>
      <c r="K111" s="1187">
        <v>0</v>
      </c>
      <c r="L111" s="1187">
        <v>0</v>
      </c>
      <c r="M111" s="1264"/>
      <c r="N111" s="1264"/>
      <c r="O111" s="1127"/>
      <c r="P111" s="1127"/>
    </row>
    <row r="112" spans="1:16" customFormat="1">
      <c r="A112" s="2529"/>
      <c r="B112" s="2529"/>
      <c r="C112" s="1187">
        <v>2017</v>
      </c>
      <c r="D112" s="1152"/>
      <c r="E112" s="1259"/>
      <c r="F112" s="1187"/>
      <c r="G112" s="1187"/>
      <c r="H112" s="1187"/>
      <c r="I112" s="1187"/>
      <c r="J112" s="1187"/>
      <c r="K112" s="1187"/>
      <c r="L112" s="1187"/>
      <c r="M112" s="1264"/>
      <c r="N112" s="1264"/>
      <c r="O112" s="1127"/>
      <c r="P112" s="1127"/>
    </row>
    <row r="113" spans="1:14" customFormat="1">
      <c r="A113" s="2529"/>
      <c r="B113" s="2529"/>
      <c r="C113" s="1187">
        <v>2018</v>
      </c>
      <c r="D113" s="1152"/>
      <c r="E113" s="1259"/>
      <c r="F113" s="1187"/>
      <c r="G113" s="1187"/>
      <c r="H113" s="1187"/>
      <c r="I113" s="1187"/>
      <c r="J113" s="1187"/>
      <c r="K113" s="1187"/>
      <c r="L113" s="1187"/>
      <c r="M113" s="1264"/>
      <c r="N113" s="1264"/>
    </row>
    <row r="114" spans="1:14" customFormat="1">
      <c r="A114" s="2529"/>
      <c r="B114" s="2529"/>
      <c r="C114" s="1187">
        <v>2019</v>
      </c>
      <c r="D114" s="1152"/>
      <c r="E114" s="1259"/>
      <c r="F114" s="1187"/>
      <c r="G114" s="1187"/>
      <c r="H114" s="1187"/>
      <c r="I114" s="1187"/>
      <c r="J114" s="1187"/>
      <c r="K114" s="1187"/>
      <c r="L114" s="1187"/>
      <c r="M114" s="1264"/>
      <c r="N114" s="1264"/>
    </row>
    <row r="115" spans="1:14" customFormat="1">
      <c r="A115" s="2529"/>
      <c r="B115" s="2529"/>
      <c r="C115" s="1187">
        <v>2020</v>
      </c>
      <c r="D115" s="1152"/>
      <c r="E115" s="1259"/>
      <c r="F115" s="1187"/>
      <c r="G115" s="1187"/>
      <c r="H115" s="1187"/>
      <c r="I115" s="1187"/>
      <c r="J115" s="1187"/>
      <c r="K115" s="1187"/>
      <c r="L115" s="1187"/>
      <c r="M115" s="1264"/>
      <c r="N115" s="1264"/>
    </row>
    <row r="116" spans="1:14" customFormat="1" ht="25.5" customHeight="1">
      <c r="A116" s="2529"/>
      <c r="B116" s="2529"/>
      <c r="C116" s="1210" t="s">
        <v>12</v>
      </c>
      <c r="D116" s="1213">
        <v>0</v>
      </c>
      <c r="E116" s="1260">
        <v>0</v>
      </c>
      <c r="F116" s="1261">
        <v>0</v>
      </c>
      <c r="G116" s="1261">
        <v>0</v>
      </c>
      <c r="H116" s="1261">
        <v>0</v>
      </c>
      <c r="I116" s="1261">
        <v>0</v>
      </c>
      <c r="J116" s="1261"/>
      <c r="K116" s="1261">
        <v>0</v>
      </c>
      <c r="L116" s="1261">
        <v>0</v>
      </c>
      <c r="M116" s="1264"/>
      <c r="N116" s="1264"/>
    </row>
    <row r="117" spans="1:14" customFormat="1" ht="21">
      <c r="A117" s="1248"/>
      <c r="B117" s="1265"/>
      <c r="C117" s="1179"/>
      <c r="D117" s="1179"/>
      <c r="E117" s="1179"/>
      <c r="F117" s="1179"/>
      <c r="G117" s="1179"/>
      <c r="H117" s="1179"/>
      <c r="I117" s="1179"/>
      <c r="J117" s="1179"/>
      <c r="K117" s="1179"/>
      <c r="L117" s="1179"/>
      <c r="M117" s="1264"/>
      <c r="N117" s="1264"/>
    </row>
    <row r="118" spans="1:14" customFormat="1" ht="15" customHeight="1">
      <c r="A118" s="2523" t="s">
        <v>72</v>
      </c>
      <c r="B118" s="2524" t="s">
        <v>325</v>
      </c>
      <c r="C118" s="2528" t="s">
        <v>8</v>
      </c>
      <c r="D118" s="2526" t="s">
        <v>73</v>
      </c>
      <c r="E118" s="2525" t="s">
        <v>71</v>
      </c>
      <c r="F118" s="2525"/>
      <c r="G118" s="2525"/>
      <c r="H118" s="2525"/>
      <c r="I118" s="2525"/>
      <c r="J118" s="2525"/>
      <c r="K118" s="2525"/>
      <c r="L118" s="2525"/>
      <c r="M118" s="1264"/>
      <c r="N118" s="1264"/>
    </row>
    <row r="119" spans="1:14" customFormat="1" ht="120.75" customHeight="1">
      <c r="A119" s="2523"/>
      <c r="B119" s="2524"/>
      <c r="C119" s="2528"/>
      <c r="D119" s="2526"/>
      <c r="E119" s="1252" t="s">
        <v>13</v>
      </c>
      <c r="F119" s="1253" t="s">
        <v>66</v>
      </c>
      <c r="G119" s="1254" t="s">
        <v>54</v>
      </c>
      <c r="H119" s="1255" t="s">
        <v>55</v>
      </c>
      <c r="I119" s="1255" t="s">
        <v>56</v>
      </c>
      <c r="J119" s="1256" t="s">
        <v>67</v>
      </c>
      <c r="K119" s="1254" t="s">
        <v>57</v>
      </c>
      <c r="L119" s="1254" t="s">
        <v>58</v>
      </c>
      <c r="M119" s="1264"/>
      <c r="N119" s="1264"/>
    </row>
    <row r="120" spans="1:14" customFormat="1">
      <c r="A120" s="2529"/>
      <c r="B120" s="2529"/>
      <c r="C120" s="1186">
        <v>2014</v>
      </c>
      <c r="D120" s="1148"/>
      <c r="E120" s="1257"/>
      <c r="F120" s="1186"/>
      <c r="G120" s="1186"/>
      <c r="H120" s="1186"/>
      <c r="I120" s="1186"/>
      <c r="J120" s="1186"/>
      <c r="K120" s="1186"/>
      <c r="L120" s="1186"/>
      <c r="M120" s="1264"/>
      <c r="N120" s="1264"/>
    </row>
    <row r="121" spans="1:14" customFormat="1">
      <c r="A121" s="2529"/>
      <c r="B121" s="2529"/>
      <c r="C121" s="1187">
        <v>2015</v>
      </c>
      <c r="D121" s="1152">
        <v>0</v>
      </c>
      <c r="E121" s="1259">
        <v>0</v>
      </c>
      <c r="F121" s="1187">
        <v>0</v>
      </c>
      <c r="G121" s="1187">
        <v>0</v>
      </c>
      <c r="H121" s="1187">
        <v>0</v>
      </c>
      <c r="I121" s="1187">
        <v>0</v>
      </c>
      <c r="J121" s="1187">
        <v>0</v>
      </c>
      <c r="K121" s="1187">
        <v>0</v>
      </c>
      <c r="L121" s="1187">
        <v>0</v>
      </c>
      <c r="M121" s="1264"/>
      <c r="N121" s="1264"/>
    </row>
    <row r="122" spans="1:14" customFormat="1">
      <c r="A122" s="2529"/>
      <c r="B122" s="2529"/>
      <c r="C122" s="1187">
        <v>2016</v>
      </c>
      <c r="D122" s="1152">
        <v>0</v>
      </c>
      <c r="E122" s="1259">
        <v>0</v>
      </c>
      <c r="F122" s="1187">
        <v>0</v>
      </c>
      <c r="G122" s="1187">
        <v>0</v>
      </c>
      <c r="H122" s="1187">
        <v>0</v>
      </c>
      <c r="I122" s="1187">
        <v>0</v>
      </c>
      <c r="J122" s="1187">
        <v>0</v>
      </c>
      <c r="K122" s="1187">
        <v>0</v>
      </c>
      <c r="L122" s="1187">
        <v>0</v>
      </c>
      <c r="M122" s="1264"/>
      <c r="N122" s="1264"/>
    </row>
    <row r="123" spans="1:14" customFormat="1">
      <c r="A123" s="2529"/>
      <c r="B123" s="2529"/>
      <c r="C123" s="1187">
        <v>2017</v>
      </c>
      <c r="D123" s="1152"/>
      <c r="E123" s="1259"/>
      <c r="F123" s="1187"/>
      <c r="G123" s="1187"/>
      <c r="H123" s="1187"/>
      <c r="I123" s="1187"/>
      <c r="J123" s="1187"/>
      <c r="K123" s="1187"/>
      <c r="L123" s="1187"/>
      <c r="M123" s="1264"/>
      <c r="N123" s="1264"/>
    </row>
    <row r="124" spans="1:14" customFormat="1">
      <c r="A124" s="2529"/>
      <c r="B124" s="2529"/>
      <c r="C124" s="1187">
        <v>2018</v>
      </c>
      <c r="D124" s="1152"/>
      <c r="E124" s="1259"/>
      <c r="F124" s="1187"/>
      <c r="G124" s="1187"/>
      <c r="H124" s="1187"/>
      <c r="I124" s="1187"/>
      <c r="J124" s="1187"/>
      <c r="K124" s="1187"/>
      <c r="L124" s="1187"/>
      <c r="M124" s="1264"/>
      <c r="N124" s="1264"/>
    </row>
    <row r="125" spans="1:14" customFormat="1">
      <c r="A125" s="2529"/>
      <c r="B125" s="2529"/>
      <c r="C125" s="1187">
        <v>2019</v>
      </c>
      <c r="D125" s="1152"/>
      <c r="E125" s="1259"/>
      <c r="F125" s="1187"/>
      <c r="G125" s="1187"/>
      <c r="H125" s="1187"/>
      <c r="I125" s="1187"/>
      <c r="J125" s="1187"/>
      <c r="K125" s="1187"/>
      <c r="L125" s="1187"/>
      <c r="M125" s="1264"/>
      <c r="N125" s="1264"/>
    </row>
    <row r="126" spans="1:14" customFormat="1">
      <c r="A126" s="2529"/>
      <c r="B126" s="2529"/>
      <c r="C126" s="1187">
        <v>2020</v>
      </c>
      <c r="D126" s="1152"/>
      <c r="E126" s="1259"/>
      <c r="F126" s="1187"/>
      <c r="G126" s="1187"/>
      <c r="H126" s="1187"/>
      <c r="I126" s="1187"/>
      <c r="J126" s="1187"/>
      <c r="K126" s="1187"/>
      <c r="L126" s="1187"/>
      <c r="M126" s="1264"/>
      <c r="N126" s="1264"/>
    </row>
    <row r="127" spans="1:14" customFormat="1">
      <c r="A127" s="2529"/>
      <c r="B127" s="2529"/>
      <c r="C127" s="1210" t="s">
        <v>12</v>
      </c>
      <c r="D127" s="1213">
        <v>0</v>
      </c>
      <c r="E127" s="1260">
        <v>0</v>
      </c>
      <c r="F127" s="1261">
        <v>0</v>
      </c>
      <c r="G127" s="1261">
        <v>0</v>
      </c>
      <c r="H127" s="1261">
        <v>0</v>
      </c>
      <c r="I127" s="1261">
        <v>0</v>
      </c>
      <c r="J127" s="1261"/>
      <c r="K127" s="1261">
        <v>0</v>
      </c>
      <c r="L127" s="1261">
        <v>0</v>
      </c>
      <c r="M127" s="1264"/>
      <c r="N127" s="1264"/>
    </row>
    <row r="128" spans="1:14" customFormat="1">
      <c r="A128" s="1262"/>
      <c r="B128" s="1262"/>
      <c r="C128" s="1263"/>
      <c r="D128" s="1130"/>
      <c r="E128" s="1130"/>
      <c r="F128" s="1127"/>
      <c r="G128" s="1127"/>
      <c r="H128" s="1264"/>
      <c r="I128" s="1264"/>
      <c r="J128" s="1264"/>
      <c r="K128" s="1264"/>
      <c r="L128" s="1264"/>
      <c r="M128" s="1264"/>
      <c r="N128" s="1264"/>
    </row>
    <row r="129" spans="1:16" customFormat="1" ht="15" customHeight="1">
      <c r="A129" s="2523" t="s">
        <v>74</v>
      </c>
      <c r="B129" s="2524" t="s">
        <v>325</v>
      </c>
      <c r="C129" s="1266" t="s">
        <v>8</v>
      </c>
      <c r="D129" s="2526" t="s">
        <v>75</v>
      </c>
      <c r="E129" s="2526"/>
      <c r="F129" s="2526"/>
      <c r="G129" s="2526"/>
      <c r="H129" s="1264"/>
      <c r="I129" s="1264"/>
      <c r="J129" s="1264"/>
      <c r="K129" s="1264"/>
      <c r="L129" s="1264"/>
      <c r="M129" s="1264"/>
      <c r="N129" s="1264"/>
      <c r="O129" s="1127"/>
      <c r="P129" s="1127"/>
    </row>
    <row r="130" spans="1:16" customFormat="1" ht="77.25" customHeight="1">
      <c r="A130" s="2523"/>
      <c r="B130" s="2524"/>
      <c r="C130" s="1267"/>
      <c r="D130" s="1250" t="s">
        <v>76</v>
      </c>
      <c r="E130" s="1251" t="s">
        <v>77</v>
      </c>
      <c r="F130" s="1251" t="s">
        <v>78</v>
      </c>
      <c r="G130" s="1268" t="s">
        <v>12</v>
      </c>
      <c r="H130" s="1264"/>
      <c r="I130" s="1264"/>
      <c r="J130" s="1264"/>
      <c r="K130" s="1264"/>
      <c r="L130" s="1264"/>
      <c r="M130" s="1264"/>
      <c r="N130" s="1264"/>
      <c r="O130" s="1127"/>
      <c r="P130" s="1127"/>
    </row>
    <row r="131" spans="1:16" customFormat="1" ht="15" customHeight="1">
      <c r="A131" s="2530" t="s">
        <v>328</v>
      </c>
      <c r="B131" s="2531"/>
      <c r="C131" s="1358">
        <v>2015</v>
      </c>
      <c r="D131" s="1269">
        <v>48</v>
      </c>
      <c r="E131" s="1270">
        <v>0</v>
      </c>
      <c r="F131" s="1270">
        <v>0</v>
      </c>
      <c r="G131" s="1271">
        <f>SUM(D131:F131)</f>
        <v>48</v>
      </c>
      <c r="H131" s="1264"/>
      <c r="I131" s="1264"/>
      <c r="J131" s="1264"/>
      <c r="K131" s="1264"/>
      <c r="L131" s="1264"/>
      <c r="M131" s="1264"/>
      <c r="N131" s="1264"/>
      <c r="O131" s="1127"/>
      <c r="P131" s="1127"/>
    </row>
    <row r="132" spans="1:16" customFormat="1">
      <c r="A132" s="2530"/>
      <c r="B132" s="2531"/>
      <c r="C132" s="1187">
        <v>2016</v>
      </c>
      <c r="D132" s="1155">
        <v>105</v>
      </c>
      <c r="E132" s="1152">
        <v>0</v>
      </c>
      <c r="F132" s="1152">
        <v>0</v>
      </c>
      <c r="G132" s="1272">
        <f>SUM(D132:F132)</f>
        <v>105</v>
      </c>
      <c r="H132" s="1264"/>
      <c r="I132" s="1264"/>
      <c r="J132" s="1264"/>
      <c r="K132" s="1264"/>
      <c r="L132" s="1264"/>
      <c r="M132" s="1264"/>
      <c r="N132" s="1264"/>
      <c r="O132" s="1127"/>
      <c r="P132" s="1127"/>
    </row>
    <row r="133" spans="1:16" customFormat="1">
      <c r="A133" s="2530"/>
      <c r="B133" s="2531"/>
      <c r="C133" s="1187">
        <v>2017</v>
      </c>
      <c r="D133" s="1155"/>
      <c r="E133" s="1152"/>
      <c r="F133" s="1152"/>
      <c r="G133" s="1272">
        <v>0</v>
      </c>
      <c r="H133" s="1264"/>
      <c r="I133" s="1264"/>
      <c r="J133" s="1264"/>
      <c r="K133" s="1264"/>
      <c r="L133" s="1264"/>
      <c r="M133" s="1264"/>
      <c r="N133" s="1264"/>
      <c r="O133" s="1127"/>
      <c r="P133" s="1127"/>
    </row>
    <row r="134" spans="1:16" customFormat="1">
      <c r="A134" s="2530"/>
      <c r="B134" s="2531"/>
      <c r="C134" s="1187">
        <v>2018</v>
      </c>
      <c r="D134" s="1155"/>
      <c r="E134" s="1152"/>
      <c r="F134" s="1152"/>
      <c r="G134" s="1272">
        <v>0</v>
      </c>
      <c r="H134" s="1264"/>
      <c r="I134" s="1264"/>
      <c r="J134" s="1264"/>
      <c r="K134" s="1264"/>
      <c r="L134" s="1264"/>
      <c r="M134" s="1264"/>
      <c r="N134" s="1264"/>
      <c r="O134" s="1127"/>
      <c r="P134" s="1127"/>
    </row>
    <row r="135" spans="1:16" customFormat="1">
      <c r="A135" s="2530"/>
      <c r="B135" s="2531"/>
      <c r="C135" s="1187">
        <v>2019</v>
      </c>
      <c r="D135" s="1155"/>
      <c r="E135" s="1152"/>
      <c r="F135" s="1152"/>
      <c r="G135" s="1272">
        <v>0</v>
      </c>
      <c r="H135" s="1264"/>
      <c r="I135" s="1264"/>
      <c r="J135" s="1264"/>
      <c r="K135" s="1264"/>
      <c r="L135" s="1264"/>
      <c r="M135" s="1264"/>
      <c r="N135" s="1264"/>
      <c r="O135" s="1127"/>
      <c r="P135" s="1127"/>
    </row>
    <row r="136" spans="1:16" customFormat="1">
      <c r="A136" s="2530"/>
      <c r="B136" s="2531"/>
      <c r="C136" s="1187">
        <v>2020</v>
      </c>
      <c r="D136" s="1155"/>
      <c r="E136" s="1152"/>
      <c r="F136" s="1152"/>
      <c r="G136" s="1272">
        <v>0</v>
      </c>
      <c r="H136" s="1264"/>
      <c r="I136" s="1264"/>
      <c r="J136" s="1264"/>
      <c r="K136" s="1264"/>
      <c r="L136" s="1264"/>
      <c r="M136" s="1264"/>
      <c r="N136" s="1264"/>
      <c r="O136" s="1127"/>
      <c r="P136" s="1127"/>
    </row>
    <row r="137" spans="1:16" customFormat="1" ht="17.25" customHeight="1">
      <c r="A137" s="2532"/>
      <c r="B137" s="2533"/>
      <c r="C137" s="1210" t="s">
        <v>12</v>
      </c>
      <c r="D137" s="1227">
        <f>SUM(D131:D136)</f>
        <v>153</v>
      </c>
      <c r="E137" s="1227">
        <v>0</v>
      </c>
      <c r="F137" s="1227">
        <v>0</v>
      </c>
      <c r="G137" s="1273">
        <f>SUM(G131:G136)</f>
        <v>153</v>
      </c>
      <c r="H137" s="1264"/>
      <c r="I137" s="1264"/>
      <c r="J137" s="1264"/>
      <c r="K137" s="1264"/>
      <c r="L137" s="1264"/>
      <c r="M137" s="1264"/>
      <c r="N137" s="1264"/>
      <c r="O137" s="1127"/>
      <c r="P137" s="1127"/>
    </row>
    <row r="138" spans="1:16" customFormat="1">
      <c r="A138" s="1262"/>
      <c r="B138" s="1262"/>
      <c r="C138" s="1263"/>
      <c r="D138" s="1130"/>
      <c r="E138" s="1130"/>
      <c r="F138" s="1127"/>
      <c r="G138" s="1127"/>
      <c r="H138" s="1264"/>
      <c r="I138" s="1264"/>
      <c r="J138" s="1264"/>
      <c r="K138" s="1264"/>
      <c r="L138" s="1264"/>
      <c r="M138" s="1264"/>
      <c r="N138" s="1264"/>
      <c r="O138" s="1127"/>
      <c r="P138" s="1127"/>
    </row>
    <row r="139" spans="1:16" s="1179" customFormat="1" ht="33" customHeight="1">
      <c r="A139" s="1274"/>
      <c r="B139" s="1193"/>
      <c r="C139" s="1194"/>
      <c r="D139" s="1151"/>
      <c r="E139" s="1151"/>
      <c r="F139" s="1151"/>
      <c r="G139" s="1151"/>
      <c r="H139" s="1151"/>
      <c r="I139" s="1275"/>
      <c r="J139" s="1276"/>
      <c r="K139" s="1276"/>
      <c r="L139" s="1276"/>
      <c r="M139" s="1276"/>
      <c r="N139" s="1276"/>
      <c r="O139" s="1276"/>
      <c r="P139" s="1276"/>
    </row>
    <row r="140" spans="1:16" customFormat="1" ht="21">
      <c r="A140" s="1277" t="s">
        <v>79</v>
      </c>
      <c r="B140" s="1277"/>
      <c r="C140" s="1278"/>
      <c r="D140" s="1278"/>
      <c r="E140" s="1278"/>
      <c r="F140" s="1278"/>
      <c r="G140" s="1278"/>
      <c r="H140" s="1278"/>
      <c r="I140" s="1278"/>
      <c r="J140" s="1278"/>
      <c r="K140" s="1278"/>
      <c r="L140" s="1278"/>
      <c r="M140" s="1278"/>
      <c r="N140" s="1278"/>
      <c r="O140" s="1247"/>
      <c r="P140" s="1247"/>
    </row>
    <row r="141" spans="1:16" customFormat="1" ht="21.75" customHeight="1">
      <c r="A141" s="1279"/>
      <c r="B141" s="1215"/>
      <c r="C141" s="1229"/>
      <c r="D141" s="1191"/>
      <c r="E141" s="1191"/>
      <c r="F141" s="1191"/>
      <c r="G141" s="1191"/>
      <c r="H141" s="1191"/>
      <c r="I141" s="1249"/>
      <c r="J141" s="1249"/>
      <c r="K141" s="1249"/>
      <c r="L141" s="1249"/>
      <c r="M141" s="1249"/>
      <c r="N141" s="1249"/>
      <c r="O141" s="1249"/>
      <c r="P141" s="1249"/>
    </row>
    <row r="142" spans="1:16" customFormat="1" ht="21.75" customHeight="1">
      <c r="A142" s="2538" t="s">
        <v>80</v>
      </c>
      <c r="B142" s="2536" t="s">
        <v>325</v>
      </c>
      <c r="C142" s="2539" t="s">
        <v>8</v>
      </c>
      <c r="D142" s="2539" t="s">
        <v>81</v>
      </c>
      <c r="E142" s="2539"/>
      <c r="F142" s="2539"/>
      <c r="G142" s="2539"/>
      <c r="H142" s="2539"/>
      <c r="I142" s="2539"/>
      <c r="J142" s="2534" t="s">
        <v>82</v>
      </c>
      <c r="K142" s="2534"/>
      <c r="L142" s="2534"/>
      <c r="M142" s="2534"/>
      <c r="N142" s="2534"/>
      <c r="O142" s="1249"/>
      <c r="P142" s="1249"/>
    </row>
    <row r="143" spans="1:16" customFormat="1" ht="113.25" customHeight="1">
      <c r="A143" s="2538"/>
      <c r="B143" s="2536"/>
      <c r="C143" s="2539"/>
      <c r="D143" s="1280" t="s">
        <v>83</v>
      </c>
      <c r="E143" s="1281" t="s">
        <v>84</v>
      </c>
      <c r="F143" s="1282" t="s">
        <v>85</v>
      </c>
      <c r="G143" s="1282" t="s">
        <v>86</v>
      </c>
      <c r="H143" s="1282" t="s">
        <v>87</v>
      </c>
      <c r="I143" s="1282" t="s">
        <v>88</v>
      </c>
      <c r="J143" s="1283" t="s">
        <v>89</v>
      </c>
      <c r="K143" s="1284" t="s">
        <v>90</v>
      </c>
      <c r="L143" s="1283" t="s">
        <v>91</v>
      </c>
      <c r="M143" s="1284" t="s">
        <v>90</v>
      </c>
      <c r="N143" s="1285" t="s">
        <v>92</v>
      </c>
      <c r="O143" s="1249"/>
      <c r="P143" s="1249"/>
    </row>
    <row r="144" spans="1:16" customFormat="1" ht="19.5" customHeight="1">
      <c r="A144" s="2529"/>
      <c r="B144" s="2529"/>
      <c r="C144" s="1186">
        <v>2014</v>
      </c>
      <c r="D144" s="1149"/>
      <c r="E144" s="1149"/>
      <c r="F144" s="1148"/>
      <c r="G144" s="1186"/>
      <c r="H144" s="1186"/>
      <c r="I144" s="1261">
        <v>0</v>
      </c>
      <c r="J144" s="1286"/>
      <c r="K144" s="1186"/>
      <c r="L144" s="1286"/>
      <c r="M144" s="1186"/>
      <c r="N144" s="1287"/>
      <c r="O144" s="1249"/>
      <c r="P144" s="1249"/>
    </row>
    <row r="145" spans="1:16" customFormat="1" ht="19.5" customHeight="1">
      <c r="A145" s="2529"/>
      <c r="B145" s="2529"/>
      <c r="C145" s="1187">
        <v>2015</v>
      </c>
      <c r="D145" s="1155">
        <v>0</v>
      </c>
      <c r="E145" s="1155">
        <v>0</v>
      </c>
      <c r="F145" s="1152">
        <v>0</v>
      </c>
      <c r="G145" s="1187">
        <v>0</v>
      </c>
      <c r="H145" s="1187">
        <v>0</v>
      </c>
      <c r="I145" s="1261">
        <v>0</v>
      </c>
      <c r="J145" s="1288">
        <v>0</v>
      </c>
      <c r="K145" s="1187">
        <v>0</v>
      </c>
      <c r="L145" s="1288">
        <v>0</v>
      </c>
      <c r="M145" s="1187">
        <v>0</v>
      </c>
      <c r="N145" s="1289">
        <v>0</v>
      </c>
      <c r="O145" s="1249"/>
      <c r="P145" s="1249"/>
    </row>
    <row r="146" spans="1:16" customFormat="1" ht="20.25" customHeight="1">
      <c r="A146" s="2529"/>
      <c r="B146" s="2529"/>
      <c r="C146" s="1187">
        <v>2016</v>
      </c>
      <c r="D146" s="1155">
        <v>0</v>
      </c>
      <c r="E146" s="1155">
        <v>0</v>
      </c>
      <c r="F146" s="1152">
        <v>0</v>
      </c>
      <c r="G146" s="1187">
        <v>0</v>
      </c>
      <c r="H146" s="1187">
        <v>0</v>
      </c>
      <c r="I146" s="1261">
        <v>0</v>
      </c>
      <c r="J146" s="1288">
        <v>0</v>
      </c>
      <c r="K146" s="1187">
        <v>0</v>
      </c>
      <c r="L146" s="1288">
        <v>0</v>
      </c>
      <c r="M146" s="1187">
        <v>0</v>
      </c>
      <c r="N146" s="1289">
        <v>0</v>
      </c>
      <c r="O146" s="1249"/>
      <c r="P146" s="1249"/>
    </row>
    <row r="147" spans="1:16" customFormat="1" ht="17.25" customHeight="1">
      <c r="A147" s="2529"/>
      <c r="B147" s="2529"/>
      <c r="C147" s="1187">
        <v>2017</v>
      </c>
      <c r="D147" s="1155"/>
      <c r="E147" s="1155"/>
      <c r="F147" s="1152"/>
      <c r="G147" s="1187"/>
      <c r="H147" s="1187"/>
      <c r="I147" s="1261">
        <v>0</v>
      </c>
      <c r="J147" s="1288"/>
      <c r="K147" s="1187"/>
      <c r="L147" s="1288"/>
      <c r="M147" s="1187"/>
      <c r="N147" s="1289"/>
      <c r="O147" s="1249"/>
      <c r="P147" s="1249"/>
    </row>
    <row r="148" spans="1:16" customFormat="1" ht="19.5" customHeight="1">
      <c r="A148" s="2529"/>
      <c r="B148" s="2529"/>
      <c r="C148" s="1187">
        <v>2018</v>
      </c>
      <c r="D148" s="1155"/>
      <c r="E148" s="1155"/>
      <c r="F148" s="1152"/>
      <c r="G148" s="1187"/>
      <c r="H148" s="1187"/>
      <c r="I148" s="1261">
        <v>0</v>
      </c>
      <c r="J148" s="1288"/>
      <c r="K148" s="1187"/>
      <c r="L148" s="1288"/>
      <c r="M148" s="1187"/>
      <c r="N148" s="1289"/>
      <c r="O148" s="1249"/>
      <c r="P148" s="1249"/>
    </row>
    <row r="149" spans="1:16" customFormat="1" ht="19.5" customHeight="1">
      <c r="A149" s="2529"/>
      <c r="B149" s="2529"/>
      <c r="C149" s="1187">
        <v>2019</v>
      </c>
      <c r="D149" s="1155"/>
      <c r="E149" s="1155"/>
      <c r="F149" s="1152"/>
      <c r="G149" s="1187"/>
      <c r="H149" s="1187"/>
      <c r="I149" s="1261">
        <v>0</v>
      </c>
      <c r="J149" s="1288"/>
      <c r="K149" s="1187"/>
      <c r="L149" s="1288"/>
      <c r="M149" s="1187"/>
      <c r="N149" s="1289"/>
      <c r="O149" s="1249"/>
      <c r="P149" s="1249"/>
    </row>
    <row r="150" spans="1:16" customFormat="1" ht="18.75" customHeight="1">
      <c r="A150" s="2529"/>
      <c r="B150" s="2529"/>
      <c r="C150" s="1187">
        <v>2020</v>
      </c>
      <c r="D150" s="1155"/>
      <c r="E150" s="1155"/>
      <c r="F150" s="1152"/>
      <c r="G150" s="1187"/>
      <c r="H150" s="1187"/>
      <c r="I150" s="1261">
        <v>0</v>
      </c>
      <c r="J150" s="1288"/>
      <c r="K150" s="1187"/>
      <c r="L150" s="1288"/>
      <c r="M150" s="1187"/>
      <c r="N150" s="1289"/>
      <c r="O150" s="1249"/>
      <c r="P150" s="1249"/>
    </row>
    <row r="151" spans="1:16" customFormat="1" ht="18" customHeight="1">
      <c r="A151" s="2529"/>
      <c r="B151" s="2529"/>
      <c r="C151" s="1210" t="s">
        <v>12</v>
      </c>
      <c r="D151" s="1227">
        <v>0</v>
      </c>
      <c r="E151" s="1227">
        <v>0</v>
      </c>
      <c r="F151" s="1227">
        <v>0</v>
      </c>
      <c r="G151" s="1227">
        <v>0</v>
      </c>
      <c r="H151" s="1227">
        <v>0</v>
      </c>
      <c r="I151" s="1213">
        <v>0</v>
      </c>
      <c r="J151" s="1290">
        <v>0</v>
      </c>
      <c r="K151" s="1261">
        <v>0</v>
      </c>
      <c r="L151" s="1290">
        <v>0</v>
      </c>
      <c r="M151" s="1261">
        <v>0</v>
      </c>
      <c r="N151" s="1291">
        <v>0</v>
      </c>
      <c r="O151" s="1249"/>
      <c r="P151" s="1249"/>
    </row>
    <row r="152" spans="1:16" customFormat="1" ht="27" customHeight="1">
      <c r="A152" s="1127"/>
      <c r="B152" s="1292"/>
      <c r="C152" s="1127"/>
      <c r="D152" s="1127"/>
      <c r="E152" s="1127"/>
      <c r="F152" s="1127"/>
      <c r="G152" s="1127"/>
      <c r="H152" s="1127"/>
      <c r="I152" s="1127"/>
      <c r="J152" s="1127"/>
      <c r="K152" s="1127"/>
      <c r="L152" s="1127"/>
      <c r="M152" s="1127"/>
      <c r="N152" s="1127"/>
      <c r="O152" s="1249"/>
      <c r="P152" s="1249"/>
    </row>
    <row r="153" spans="1:16" customFormat="1" ht="35.25" customHeight="1">
      <c r="A153" s="2535" t="s">
        <v>93</v>
      </c>
      <c r="B153" s="2536" t="s">
        <v>325</v>
      </c>
      <c r="C153" s="2534" t="s">
        <v>8</v>
      </c>
      <c r="D153" s="2537" t="s">
        <v>94</v>
      </c>
      <c r="E153" s="2537"/>
      <c r="F153" s="2537"/>
      <c r="G153" s="2537"/>
      <c r="H153" s="2537" t="s">
        <v>95</v>
      </c>
      <c r="I153" s="2537"/>
      <c r="J153" s="2537"/>
      <c r="K153" s="1147"/>
      <c r="L153" s="1147"/>
      <c r="M153" s="1147"/>
      <c r="N153" s="1147"/>
      <c r="O153" s="1249"/>
      <c r="P153" s="1249"/>
    </row>
    <row r="154" spans="1:16" customFormat="1" ht="49.5" customHeight="1">
      <c r="A154" s="2535"/>
      <c r="B154" s="2536"/>
      <c r="C154" s="2534"/>
      <c r="D154" s="1293" t="s">
        <v>96</v>
      </c>
      <c r="E154" s="1294" t="s">
        <v>329</v>
      </c>
      <c r="F154" s="1295" t="s">
        <v>98</v>
      </c>
      <c r="G154" s="1296" t="s">
        <v>99</v>
      </c>
      <c r="H154" s="1293" t="s">
        <v>100</v>
      </c>
      <c r="I154" s="1294" t="s">
        <v>101</v>
      </c>
      <c r="J154" s="1294" t="s">
        <v>92</v>
      </c>
      <c r="K154" s="1147"/>
      <c r="L154" s="1147"/>
      <c r="M154" s="1147"/>
      <c r="N154" s="1147"/>
      <c r="O154" s="1249"/>
      <c r="P154" s="1249"/>
    </row>
    <row r="155" spans="1:16" customFormat="1" ht="18.75" customHeight="1">
      <c r="A155" s="2529"/>
      <c r="B155" s="2529"/>
      <c r="C155" s="1297">
        <v>2014</v>
      </c>
      <c r="D155" s="1286"/>
      <c r="E155" s="1186"/>
      <c r="F155" s="1186"/>
      <c r="G155" s="1261">
        <v>0</v>
      </c>
      <c r="H155" s="1286"/>
      <c r="I155" s="1186"/>
      <c r="J155" s="1186"/>
      <c r="K155" s="1127"/>
      <c r="L155" s="1127"/>
      <c r="M155" s="1127"/>
      <c r="N155" s="1127"/>
      <c r="O155" s="1249"/>
      <c r="P155" s="1249"/>
    </row>
    <row r="156" spans="1:16" customFormat="1" ht="19.5" customHeight="1">
      <c r="A156" s="2529"/>
      <c r="B156" s="2529"/>
      <c r="C156" s="1298">
        <v>2015</v>
      </c>
      <c r="D156" s="1288">
        <v>0</v>
      </c>
      <c r="E156" s="1187">
        <v>0</v>
      </c>
      <c r="F156" s="1187">
        <v>0</v>
      </c>
      <c r="G156" s="1261">
        <v>0</v>
      </c>
      <c r="H156" s="1288">
        <v>0</v>
      </c>
      <c r="I156" s="1187">
        <v>0</v>
      </c>
      <c r="J156" s="1187">
        <v>0</v>
      </c>
      <c r="K156" s="1127"/>
      <c r="L156" s="1127"/>
      <c r="M156" s="1127"/>
      <c r="N156" s="1127"/>
      <c r="O156" s="1249"/>
      <c r="P156" s="1249"/>
    </row>
    <row r="157" spans="1:16" customFormat="1" ht="17.25" customHeight="1">
      <c r="A157" s="2529"/>
      <c r="B157" s="2529"/>
      <c r="C157" s="1298">
        <v>2016</v>
      </c>
      <c r="D157" s="1288">
        <v>0</v>
      </c>
      <c r="E157" s="1187">
        <v>0</v>
      </c>
      <c r="F157" s="1187">
        <v>0</v>
      </c>
      <c r="G157" s="1261">
        <v>0</v>
      </c>
      <c r="H157" s="1288">
        <v>0</v>
      </c>
      <c r="I157" s="1187">
        <v>0</v>
      </c>
      <c r="J157" s="1187">
        <v>0</v>
      </c>
      <c r="K157" s="1127"/>
      <c r="L157" s="1127"/>
      <c r="M157" s="1127"/>
      <c r="N157" s="1127"/>
      <c r="O157" s="1249"/>
      <c r="P157" s="1249"/>
    </row>
    <row r="158" spans="1:16" customFormat="1" ht="15" customHeight="1">
      <c r="A158" s="2529"/>
      <c r="B158" s="2529"/>
      <c r="C158" s="1298">
        <v>2017</v>
      </c>
      <c r="D158" s="1288"/>
      <c r="E158" s="1187"/>
      <c r="F158" s="1187"/>
      <c r="G158" s="1261">
        <v>0</v>
      </c>
      <c r="H158" s="1288"/>
      <c r="I158" s="1187"/>
      <c r="J158" s="1187"/>
      <c r="K158" s="1127"/>
      <c r="L158" s="1127"/>
      <c r="M158" s="1127"/>
      <c r="N158" s="1127"/>
      <c r="O158" s="1249"/>
      <c r="P158" s="1249"/>
    </row>
    <row r="159" spans="1:16" customFormat="1" ht="19.5" customHeight="1">
      <c r="A159" s="2529"/>
      <c r="B159" s="2529"/>
      <c r="C159" s="1298">
        <v>2018</v>
      </c>
      <c r="D159" s="1288"/>
      <c r="E159" s="1187"/>
      <c r="F159" s="1187"/>
      <c r="G159" s="1261">
        <v>0</v>
      </c>
      <c r="H159" s="1288"/>
      <c r="I159" s="1187"/>
      <c r="J159" s="1187"/>
      <c r="K159" s="1127"/>
      <c r="L159" s="1127"/>
      <c r="M159" s="1127"/>
      <c r="N159" s="1127"/>
      <c r="O159" s="1249"/>
      <c r="P159" s="1249"/>
    </row>
    <row r="160" spans="1:16" customFormat="1" ht="15" customHeight="1">
      <c r="A160" s="2529"/>
      <c r="B160" s="2529"/>
      <c r="C160" s="1298">
        <v>2019</v>
      </c>
      <c r="D160" s="1288"/>
      <c r="E160" s="1187"/>
      <c r="F160" s="1187"/>
      <c r="G160" s="1261">
        <v>0</v>
      </c>
      <c r="H160" s="1288"/>
      <c r="I160" s="1187"/>
      <c r="J160" s="1187"/>
      <c r="K160" s="1127"/>
      <c r="L160" s="1127"/>
      <c r="M160" s="1127"/>
      <c r="N160" s="1127"/>
      <c r="O160" s="1249"/>
      <c r="P160" s="1249"/>
    </row>
    <row r="161" spans="1:18" customFormat="1" ht="17.25" customHeight="1">
      <c r="A161" s="2529"/>
      <c r="B161" s="2529"/>
      <c r="C161" s="1298">
        <v>2020</v>
      </c>
      <c r="D161" s="1288"/>
      <c r="E161" s="1187"/>
      <c r="F161" s="1187"/>
      <c r="G161" s="1261">
        <v>0</v>
      </c>
      <c r="H161" s="1288"/>
      <c r="I161" s="1187"/>
      <c r="J161" s="1187"/>
      <c r="K161" s="1127"/>
      <c r="L161" s="1127"/>
      <c r="M161" s="1127"/>
      <c r="N161" s="1127"/>
      <c r="O161" s="1249"/>
      <c r="P161" s="1249"/>
      <c r="Q161" s="1127"/>
      <c r="R161" s="1127"/>
    </row>
    <row r="162" spans="1:18" customFormat="1">
      <c r="A162" s="2529"/>
      <c r="B162" s="2529"/>
      <c r="C162" s="1299" t="s">
        <v>12</v>
      </c>
      <c r="D162" s="1290">
        <v>0</v>
      </c>
      <c r="E162" s="1261">
        <v>0</v>
      </c>
      <c r="F162" s="1261">
        <v>0</v>
      </c>
      <c r="G162" s="1261">
        <v>0</v>
      </c>
      <c r="H162" s="1290">
        <v>0</v>
      </c>
      <c r="I162" s="1261">
        <v>0</v>
      </c>
      <c r="J162" s="1300">
        <v>0</v>
      </c>
      <c r="K162" s="1127"/>
      <c r="L162" s="1127"/>
      <c r="M162" s="1127"/>
      <c r="N162" s="1127"/>
      <c r="O162" s="1127"/>
      <c r="P162" s="1127"/>
      <c r="Q162" s="1127"/>
      <c r="R162" s="1127"/>
    </row>
    <row r="163" spans="1:18" customFormat="1" ht="24.75" customHeight="1">
      <c r="A163" s="1279"/>
      <c r="B163" s="1215"/>
      <c r="C163" s="1301"/>
      <c r="D163" s="1249"/>
      <c r="E163" s="1302"/>
      <c r="F163" s="1249"/>
      <c r="G163" s="1249"/>
      <c r="H163" s="1249"/>
      <c r="I163" s="1249"/>
      <c r="J163" s="1230"/>
      <c r="K163" s="1303"/>
      <c r="L163" s="1127"/>
      <c r="M163" s="1127"/>
      <c r="N163" s="1127"/>
      <c r="O163" s="1127"/>
      <c r="P163" s="1127"/>
      <c r="Q163" s="1127"/>
      <c r="R163" s="1127"/>
    </row>
    <row r="164" spans="1:18" customFormat="1" ht="95.25" customHeight="1">
      <c r="A164" s="1304" t="s">
        <v>102</v>
      </c>
      <c r="B164" s="1305" t="s">
        <v>330</v>
      </c>
      <c r="C164" s="1306" t="s">
        <v>8</v>
      </c>
      <c r="D164" s="1307" t="s">
        <v>104</v>
      </c>
      <c r="E164" s="1307" t="s">
        <v>105</v>
      </c>
      <c r="F164" s="1308" t="s">
        <v>106</v>
      </c>
      <c r="G164" s="1307" t="s">
        <v>107</v>
      </c>
      <c r="H164" s="1307" t="s">
        <v>108</v>
      </c>
      <c r="I164" s="1307" t="s">
        <v>109</v>
      </c>
      <c r="J164" s="1309" t="s">
        <v>110</v>
      </c>
      <c r="K164" s="1309" t="s">
        <v>111</v>
      </c>
      <c r="L164" s="1204"/>
      <c r="M164" s="1127"/>
      <c r="N164" s="1127"/>
      <c r="O164" s="1127"/>
      <c r="P164" s="1127"/>
      <c r="Q164" s="1127"/>
      <c r="R164" s="1127"/>
    </row>
    <row r="165" spans="1:18" customFormat="1" ht="15.75" customHeight="1">
      <c r="A165" s="2540"/>
      <c r="B165" s="2540"/>
      <c r="C165" s="1310">
        <v>2014</v>
      </c>
      <c r="D165" s="1186"/>
      <c r="E165" s="1186"/>
      <c r="F165" s="1186"/>
      <c r="G165" s="1186"/>
      <c r="H165" s="1186"/>
      <c r="I165" s="1186"/>
      <c r="J165" s="1311">
        <v>0</v>
      </c>
      <c r="K165" s="1148">
        <v>0</v>
      </c>
      <c r="L165" s="1204"/>
      <c r="M165" s="1127"/>
      <c r="N165" s="1127"/>
      <c r="O165" s="1127"/>
      <c r="P165" s="1127"/>
      <c r="Q165" s="1127"/>
      <c r="R165" s="1127"/>
    </row>
    <row r="166" spans="1:18" customFormat="1">
      <c r="A166" s="2540"/>
      <c r="B166" s="2540"/>
      <c r="C166" s="1312">
        <v>2015</v>
      </c>
      <c r="D166" s="1313">
        <v>0</v>
      </c>
      <c r="E166" s="1313">
        <v>0</v>
      </c>
      <c r="F166" s="1313">
        <v>0</v>
      </c>
      <c r="G166" s="1313">
        <v>0</v>
      </c>
      <c r="H166" s="1313">
        <v>0</v>
      </c>
      <c r="I166" s="1313">
        <v>0</v>
      </c>
      <c r="J166" s="1314">
        <v>0</v>
      </c>
      <c r="K166" s="1213">
        <v>0</v>
      </c>
      <c r="L166" s="1204"/>
      <c r="M166" s="1127"/>
      <c r="N166" s="1127"/>
      <c r="O166" s="1127"/>
      <c r="P166" s="1127"/>
      <c r="Q166" s="1127"/>
      <c r="R166" s="1127"/>
    </row>
    <row r="167" spans="1:18" customFormat="1">
      <c r="A167" s="2540"/>
      <c r="B167" s="2540"/>
      <c r="C167" s="1312">
        <v>2016</v>
      </c>
      <c r="D167" s="1313">
        <v>0</v>
      </c>
      <c r="E167" s="1313">
        <v>0</v>
      </c>
      <c r="F167" s="1313">
        <v>0</v>
      </c>
      <c r="G167" s="1313">
        <v>0</v>
      </c>
      <c r="H167" s="1313">
        <v>0</v>
      </c>
      <c r="I167" s="1313">
        <v>0</v>
      </c>
      <c r="J167" s="1314">
        <v>0</v>
      </c>
      <c r="K167" s="1213">
        <v>0</v>
      </c>
      <c r="L167" s="1127"/>
      <c r="M167" s="1127"/>
      <c r="N167" s="1127"/>
      <c r="O167" s="1127"/>
      <c r="P167" s="1127"/>
      <c r="Q167" s="1127"/>
      <c r="R167" s="1127"/>
    </row>
    <row r="168" spans="1:18" customFormat="1">
      <c r="A168" s="2540"/>
      <c r="B168" s="2540"/>
      <c r="C168" s="1312">
        <v>2017</v>
      </c>
      <c r="D168" s="1313"/>
      <c r="E168" s="1249"/>
      <c r="F168" s="1313"/>
      <c r="G168" s="1313"/>
      <c r="H168" s="1313"/>
      <c r="I168" s="1313"/>
      <c r="J168" s="1314">
        <v>0</v>
      </c>
      <c r="K168" s="1213">
        <v>0</v>
      </c>
      <c r="L168" s="1127"/>
      <c r="M168" s="1127"/>
      <c r="N168" s="1127"/>
      <c r="O168" s="1127"/>
      <c r="P168" s="1127"/>
      <c r="Q168" s="1127"/>
      <c r="R168" s="1127"/>
    </row>
    <row r="169" spans="1:18" customFormat="1">
      <c r="A169" s="2540"/>
      <c r="B169" s="2540"/>
      <c r="C169" s="1315">
        <v>2018</v>
      </c>
      <c r="D169" s="1313"/>
      <c r="E169" s="1313"/>
      <c r="F169" s="1313"/>
      <c r="G169" s="1316"/>
      <c r="H169" s="1313"/>
      <c r="I169" s="1313"/>
      <c r="J169" s="1314">
        <v>0</v>
      </c>
      <c r="K169" s="1213">
        <v>0</v>
      </c>
      <c r="L169" s="1204"/>
      <c r="M169" s="1127"/>
      <c r="N169" s="1127"/>
      <c r="O169" s="1127"/>
      <c r="P169" s="1127"/>
      <c r="Q169" s="1127"/>
      <c r="R169" s="1127"/>
    </row>
    <row r="170" spans="1:18" customFormat="1">
      <c r="A170" s="2540"/>
      <c r="B170" s="2540"/>
      <c r="C170" s="1312">
        <v>2019</v>
      </c>
      <c r="D170" s="1249"/>
      <c r="E170" s="1313"/>
      <c r="F170" s="1313"/>
      <c r="G170" s="1313"/>
      <c r="H170" s="1316"/>
      <c r="I170" s="1313"/>
      <c r="J170" s="1314">
        <v>0</v>
      </c>
      <c r="K170" s="1213">
        <v>0</v>
      </c>
      <c r="L170" s="1204"/>
      <c r="M170" s="1127"/>
      <c r="N170" s="1127"/>
      <c r="O170" s="1127"/>
      <c r="P170" s="1127"/>
      <c r="Q170" s="1127"/>
      <c r="R170" s="1127"/>
    </row>
    <row r="171" spans="1:18" customFormat="1">
      <c r="A171" s="2540"/>
      <c r="B171" s="2540"/>
      <c r="C171" s="1315">
        <v>2020</v>
      </c>
      <c r="D171" s="1313"/>
      <c r="E171" s="1313"/>
      <c r="F171" s="1313"/>
      <c r="G171" s="1313"/>
      <c r="H171" s="1313"/>
      <c r="I171" s="1313"/>
      <c r="J171" s="1314">
        <v>0</v>
      </c>
      <c r="K171" s="1213">
        <v>0</v>
      </c>
      <c r="L171" s="1204"/>
      <c r="M171" s="1127"/>
      <c r="N171" s="1127"/>
      <c r="O171" s="1127"/>
      <c r="P171" s="1127"/>
      <c r="Q171" s="1127"/>
      <c r="R171" s="1127"/>
    </row>
    <row r="172" spans="1:18" customFormat="1" ht="41.25" customHeight="1">
      <c r="A172" s="2540"/>
      <c r="B172" s="2540"/>
      <c r="C172" s="1317" t="s">
        <v>12</v>
      </c>
      <c r="D172" s="1261">
        <v>0</v>
      </c>
      <c r="E172" s="1261">
        <v>0</v>
      </c>
      <c r="F172" s="1261">
        <v>0</v>
      </c>
      <c r="G172" s="1261">
        <v>0</v>
      </c>
      <c r="H172" s="1261">
        <v>0</v>
      </c>
      <c r="I172" s="1318">
        <v>0</v>
      </c>
      <c r="J172" s="1261">
        <v>0</v>
      </c>
      <c r="K172" s="1290">
        <v>0</v>
      </c>
      <c r="L172" s="1204"/>
      <c r="M172" s="1127"/>
      <c r="N172" s="1127"/>
      <c r="O172" s="1127"/>
      <c r="P172" s="1127"/>
      <c r="Q172" s="1127"/>
      <c r="R172" s="1127"/>
    </row>
    <row r="173" spans="1:18" s="1179" customFormat="1" ht="26.25" customHeight="1">
      <c r="A173" s="1319"/>
      <c r="B173" s="1193"/>
      <c r="C173" s="1194"/>
      <c r="D173" s="1151"/>
      <c r="E173" s="1151"/>
      <c r="F173" s="1151"/>
      <c r="G173" s="1276"/>
      <c r="H173" s="1276"/>
      <c r="I173" s="1276"/>
      <c r="J173" s="1276"/>
      <c r="K173" s="1276"/>
      <c r="L173" s="1276"/>
      <c r="M173" s="1276"/>
      <c r="N173" s="1276"/>
      <c r="O173" s="1276"/>
      <c r="P173" s="1276"/>
      <c r="Q173" s="1276"/>
      <c r="R173" s="1275"/>
    </row>
    <row r="174" spans="1:18" customFormat="1" ht="21">
      <c r="A174" s="1320" t="s">
        <v>112</v>
      </c>
      <c r="B174" s="1320"/>
      <c r="C174" s="1321"/>
      <c r="D174" s="1321"/>
      <c r="E174" s="1321"/>
      <c r="F174" s="1321"/>
      <c r="G174" s="1321"/>
      <c r="H174" s="1321"/>
      <c r="I174" s="1321"/>
      <c r="J174" s="1321"/>
      <c r="K174" s="1321"/>
      <c r="L174" s="1321"/>
      <c r="M174" s="1321"/>
      <c r="N174" s="1321"/>
      <c r="O174" s="1321"/>
      <c r="P174" s="1127"/>
      <c r="Q174" s="1127"/>
      <c r="R174" s="1127"/>
    </row>
    <row r="175" spans="1:18" customFormat="1" ht="21">
      <c r="A175" s="1322"/>
      <c r="B175" s="1322"/>
      <c r="C175" s="1127"/>
      <c r="D175" s="1127"/>
      <c r="E175" s="1127"/>
      <c r="F175" s="1127"/>
      <c r="G175" s="1127"/>
      <c r="H175" s="1127"/>
      <c r="I175" s="1127"/>
      <c r="J175" s="1127"/>
      <c r="K175" s="1127"/>
      <c r="L175" s="1127"/>
      <c r="M175" s="1127"/>
      <c r="N175" s="1127"/>
      <c r="O175" s="1127"/>
      <c r="P175" s="1127"/>
      <c r="Q175" s="1127"/>
      <c r="R175" s="1127"/>
    </row>
    <row r="176" spans="1:18" s="1147" customFormat="1" ht="22.5" customHeight="1">
      <c r="A176" s="2541" t="s">
        <v>113</v>
      </c>
      <c r="B176" s="2542" t="s">
        <v>331</v>
      </c>
      <c r="C176" s="2543" t="s">
        <v>8</v>
      </c>
      <c r="D176" s="2543" t="s">
        <v>123</v>
      </c>
      <c r="E176" s="2543"/>
      <c r="F176" s="2543"/>
      <c r="G176" s="2543"/>
      <c r="H176" s="1323"/>
      <c r="I176" s="2546" t="s">
        <v>116</v>
      </c>
      <c r="J176" s="2546"/>
      <c r="K176" s="2546"/>
      <c r="L176" s="2546"/>
      <c r="M176" s="2546"/>
      <c r="N176" s="2546"/>
      <c r="O176" s="2546"/>
    </row>
    <row r="177" spans="1:15" s="1147" customFormat="1" ht="129.75" customHeight="1">
      <c r="A177" s="2541"/>
      <c r="B177" s="2542"/>
      <c r="C177" s="2543"/>
      <c r="D177" s="1324" t="s">
        <v>117</v>
      </c>
      <c r="E177" s="1325" t="s">
        <v>118</v>
      </c>
      <c r="F177" s="1325" t="s">
        <v>119</v>
      </c>
      <c r="G177" s="1326" t="s">
        <v>120</v>
      </c>
      <c r="H177" s="1327" t="s">
        <v>121</v>
      </c>
      <c r="I177" s="1328" t="s">
        <v>323</v>
      </c>
      <c r="J177" s="1329" t="s">
        <v>53</v>
      </c>
      <c r="K177" s="1329" t="s">
        <v>54</v>
      </c>
      <c r="L177" s="1329" t="s">
        <v>55</v>
      </c>
      <c r="M177" s="1329" t="s">
        <v>56</v>
      </c>
      <c r="N177" s="1329" t="s">
        <v>57</v>
      </c>
      <c r="O177" s="1329" t="s">
        <v>58</v>
      </c>
    </row>
    <row r="178" spans="1:15" customFormat="1" ht="15" customHeight="1">
      <c r="A178" s="2516" t="s">
        <v>332</v>
      </c>
      <c r="B178" s="2516"/>
      <c r="C178" s="1186">
        <v>2014</v>
      </c>
      <c r="D178" s="1149"/>
      <c r="E178" s="1148"/>
      <c r="F178" s="1148"/>
      <c r="G178" s="1213">
        <v>0</v>
      </c>
      <c r="H178" s="1241"/>
      <c r="I178" s="1241"/>
      <c r="J178" s="1148"/>
      <c r="K178" s="1148"/>
      <c r="L178" s="1148"/>
      <c r="M178" s="1148"/>
      <c r="N178" s="1148"/>
      <c r="O178" s="1148"/>
    </row>
    <row r="179" spans="1:15" customFormat="1">
      <c r="A179" s="2516"/>
      <c r="B179" s="2516"/>
      <c r="C179" s="1187">
        <v>2015</v>
      </c>
      <c r="D179" s="1153">
        <v>7</v>
      </c>
      <c r="E179" s="1152">
        <v>3</v>
      </c>
      <c r="F179" s="1152">
        <v>0</v>
      </c>
      <c r="G179" s="1213">
        <f>SUM(D179:F179)</f>
        <v>10</v>
      </c>
      <c r="H179" s="1330">
        <v>30</v>
      </c>
      <c r="I179" s="1207">
        <v>8</v>
      </c>
      <c r="J179" s="1152">
        <v>0</v>
      </c>
      <c r="K179" s="1152">
        <v>0</v>
      </c>
      <c r="L179" s="1152">
        <v>0</v>
      </c>
      <c r="M179" s="1152">
        <v>0</v>
      </c>
      <c r="N179" s="1152">
        <v>0</v>
      </c>
      <c r="O179" s="1152">
        <v>2</v>
      </c>
    </row>
    <row r="180" spans="1:15" customFormat="1">
      <c r="A180" s="2516"/>
      <c r="B180" s="2516"/>
      <c r="C180" s="1187">
        <v>2016</v>
      </c>
      <c r="D180" s="1155">
        <v>2</v>
      </c>
      <c r="E180" s="1152">
        <v>3</v>
      </c>
      <c r="F180" s="1152">
        <v>10</v>
      </c>
      <c r="G180" s="1213">
        <f>SUM(D180:F180)</f>
        <v>15</v>
      </c>
      <c r="H180" s="1330">
        <v>36</v>
      </c>
      <c r="I180" s="1207">
        <v>0</v>
      </c>
      <c r="J180" s="1152">
        <v>0</v>
      </c>
      <c r="K180" s="1152">
        <v>0</v>
      </c>
      <c r="L180" s="1152">
        <v>0</v>
      </c>
      <c r="M180" s="1152">
        <v>1</v>
      </c>
      <c r="N180" s="1152">
        <v>0</v>
      </c>
      <c r="O180" s="1152">
        <v>14</v>
      </c>
    </row>
    <row r="181" spans="1:15" customFormat="1">
      <c r="A181" s="2516"/>
      <c r="B181" s="2516"/>
      <c r="C181" s="1187">
        <v>2017</v>
      </c>
      <c r="D181" s="1155"/>
      <c r="E181" s="1152"/>
      <c r="F181" s="1152"/>
      <c r="G181" s="1213">
        <v>0</v>
      </c>
      <c r="H181" s="1330"/>
      <c r="I181" s="1207"/>
      <c r="J181" s="1152"/>
      <c r="K181" s="1152"/>
      <c r="L181" s="1152"/>
      <c r="M181" s="1152"/>
      <c r="N181" s="1152"/>
      <c r="O181" s="1152"/>
    </row>
    <row r="182" spans="1:15" customFormat="1">
      <c r="A182" s="2516"/>
      <c r="B182" s="2516"/>
      <c r="C182" s="1187">
        <v>2018</v>
      </c>
      <c r="D182" s="1155"/>
      <c r="E182" s="1152"/>
      <c r="F182" s="1152"/>
      <c r="G182" s="1213">
        <v>0</v>
      </c>
      <c r="H182" s="1330"/>
      <c r="I182" s="1207"/>
      <c r="J182" s="1152"/>
      <c r="K182" s="1152"/>
      <c r="L182" s="1152"/>
      <c r="M182" s="1152"/>
      <c r="N182" s="1152"/>
      <c r="O182" s="1152"/>
    </row>
    <row r="183" spans="1:15" customFormat="1">
      <c r="A183" s="2516"/>
      <c r="B183" s="2516"/>
      <c r="C183" s="1187">
        <v>2019</v>
      </c>
      <c r="D183" s="1155"/>
      <c r="E183" s="1152"/>
      <c r="F183" s="1152"/>
      <c r="G183" s="1213">
        <v>0</v>
      </c>
      <c r="H183" s="1330"/>
      <c r="I183" s="1207"/>
      <c r="J183" s="1152"/>
      <c r="K183" s="1152"/>
      <c r="L183" s="1152"/>
      <c r="M183" s="1152"/>
      <c r="N183" s="1152"/>
      <c r="O183" s="1152"/>
    </row>
    <row r="184" spans="1:15" customFormat="1">
      <c r="A184" s="2516"/>
      <c r="B184" s="2516"/>
      <c r="C184" s="1187">
        <v>2020</v>
      </c>
      <c r="D184" s="1155"/>
      <c r="E184" s="1152"/>
      <c r="F184" s="1152"/>
      <c r="G184" s="1213">
        <v>0</v>
      </c>
      <c r="H184" s="1330"/>
      <c r="I184" s="1207"/>
      <c r="J184" s="1152"/>
      <c r="K184" s="1152"/>
      <c r="L184" s="1152"/>
      <c r="M184" s="1152"/>
      <c r="N184" s="1152"/>
      <c r="O184" s="1152"/>
    </row>
    <row r="185" spans="1:15" customFormat="1" ht="45" customHeight="1">
      <c r="A185" s="2516"/>
      <c r="B185" s="2516"/>
      <c r="C185" s="1210" t="s">
        <v>12</v>
      </c>
      <c r="D185" s="1227">
        <f t="shared" ref="D185:O185" si="3">SUM(D179:D184)</f>
        <v>9</v>
      </c>
      <c r="E185" s="1213">
        <f t="shared" si="3"/>
        <v>6</v>
      </c>
      <c r="F185" s="1213">
        <f t="shared" si="3"/>
        <v>10</v>
      </c>
      <c r="G185" s="1213">
        <f t="shared" si="3"/>
        <v>25</v>
      </c>
      <c r="H185" s="1223">
        <f t="shared" si="3"/>
        <v>66</v>
      </c>
      <c r="I185" s="1212">
        <f t="shared" si="3"/>
        <v>8</v>
      </c>
      <c r="J185" s="1213">
        <f t="shared" si="3"/>
        <v>0</v>
      </c>
      <c r="K185" s="1213">
        <f t="shared" si="3"/>
        <v>0</v>
      </c>
      <c r="L185" s="1213">
        <f t="shared" si="3"/>
        <v>0</v>
      </c>
      <c r="M185" s="1213">
        <f t="shared" si="3"/>
        <v>1</v>
      </c>
      <c r="N185" s="1213">
        <f t="shared" si="3"/>
        <v>0</v>
      </c>
      <c r="O185" s="1213">
        <f t="shared" si="3"/>
        <v>16</v>
      </c>
    </row>
    <row r="186" spans="1:15" customFormat="1" ht="33" customHeight="1">
      <c r="A186" s="1127"/>
      <c r="B186" s="1127"/>
      <c r="C186" s="1127"/>
      <c r="D186" s="1127"/>
      <c r="E186" s="1127"/>
      <c r="F186" s="1127"/>
      <c r="G186" s="1127"/>
      <c r="H186" s="1127"/>
      <c r="I186" s="1127"/>
      <c r="J186" s="1127"/>
      <c r="K186" s="1127"/>
      <c r="L186" s="1127"/>
      <c r="M186" s="1127"/>
      <c r="N186" s="1127"/>
      <c r="O186" s="1127"/>
    </row>
    <row r="187" spans="1:15" customFormat="1" ht="19.5" customHeight="1">
      <c r="A187" s="2547" t="s">
        <v>122</v>
      </c>
      <c r="B187" s="2542" t="s">
        <v>331</v>
      </c>
      <c r="C187" s="2543" t="s">
        <v>8</v>
      </c>
      <c r="D187" s="2548" t="s">
        <v>123</v>
      </c>
      <c r="E187" s="2548"/>
      <c r="F187" s="2548"/>
      <c r="G187" s="2548"/>
      <c r="H187" s="2549" t="s">
        <v>124</v>
      </c>
      <c r="I187" s="2549"/>
      <c r="J187" s="2549"/>
      <c r="K187" s="2549"/>
      <c r="L187" s="2549"/>
      <c r="M187" s="1127"/>
      <c r="N187" s="1127"/>
      <c r="O187" s="1127"/>
    </row>
    <row r="188" spans="1:15" customFormat="1" ht="77.25">
      <c r="A188" s="2547"/>
      <c r="B188" s="2542"/>
      <c r="C188" s="2543"/>
      <c r="D188" s="1329" t="s">
        <v>125</v>
      </c>
      <c r="E188" s="1329" t="s">
        <v>126</v>
      </c>
      <c r="F188" s="1329" t="s">
        <v>127</v>
      </c>
      <c r="G188" s="1331" t="s">
        <v>12</v>
      </c>
      <c r="H188" s="1332" t="s">
        <v>128</v>
      </c>
      <c r="I188" s="1329" t="s">
        <v>129</v>
      </c>
      <c r="J188" s="1329" t="s">
        <v>130</v>
      </c>
      <c r="K188" s="1329" t="s">
        <v>333</v>
      </c>
      <c r="L188" s="1329" t="s">
        <v>132</v>
      </c>
      <c r="M188" s="1127"/>
      <c r="N188" s="1127"/>
      <c r="O188" s="1127"/>
    </row>
    <row r="189" spans="1:15" customFormat="1" ht="15" customHeight="1">
      <c r="A189" s="2544" t="s">
        <v>334</v>
      </c>
      <c r="B189" s="2517"/>
      <c r="C189" s="1333">
        <v>2014</v>
      </c>
      <c r="D189" s="1224"/>
      <c r="E189" s="1206"/>
      <c r="F189" s="1206"/>
      <c r="G189" s="1334">
        <v>0</v>
      </c>
      <c r="H189" s="1205"/>
      <c r="I189" s="1206"/>
      <c r="J189" s="1206"/>
      <c r="K189" s="1206"/>
      <c r="L189" s="1206"/>
      <c r="M189" s="1127"/>
      <c r="N189" s="1127"/>
      <c r="O189" s="1127"/>
    </row>
    <row r="190" spans="1:15" customFormat="1">
      <c r="A190" s="2517"/>
      <c r="B190" s="2517"/>
      <c r="C190" s="1187">
        <v>2015</v>
      </c>
      <c r="D190" s="1155">
        <v>329</v>
      </c>
      <c r="E190" s="1152">
        <v>97</v>
      </c>
      <c r="F190" s="1152">
        <v>0</v>
      </c>
      <c r="G190" s="1334">
        <v>426</v>
      </c>
      <c r="H190" s="1207">
        <v>0</v>
      </c>
      <c r="I190" s="1152">
        <v>50</v>
      </c>
      <c r="J190" s="1152">
        <v>0</v>
      </c>
      <c r="K190" s="1152">
        <v>376</v>
      </c>
      <c r="L190" s="1152">
        <v>0</v>
      </c>
      <c r="M190" s="1127"/>
      <c r="N190" s="1127"/>
      <c r="O190" s="1127"/>
    </row>
    <row r="191" spans="1:15" customFormat="1">
      <c r="A191" s="2517"/>
      <c r="B191" s="2517"/>
      <c r="C191" s="1187">
        <v>2016</v>
      </c>
      <c r="D191" s="1155">
        <v>69</v>
      </c>
      <c r="E191" s="1152">
        <v>110</v>
      </c>
      <c r="F191" s="1152">
        <v>378</v>
      </c>
      <c r="G191" s="1334">
        <f>SUM(D191:F191)</f>
        <v>557</v>
      </c>
      <c r="H191" s="1207">
        <v>0</v>
      </c>
      <c r="I191" s="1152">
        <v>94</v>
      </c>
      <c r="J191" s="1152">
        <v>6</v>
      </c>
      <c r="K191" s="1152">
        <v>0</v>
      </c>
      <c r="L191" s="1152">
        <v>457</v>
      </c>
      <c r="M191" s="1127"/>
      <c r="N191" s="1127"/>
      <c r="O191" s="1127"/>
    </row>
    <row r="192" spans="1:15" customFormat="1">
      <c r="A192" s="2517"/>
      <c r="B192" s="2517"/>
      <c r="C192" s="1187">
        <v>2017</v>
      </c>
      <c r="D192" s="1155"/>
      <c r="E192" s="1152"/>
      <c r="F192" s="1152"/>
      <c r="G192" s="1334">
        <v>0</v>
      </c>
      <c r="H192" s="1207"/>
      <c r="I192" s="1152"/>
      <c r="J192" s="1152"/>
      <c r="K192" s="1152"/>
      <c r="L192" s="1152"/>
      <c r="M192" s="1127"/>
      <c r="N192" s="1127"/>
      <c r="O192" s="1127"/>
    </row>
    <row r="193" spans="1:14" customFormat="1">
      <c r="A193" s="2517"/>
      <c r="B193" s="2517"/>
      <c r="C193" s="1187">
        <v>2018</v>
      </c>
      <c r="D193" s="1155"/>
      <c r="E193" s="1152"/>
      <c r="F193" s="1152"/>
      <c r="G193" s="1334">
        <v>0</v>
      </c>
      <c r="H193" s="1207"/>
      <c r="I193" s="1152"/>
      <c r="J193" s="1152"/>
      <c r="K193" s="1152"/>
      <c r="L193" s="1152"/>
      <c r="M193" s="1127"/>
      <c r="N193" s="1127"/>
    </row>
    <row r="194" spans="1:14" customFormat="1">
      <c r="A194" s="2517"/>
      <c r="B194" s="2517"/>
      <c r="C194" s="1187">
        <v>2019</v>
      </c>
      <c r="D194" s="1155"/>
      <c r="E194" s="1152"/>
      <c r="F194" s="1152"/>
      <c r="G194" s="1334">
        <v>0</v>
      </c>
      <c r="H194" s="1207"/>
      <c r="I194" s="1152"/>
      <c r="J194" s="1152"/>
      <c r="K194" s="1152"/>
      <c r="L194" s="1152"/>
      <c r="M194" s="1127"/>
      <c r="N194" s="1127"/>
    </row>
    <row r="195" spans="1:14" customFormat="1">
      <c r="A195" s="2517"/>
      <c r="B195" s="2517"/>
      <c r="C195" s="1187">
        <v>2020</v>
      </c>
      <c r="D195" s="1155"/>
      <c r="E195" s="1152"/>
      <c r="F195" s="1152"/>
      <c r="G195" s="1334">
        <v>0</v>
      </c>
      <c r="H195" s="1207"/>
      <c r="I195" s="1152"/>
      <c r="J195" s="1152"/>
      <c r="K195" s="1152"/>
      <c r="L195" s="1152"/>
      <c r="M195" s="1127"/>
      <c r="N195" s="1127"/>
    </row>
    <row r="196" spans="1:14" customFormat="1" ht="28.5" customHeight="1">
      <c r="A196" s="2517"/>
      <c r="B196" s="2517"/>
      <c r="C196" s="1210" t="s">
        <v>12</v>
      </c>
      <c r="D196" s="1227">
        <f>SUM(D190:D195)</f>
        <v>398</v>
      </c>
      <c r="E196" s="1213">
        <f>SUM(E190:E195)</f>
        <v>207</v>
      </c>
      <c r="F196" s="1213">
        <f>SUM(F190:F195)</f>
        <v>378</v>
      </c>
      <c r="G196" s="1335">
        <f>SUM(G189:G195)</f>
        <v>983</v>
      </c>
      <c r="H196" s="1212">
        <f>SUM(H190:H195)</f>
        <v>0</v>
      </c>
      <c r="I196" s="1213">
        <f>SUM(I190:I195)</f>
        <v>144</v>
      </c>
      <c r="J196" s="1213">
        <f>SUM(J190:J195)</f>
        <v>6</v>
      </c>
      <c r="K196" s="1213">
        <f>SUM(K190:K195)</f>
        <v>376</v>
      </c>
      <c r="L196" s="1213">
        <f>SUM(L190:L195)</f>
        <v>457</v>
      </c>
      <c r="M196" s="1127"/>
      <c r="N196" s="1127"/>
    </row>
    <row r="197" spans="1:14" customFormat="1">
      <c r="A197" s="1127"/>
      <c r="B197" s="1127"/>
      <c r="C197" s="1127"/>
      <c r="D197" s="1127"/>
      <c r="E197" s="1127"/>
      <c r="F197" s="1127"/>
      <c r="G197" s="1127"/>
      <c r="H197" s="1127"/>
      <c r="I197" s="1127"/>
      <c r="J197" s="1127"/>
      <c r="K197" s="1127"/>
      <c r="L197" s="1127"/>
      <c r="M197" s="1127"/>
      <c r="N197" s="1127"/>
    </row>
    <row r="198" spans="1:14" customFormat="1">
      <c r="A198" s="1127"/>
      <c r="B198" s="1127"/>
      <c r="C198" s="1127"/>
      <c r="D198" s="1127"/>
      <c r="E198" s="1127"/>
      <c r="F198" s="1127"/>
      <c r="G198" s="1127"/>
      <c r="H198" s="1127"/>
      <c r="I198" s="1127"/>
      <c r="J198" s="1127"/>
      <c r="K198" s="1127"/>
      <c r="L198" s="1127"/>
      <c r="M198" s="1127"/>
      <c r="N198" s="1127"/>
    </row>
    <row r="199" spans="1:14" customFormat="1" ht="21">
      <c r="A199" s="1336" t="s">
        <v>134</v>
      </c>
      <c r="B199" s="1336"/>
      <c r="C199" s="1337"/>
      <c r="D199" s="1337"/>
      <c r="E199" s="1337"/>
      <c r="F199" s="1337"/>
      <c r="G199" s="1337"/>
      <c r="H199" s="1337"/>
      <c r="I199" s="1337"/>
      <c r="J199" s="1337"/>
      <c r="K199" s="1337"/>
      <c r="L199" s="1337"/>
      <c r="M199" s="1179"/>
      <c r="N199" s="1179"/>
    </row>
    <row r="200" spans="1:14" customFormat="1" ht="10.5" customHeight="1">
      <c r="A200" s="1338"/>
      <c r="B200" s="1338"/>
      <c r="C200" s="1337"/>
      <c r="D200" s="1337"/>
      <c r="E200" s="1337"/>
      <c r="F200" s="1337"/>
      <c r="G200" s="1337"/>
      <c r="H200" s="1337"/>
      <c r="I200" s="1337"/>
      <c r="J200" s="1337"/>
      <c r="K200" s="1337"/>
      <c r="L200" s="1337"/>
      <c r="M200" s="1127"/>
      <c r="N200" s="1127"/>
    </row>
    <row r="201" spans="1:14" s="1147" customFormat="1" ht="101.25" customHeight="1">
      <c r="A201" s="1339" t="s">
        <v>335</v>
      </c>
      <c r="B201" s="1340" t="s">
        <v>331</v>
      </c>
      <c r="C201" s="1341" t="s">
        <v>8</v>
      </c>
      <c r="D201" s="1342" t="s">
        <v>136</v>
      </c>
      <c r="E201" s="1341" t="s">
        <v>137</v>
      </c>
      <c r="F201" s="1341" t="s">
        <v>138</v>
      </c>
      <c r="G201" s="1341" t="s">
        <v>139</v>
      </c>
      <c r="H201" s="1343" t="s">
        <v>140</v>
      </c>
      <c r="I201" s="1341" t="s">
        <v>141</v>
      </c>
      <c r="J201" s="1341" t="s">
        <v>142</v>
      </c>
      <c r="K201" s="1341" t="s">
        <v>143</v>
      </c>
      <c r="L201" s="1341" t="s">
        <v>144</v>
      </c>
    </row>
    <row r="202" spans="1:14" customFormat="1" ht="15" customHeight="1">
      <c r="A202" s="2529"/>
      <c r="B202" s="2529"/>
      <c r="C202" s="1186">
        <v>2014</v>
      </c>
      <c r="D202" s="1149"/>
      <c r="E202" s="1148"/>
      <c r="F202" s="1148"/>
      <c r="G202" s="1148"/>
      <c r="H202" s="1344"/>
      <c r="I202" s="1148"/>
      <c r="J202" s="1148"/>
      <c r="K202" s="1148"/>
      <c r="L202" s="1148"/>
      <c r="M202" s="1127"/>
      <c r="N202" s="1127"/>
    </row>
    <row r="203" spans="1:14" customFormat="1">
      <c r="A203" s="2529"/>
      <c r="B203" s="2529"/>
      <c r="C203" s="1187">
        <v>2015</v>
      </c>
      <c r="D203" s="1155">
        <v>0</v>
      </c>
      <c r="E203" s="1152">
        <v>0</v>
      </c>
      <c r="F203" s="1152">
        <v>0</v>
      </c>
      <c r="G203" s="1152">
        <v>0</v>
      </c>
      <c r="H203" s="1345">
        <v>0</v>
      </c>
      <c r="I203" s="1152">
        <v>0</v>
      </c>
      <c r="J203" s="1152">
        <v>0</v>
      </c>
      <c r="K203" s="1152">
        <v>0</v>
      </c>
      <c r="L203" s="1152">
        <v>0</v>
      </c>
      <c r="M203" s="1127"/>
      <c r="N203" s="1127"/>
    </row>
    <row r="204" spans="1:14" customFormat="1">
      <c r="A204" s="2529"/>
      <c r="B204" s="2529"/>
      <c r="C204" s="1187">
        <v>2016</v>
      </c>
      <c r="D204" s="1155">
        <v>0</v>
      </c>
      <c r="E204" s="1152">
        <v>9</v>
      </c>
      <c r="F204" s="1152">
        <v>5</v>
      </c>
      <c r="G204" s="1152">
        <v>1</v>
      </c>
      <c r="H204" s="1345">
        <v>4</v>
      </c>
      <c r="I204" s="1152"/>
      <c r="J204" s="1152">
        <v>0</v>
      </c>
      <c r="K204" s="1152">
        <v>1</v>
      </c>
      <c r="L204" s="1152">
        <v>0</v>
      </c>
      <c r="M204" s="1127"/>
      <c r="N204" s="1127"/>
    </row>
    <row r="205" spans="1:14" customFormat="1">
      <c r="A205" s="2529"/>
      <c r="B205" s="2529"/>
      <c r="C205" s="1187">
        <v>2017</v>
      </c>
      <c r="D205" s="1155"/>
      <c r="E205" s="1152"/>
      <c r="F205" s="1152"/>
      <c r="G205" s="1152"/>
      <c r="H205" s="1345"/>
      <c r="I205" s="1152"/>
      <c r="J205" s="1152"/>
      <c r="K205" s="1152"/>
      <c r="L205" s="1152"/>
      <c r="M205" s="1127"/>
      <c r="N205" s="1127"/>
    </row>
    <row r="206" spans="1:14" customFormat="1">
      <c r="A206" s="2529"/>
      <c r="B206" s="2529"/>
      <c r="C206" s="1187">
        <v>2018</v>
      </c>
      <c r="D206" s="1155"/>
      <c r="E206" s="1152"/>
      <c r="F206" s="1152"/>
      <c r="G206" s="1152"/>
      <c r="H206" s="1345"/>
      <c r="I206" s="1152"/>
      <c r="J206" s="1152"/>
      <c r="K206" s="1152"/>
      <c r="L206" s="1152"/>
      <c r="M206" s="1127"/>
      <c r="N206" s="1127"/>
    </row>
    <row r="207" spans="1:14" customFormat="1">
      <c r="A207" s="2529"/>
      <c r="B207" s="2529"/>
      <c r="C207" s="1187">
        <v>2019</v>
      </c>
      <c r="D207" s="1155"/>
      <c r="E207" s="1152"/>
      <c r="F207" s="1152"/>
      <c r="G207" s="1152"/>
      <c r="H207" s="1345"/>
      <c r="I207" s="1152"/>
      <c r="J207" s="1152"/>
      <c r="K207" s="1152"/>
      <c r="L207" s="1152"/>
      <c r="M207" s="1127"/>
      <c r="N207" s="1127"/>
    </row>
    <row r="208" spans="1:14" customFormat="1">
      <c r="A208" s="2529"/>
      <c r="B208" s="2529"/>
      <c r="C208" s="1187">
        <v>2020</v>
      </c>
      <c r="D208" s="1346"/>
      <c r="E208" s="1347"/>
      <c r="F208" s="1347"/>
      <c r="G208" s="1347"/>
      <c r="H208" s="1348"/>
      <c r="I208" s="1347"/>
      <c r="J208" s="1347"/>
      <c r="K208" s="1347"/>
      <c r="L208" s="1347"/>
      <c r="M208" s="1127"/>
      <c r="N208" s="1127"/>
    </row>
    <row r="209" spans="1:12" customFormat="1" ht="20.25" customHeight="1">
      <c r="A209" s="2529"/>
      <c r="B209" s="2529"/>
      <c r="C209" s="1210" t="s">
        <v>12</v>
      </c>
      <c r="D209" s="1227">
        <v>0</v>
      </c>
      <c r="E209" s="1227">
        <v>9</v>
      </c>
      <c r="F209" s="1227">
        <v>5</v>
      </c>
      <c r="G209" s="1227">
        <v>1</v>
      </c>
      <c r="H209" s="1227">
        <v>4</v>
      </c>
      <c r="I209" s="1227">
        <v>0</v>
      </c>
      <c r="J209" s="1227">
        <v>0</v>
      </c>
      <c r="K209" s="1227">
        <v>1</v>
      </c>
      <c r="L209" s="1227">
        <v>0</v>
      </c>
    </row>
    <row r="210" spans="1:12" customFormat="1">
      <c r="A210" s="1127"/>
      <c r="B210" s="1127"/>
      <c r="C210" s="1127"/>
      <c r="D210" s="1127"/>
      <c r="E210" s="1127"/>
      <c r="F210" s="1127"/>
      <c r="G210" s="1127"/>
      <c r="H210" s="1127"/>
      <c r="I210" s="1127"/>
      <c r="J210" s="1127"/>
      <c r="K210" s="1127"/>
      <c r="L210" s="1127"/>
    </row>
    <row r="211" spans="1:12" customFormat="1">
      <c r="A211" s="1127"/>
      <c r="B211" s="1127"/>
      <c r="C211" s="1127"/>
      <c r="D211" s="1127"/>
      <c r="E211" s="1127"/>
      <c r="F211" s="1127"/>
      <c r="G211" s="1127"/>
      <c r="H211" s="1127"/>
      <c r="I211" s="1127"/>
      <c r="J211" s="1127"/>
      <c r="K211" s="1127"/>
      <c r="L211" s="1127"/>
    </row>
    <row r="212" spans="1:12" customFormat="1" ht="29.25">
      <c r="A212" s="1349" t="s">
        <v>336</v>
      </c>
      <c r="B212" s="1350" t="s">
        <v>337</v>
      </c>
      <c r="C212" s="1251">
        <v>2014</v>
      </c>
      <c r="D212" s="1251">
        <v>2015</v>
      </c>
      <c r="E212" s="1251">
        <v>2016</v>
      </c>
      <c r="F212" s="1251">
        <v>2017</v>
      </c>
      <c r="G212" s="1251">
        <v>2018</v>
      </c>
      <c r="H212" s="1251">
        <v>2019</v>
      </c>
      <c r="I212" s="1251">
        <v>2020</v>
      </c>
      <c r="J212" s="1127"/>
      <c r="K212" s="1127"/>
      <c r="L212" s="1127"/>
    </row>
    <row r="213" spans="1:12" customFormat="1" ht="15" customHeight="1">
      <c r="A213" s="1127" t="s">
        <v>147</v>
      </c>
      <c r="B213" s="2545" t="s">
        <v>572</v>
      </c>
      <c r="C213" s="1186"/>
      <c r="D213" s="3027">
        <v>376156.74</v>
      </c>
      <c r="E213" s="3027">
        <v>807897.95</v>
      </c>
      <c r="F213" s="1187"/>
      <c r="G213" s="1187"/>
      <c r="H213" s="1187"/>
      <c r="I213" s="1187"/>
      <c r="J213" s="1127"/>
      <c r="K213" s="1127"/>
      <c r="L213" s="1127"/>
    </row>
    <row r="214" spans="1:12" customFormat="1">
      <c r="A214" s="1127" t="s">
        <v>149</v>
      </c>
      <c r="B214" s="3024"/>
      <c r="C214" s="1186"/>
      <c r="D214" s="1351">
        <v>96730.54</v>
      </c>
      <c r="E214" s="1351">
        <v>463746.21</v>
      </c>
      <c r="F214" s="1187"/>
      <c r="G214" s="1187"/>
      <c r="H214" s="1187"/>
      <c r="I214" s="1187"/>
      <c r="J214" s="1127"/>
      <c r="K214" s="1127"/>
      <c r="L214" s="1127"/>
    </row>
    <row r="215" spans="1:12" customFormat="1">
      <c r="A215" s="1127" t="s">
        <v>150</v>
      </c>
      <c r="B215" s="3024"/>
      <c r="C215" s="1186"/>
      <c r="D215" s="1351">
        <v>4920</v>
      </c>
      <c r="E215" s="1351">
        <v>19680</v>
      </c>
      <c r="F215" s="1187"/>
      <c r="G215" s="1187"/>
      <c r="H215" s="1187"/>
      <c r="I215" s="1187"/>
      <c r="J215" s="1127"/>
      <c r="K215" s="1127"/>
      <c r="L215" s="1127"/>
    </row>
    <row r="216" spans="1:12" customFormat="1">
      <c r="A216" s="1127" t="s">
        <v>151</v>
      </c>
      <c r="B216" s="3024"/>
      <c r="C216" s="1186"/>
      <c r="D216" s="1351">
        <v>26129.25</v>
      </c>
      <c r="E216" s="1351">
        <v>69804.259999999995</v>
      </c>
      <c r="F216" s="1187"/>
      <c r="G216" s="1187"/>
      <c r="H216" s="1187"/>
      <c r="I216" s="1187"/>
      <c r="J216" s="1127"/>
      <c r="K216" s="1127"/>
      <c r="L216" s="1127"/>
    </row>
    <row r="217" spans="1:12" customFormat="1">
      <c r="A217" s="1127" t="s">
        <v>152</v>
      </c>
      <c r="B217" s="3024"/>
      <c r="C217" s="1186"/>
      <c r="D217" s="1351">
        <v>231541.94</v>
      </c>
      <c r="E217" s="1351">
        <v>243114.09</v>
      </c>
      <c r="F217" s="1187"/>
      <c r="G217" s="1187"/>
      <c r="H217" s="1187"/>
      <c r="I217" s="1187"/>
      <c r="J217" s="1127"/>
      <c r="K217" s="1127"/>
      <c r="L217" s="1127"/>
    </row>
    <row r="218" spans="1:12" customFormat="1" ht="29.25">
      <c r="A218" s="1147" t="s">
        <v>153</v>
      </c>
      <c r="B218" s="3024"/>
      <c r="C218" s="1186"/>
      <c r="D218" s="3026">
        <v>144666.1</v>
      </c>
      <c r="E218" s="3026">
        <v>361553.52</v>
      </c>
      <c r="F218" s="1187"/>
      <c r="G218" s="1187"/>
      <c r="H218" s="1187"/>
      <c r="I218" s="1187"/>
      <c r="J218" s="1127"/>
      <c r="K218" s="1127"/>
      <c r="L218" s="1127"/>
    </row>
    <row r="219" spans="1:12" customFormat="1" ht="396" customHeight="1">
      <c r="A219" s="1352"/>
      <c r="B219" s="3025"/>
      <c r="C219" s="1158" t="s">
        <v>12</v>
      </c>
      <c r="D219" s="1353">
        <f>SUM(D213,D218)</f>
        <v>520822.83999999997</v>
      </c>
      <c r="E219" s="1353">
        <f>SUM(E213,E218)</f>
        <v>1169451.47</v>
      </c>
      <c r="F219" s="1158">
        <v>0</v>
      </c>
      <c r="G219" s="1158">
        <v>0</v>
      </c>
      <c r="H219" s="1158">
        <v>0</v>
      </c>
      <c r="I219" s="1158">
        <v>0</v>
      </c>
      <c r="J219" s="1127"/>
      <c r="K219" s="1127"/>
      <c r="L219" s="1127"/>
    </row>
    <row r="227" spans="1:1" customFormat="1">
      <c r="A227" s="1147"/>
    </row>
  </sheetData>
  <mergeCells count="66">
    <mergeCell ref="A189:B196"/>
    <mergeCell ref="A202:B209"/>
    <mergeCell ref="B213:B219"/>
    <mergeCell ref="I176:O176"/>
    <mergeCell ref="A178:B185"/>
    <mergeCell ref="A187:A188"/>
    <mergeCell ref="B187:B188"/>
    <mergeCell ref="C187:C188"/>
    <mergeCell ref="D187:G187"/>
    <mergeCell ref="H187:L187"/>
    <mergeCell ref="D176:G176"/>
    <mergeCell ref="A155:B162"/>
    <mergeCell ref="A165:B172"/>
    <mergeCell ref="A176:A177"/>
    <mergeCell ref="B176:B177"/>
    <mergeCell ref="C176:C177"/>
    <mergeCell ref="J142:N142"/>
    <mergeCell ref="A144:B151"/>
    <mergeCell ref="A153:A154"/>
    <mergeCell ref="B153:B154"/>
    <mergeCell ref="C153:C154"/>
    <mergeCell ref="D153:G153"/>
    <mergeCell ref="H153:J153"/>
    <mergeCell ref="A142:A143"/>
    <mergeCell ref="B142:B143"/>
    <mergeCell ref="C142:C143"/>
    <mergeCell ref="D142:I142"/>
    <mergeCell ref="A120:B127"/>
    <mergeCell ref="A129:A130"/>
    <mergeCell ref="B129:B130"/>
    <mergeCell ref="D129:G129"/>
    <mergeCell ref="A131:B137"/>
    <mergeCell ref="E118:L118"/>
    <mergeCell ref="D96:E96"/>
    <mergeCell ref="F96:M96"/>
    <mergeCell ref="A98:B105"/>
    <mergeCell ref="A107:A108"/>
    <mergeCell ref="B107:B108"/>
    <mergeCell ref="C107:C108"/>
    <mergeCell ref="D107:D108"/>
    <mergeCell ref="E107:L107"/>
    <mergeCell ref="C96:C97"/>
    <mergeCell ref="A109:B116"/>
    <mergeCell ref="A118:A119"/>
    <mergeCell ref="B118:B119"/>
    <mergeCell ref="C118:C119"/>
    <mergeCell ref="D118:D119"/>
    <mergeCell ref="A62:B69"/>
    <mergeCell ref="A72:B79"/>
    <mergeCell ref="A85:B92"/>
    <mergeCell ref="A96:A97"/>
    <mergeCell ref="B96:B97"/>
    <mergeCell ref="D26:G26"/>
    <mergeCell ref="A28:B35"/>
    <mergeCell ref="A40:B47"/>
    <mergeCell ref="A50:B58"/>
    <mergeCell ref="A60:A61"/>
    <mergeCell ref="C60:C61"/>
    <mergeCell ref="D60:D61"/>
    <mergeCell ref="E60:L60"/>
    <mergeCell ref="A17:B24"/>
    <mergeCell ref="B1:F1"/>
    <mergeCell ref="A3:E3"/>
    <mergeCell ref="F3:O3"/>
    <mergeCell ref="A4:O10"/>
    <mergeCell ref="D15:G1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Y227"/>
  <sheetViews>
    <sheetView topLeftCell="A205" workbookViewId="0">
      <selection activeCell="F225" sqref="F225"/>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340</v>
      </c>
      <c r="C1" s="2077"/>
      <c r="D1" s="2077"/>
      <c r="E1" s="2077"/>
      <c r="F1" s="2077"/>
    </row>
    <row r="2" spans="1:25" s="2" customFormat="1" ht="20.100000000000001" customHeight="1" thickBot="1"/>
    <row r="3" spans="1:25" s="5" customFormat="1" ht="20.100000000000001" customHeight="1">
      <c r="A3" s="522" t="s">
        <v>1</v>
      </c>
      <c r="B3" s="475"/>
      <c r="C3" s="475"/>
      <c r="D3" s="475"/>
      <c r="E3" s="475"/>
      <c r="F3" s="2198"/>
      <c r="G3" s="2198"/>
      <c r="H3" s="2198"/>
      <c r="I3" s="2198"/>
      <c r="J3" s="2198"/>
      <c r="K3" s="2198"/>
      <c r="L3" s="2198"/>
      <c r="M3" s="2198"/>
      <c r="N3" s="2198"/>
      <c r="O3" s="2199"/>
    </row>
    <row r="4" spans="1:25" s="5" customFormat="1" ht="20.100000000000001" customHeight="1">
      <c r="A4" s="2080" t="s">
        <v>2</v>
      </c>
      <c r="B4" s="2081"/>
      <c r="C4" s="2081"/>
      <c r="D4" s="2081"/>
      <c r="E4" s="2081"/>
      <c r="F4" s="2081"/>
      <c r="G4" s="2081"/>
      <c r="H4" s="2081"/>
      <c r="I4" s="2081"/>
      <c r="J4" s="2081"/>
      <c r="K4" s="2081"/>
      <c r="L4" s="2081"/>
      <c r="M4" s="2081"/>
      <c r="N4" s="2081"/>
      <c r="O4" s="2082"/>
    </row>
    <row r="5" spans="1:25" s="5" customFormat="1" ht="20.100000000000001" customHeight="1">
      <c r="A5" s="2080"/>
      <c r="B5" s="2081"/>
      <c r="C5" s="2081"/>
      <c r="D5" s="2081"/>
      <c r="E5" s="2081"/>
      <c r="F5" s="2081"/>
      <c r="G5" s="2081"/>
      <c r="H5" s="2081"/>
      <c r="I5" s="2081"/>
      <c r="J5" s="2081"/>
      <c r="K5" s="2081"/>
      <c r="L5" s="2081"/>
      <c r="M5" s="2081"/>
      <c r="N5" s="2081"/>
      <c r="O5" s="2082"/>
    </row>
    <row r="6" spans="1:25" s="5" customFormat="1" ht="20.100000000000001" customHeight="1">
      <c r="A6" s="2080"/>
      <c r="B6" s="2081"/>
      <c r="C6" s="2081"/>
      <c r="D6" s="2081"/>
      <c r="E6" s="2081"/>
      <c r="F6" s="2081"/>
      <c r="G6" s="2081"/>
      <c r="H6" s="2081"/>
      <c r="I6" s="2081"/>
      <c r="J6" s="2081"/>
      <c r="K6" s="2081"/>
      <c r="L6" s="2081"/>
      <c r="M6" s="2081"/>
      <c r="N6" s="2081"/>
      <c r="O6" s="2082"/>
    </row>
    <row r="7" spans="1:25" s="5" customFormat="1" ht="20.100000000000001" customHeight="1">
      <c r="A7" s="2080"/>
      <c r="B7" s="2081"/>
      <c r="C7" s="2081"/>
      <c r="D7" s="2081"/>
      <c r="E7" s="2081"/>
      <c r="F7" s="2081"/>
      <c r="G7" s="2081"/>
      <c r="H7" s="2081"/>
      <c r="I7" s="2081"/>
      <c r="J7" s="2081"/>
      <c r="K7" s="2081"/>
      <c r="L7" s="2081"/>
      <c r="M7" s="2081"/>
      <c r="N7" s="2081"/>
      <c r="O7" s="2082"/>
    </row>
    <row r="8" spans="1:25" s="5" customFormat="1" ht="20.100000000000001" customHeight="1">
      <c r="A8" s="2080"/>
      <c r="B8" s="2081"/>
      <c r="C8" s="2081"/>
      <c r="D8" s="2081"/>
      <c r="E8" s="2081"/>
      <c r="F8" s="2081"/>
      <c r="G8" s="2081"/>
      <c r="H8" s="2081"/>
      <c r="I8" s="2081"/>
      <c r="J8" s="2081"/>
      <c r="K8" s="2081"/>
      <c r="L8" s="2081"/>
      <c r="M8" s="2081"/>
      <c r="N8" s="2081"/>
      <c r="O8" s="2082"/>
    </row>
    <row r="9" spans="1:25" s="5" customFormat="1" ht="20.100000000000001" customHeight="1">
      <c r="A9" s="2080"/>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570"/>
      <c r="B15" s="571"/>
      <c r="C15" s="11"/>
      <c r="D15" s="2238" t="s">
        <v>4</v>
      </c>
      <c r="E15" s="2239"/>
      <c r="F15" s="2239"/>
      <c r="G15" s="2239"/>
      <c r="H15" s="526"/>
      <c r="I15" s="13" t="s">
        <v>5</v>
      </c>
      <c r="J15" s="14"/>
      <c r="K15" s="14"/>
      <c r="L15" s="14"/>
      <c r="M15" s="14"/>
      <c r="N15" s="14"/>
      <c r="O15" s="15"/>
      <c r="P15" s="16"/>
      <c r="Q15" s="17"/>
      <c r="R15" s="18"/>
      <c r="S15" s="18"/>
      <c r="T15" s="18"/>
      <c r="U15" s="18"/>
      <c r="V15" s="18"/>
      <c r="W15" s="16"/>
      <c r="X15" s="16"/>
      <c r="Y15" s="17"/>
    </row>
    <row r="16" spans="1:25" s="31" customFormat="1" ht="129" customHeight="1">
      <c r="A16" s="20"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007" t="s">
        <v>341</v>
      </c>
      <c r="B17" s="19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987"/>
      <c r="B18" s="1988"/>
      <c r="C18" s="39">
        <v>2015</v>
      </c>
      <c r="D18" s="50">
        <v>7</v>
      </c>
      <c r="E18" s="42">
        <v>3</v>
      </c>
      <c r="F18" s="42">
        <v>1</v>
      </c>
      <c r="G18" s="35">
        <f>SUM(D18:F18)</f>
        <v>11</v>
      </c>
      <c r="H18" s="51"/>
      <c r="I18" s="586"/>
      <c r="J18" s="42"/>
      <c r="K18" s="573">
        <v>4</v>
      </c>
      <c r="L18" s="42">
        <v>2</v>
      </c>
      <c r="M18" s="42"/>
      <c r="N18" s="42"/>
      <c r="O18" s="52">
        <v>5</v>
      </c>
      <c r="P18" s="38"/>
      <c r="Q18" s="38"/>
      <c r="R18" s="38"/>
      <c r="S18" s="38"/>
      <c r="T18" s="38"/>
      <c r="U18" s="38"/>
      <c r="V18" s="38"/>
      <c r="W18" s="38"/>
      <c r="X18" s="38"/>
      <c r="Y18" s="38"/>
    </row>
    <row r="19" spans="1:25">
      <c r="A19" s="1987"/>
      <c r="B19" s="1988"/>
      <c r="C19" s="39">
        <v>2016</v>
      </c>
      <c r="D19" s="50">
        <v>20</v>
      </c>
      <c r="E19" s="42">
        <v>8</v>
      </c>
      <c r="F19" s="42">
        <v>1</v>
      </c>
      <c r="G19" s="35">
        <v>29</v>
      </c>
      <c r="H19" s="51"/>
      <c r="I19" s="42">
        <v>13</v>
      </c>
      <c r="J19" s="42"/>
      <c r="K19" s="42">
        <v>14</v>
      </c>
      <c r="L19" s="42"/>
      <c r="M19" s="42">
        <v>1</v>
      </c>
      <c r="N19" s="42"/>
      <c r="O19" s="1363">
        <v>1</v>
      </c>
      <c r="P19" s="38"/>
      <c r="Q19" s="38"/>
      <c r="R19" s="38"/>
      <c r="S19" s="38"/>
      <c r="T19" s="38"/>
      <c r="U19" s="38"/>
      <c r="V19" s="38"/>
      <c r="W19" s="38"/>
      <c r="X19" s="38"/>
      <c r="Y19" s="38"/>
    </row>
    <row r="20" spans="1:25">
      <c r="A20" s="1987"/>
      <c r="B20" s="1988"/>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1987"/>
      <c r="B21" s="1988"/>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1987"/>
      <c r="B22" s="1988"/>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1987"/>
      <c r="B23" s="1988"/>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19.5" customHeight="1" thickBot="1">
      <c r="A24" s="1989"/>
      <c r="B24" s="1990"/>
      <c r="C24" s="54" t="s">
        <v>12</v>
      </c>
      <c r="D24" s="55">
        <f>SUM(D17:D23)</f>
        <v>27</v>
      </c>
      <c r="E24" s="56">
        <f>SUM(E17:E23)</f>
        <v>11</v>
      </c>
      <c r="F24" s="56">
        <f>SUM(F17:F23)</f>
        <v>2</v>
      </c>
      <c r="G24" s="57">
        <f>SUM(D24:F24)</f>
        <v>40</v>
      </c>
      <c r="H24" s="58">
        <f>SUM(H17:H23)</f>
        <v>0</v>
      </c>
      <c r="I24" s="59">
        <f>SUM(I17:I23)</f>
        <v>13</v>
      </c>
      <c r="J24" s="59">
        <f t="shared" ref="J24:N24" si="1">SUM(J17:J23)</f>
        <v>0</v>
      </c>
      <c r="K24" s="59">
        <f t="shared" si="1"/>
        <v>18</v>
      </c>
      <c r="L24" s="59">
        <f t="shared" si="1"/>
        <v>2</v>
      </c>
      <c r="M24" s="59">
        <f t="shared" si="1"/>
        <v>1</v>
      </c>
      <c r="N24" s="59">
        <f t="shared" si="1"/>
        <v>0</v>
      </c>
      <c r="O24" s="60">
        <f>SUM(O17:O23)</f>
        <v>6</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570"/>
      <c r="B26" s="571"/>
      <c r="C26" s="63"/>
      <c r="D26" s="2244" t="s">
        <v>4</v>
      </c>
      <c r="E26" s="2245"/>
      <c r="F26" s="2245"/>
      <c r="G26" s="2246"/>
      <c r="H26" s="16"/>
      <c r="I26" s="17"/>
      <c r="J26" s="18"/>
      <c r="K26" s="18"/>
      <c r="L26" s="18"/>
      <c r="M26" s="18"/>
      <c r="N26" s="18"/>
      <c r="O26" s="16"/>
      <c r="P26" s="16"/>
    </row>
    <row r="27" spans="1:25" s="31" customFormat="1" ht="93" customHeight="1">
      <c r="A27" s="1364"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550" t="s">
        <v>342</v>
      </c>
      <c r="B28" s="1988"/>
      <c r="C28" s="68">
        <v>2014</v>
      </c>
      <c r="D28" s="36"/>
      <c r="E28" s="34"/>
      <c r="F28" s="34"/>
      <c r="G28" s="69">
        <f>SUM(D28:F28)</f>
        <v>0</v>
      </c>
      <c r="H28" s="38"/>
      <c r="I28" s="38"/>
      <c r="J28" s="38"/>
      <c r="K28" s="38"/>
      <c r="L28" s="38"/>
      <c r="M28" s="38"/>
      <c r="N28" s="38"/>
      <c r="O28" s="38"/>
      <c r="P28" s="38"/>
      <c r="Q28" s="8"/>
    </row>
    <row r="29" spans="1:25">
      <c r="A29" s="2551"/>
      <c r="B29" s="1988"/>
      <c r="C29" s="70">
        <v>2015</v>
      </c>
      <c r="D29" s="346">
        <v>8545</v>
      </c>
      <c r="E29" s="42">
        <v>3322</v>
      </c>
      <c r="F29" s="42">
        <v>19</v>
      </c>
      <c r="G29" s="69">
        <f t="shared" ref="G29:G35" si="2">SUM(D29:F29)</f>
        <v>11886</v>
      </c>
      <c r="H29" s="38"/>
      <c r="I29" s="38"/>
      <c r="J29" s="38"/>
      <c r="K29" s="38"/>
      <c r="L29" s="38"/>
      <c r="M29" s="38"/>
      <c r="N29" s="38"/>
      <c r="O29" s="38"/>
      <c r="P29" s="38"/>
      <c r="Q29" s="8"/>
    </row>
    <row r="30" spans="1:25">
      <c r="A30" s="2551"/>
      <c r="B30" s="1988"/>
      <c r="C30" s="70">
        <v>2016</v>
      </c>
      <c r="D30" s="1365">
        <v>11934</v>
      </c>
      <c r="E30" s="1366">
        <v>7740</v>
      </c>
      <c r="F30" s="1366">
        <v>20000</v>
      </c>
      <c r="G30" s="69">
        <f t="shared" si="2"/>
        <v>39674</v>
      </c>
      <c r="H30" s="38"/>
      <c r="I30" s="38"/>
      <c r="J30" s="38"/>
      <c r="K30" s="38"/>
      <c r="L30" s="38"/>
      <c r="M30" s="38"/>
      <c r="N30" s="38"/>
      <c r="O30" s="38"/>
      <c r="P30" s="38"/>
      <c r="Q30" s="8"/>
    </row>
    <row r="31" spans="1:25">
      <c r="A31" s="2551"/>
      <c r="B31" s="1988"/>
      <c r="C31" s="70">
        <v>2017</v>
      </c>
      <c r="D31" s="51"/>
      <c r="E31" s="42"/>
      <c r="F31" s="42"/>
      <c r="G31" s="69">
        <f t="shared" si="2"/>
        <v>0</v>
      </c>
      <c r="H31" s="38"/>
      <c r="I31" s="38"/>
      <c r="J31" s="38"/>
      <c r="K31" s="38"/>
      <c r="L31" s="38"/>
      <c r="M31" s="38"/>
      <c r="N31" s="38"/>
      <c r="O31" s="38"/>
      <c r="P31" s="38"/>
      <c r="Q31" s="8"/>
    </row>
    <row r="32" spans="1:25">
      <c r="A32" s="2551"/>
      <c r="B32" s="1988"/>
      <c r="C32" s="70">
        <v>2018</v>
      </c>
      <c r="D32" s="51"/>
      <c r="E32" s="42"/>
      <c r="F32" s="42"/>
      <c r="G32" s="69">
        <f>SUM(D32:F32)</f>
        <v>0</v>
      </c>
      <c r="H32" s="38"/>
      <c r="I32" s="38"/>
      <c r="J32" s="38"/>
      <c r="K32" s="38"/>
      <c r="L32" s="38"/>
      <c r="M32" s="38"/>
      <c r="N32" s="38"/>
      <c r="O32" s="38"/>
      <c r="P32" s="38"/>
      <c r="Q32" s="8"/>
    </row>
    <row r="33" spans="1:17">
      <c r="A33" s="2551"/>
      <c r="B33" s="1988"/>
      <c r="C33" s="72">
        <v>2019</v>
      </c>
      <c r="D33" s="51"/>
      <c r="E33" s="42"/>
      <c r="F33" s="42"/>
      <c r="G33" s="69">
        <f t="shared" si="2"/>
        <v>0</v>
      </c>
      <c r="H33" s="38"/>
      <c r="I33" s="38"/>
      <c r="J33" s="38"/>
      <c r="K33" s="38"/>
      <c r="L33" s="38"/>
      <c r="M33" s="38"/>
      <c r="N33" s="38"/>
      <c r="O33" s="38"/>
      <c r="P33" s="38"/>
      <c r="Q33" s="8"/>
    </row>
    <row r="34" spans="1:17">
      <c r="A34" s="2551"/>
      <c r="B34" s="1988"/>
      <c r="C34" s="70">
        <v>2020</v>
      </c>
      <c r="D34" s="51"/>
      <c r="E34" s="42"/>
      <c r="F34" s="42"/>
      <c r="G34" s="69">
        <f t="shared" si="2"/>
        <v>0</v>
      </c>
      <c r="H34" s="38"/>
      <c r="I34" s="38"/>
      <c r="J34" s="38"/>
      <c r="K34" s="38"/>
      <c r="L34" s="38"/>
      <c r="M34" s="38"/>
      <c r="N34" s="38"/>
      <c r="O34" s="38"/>
      <c r="P34" s="38"/>
      <c r="Q34" s="8"/>
    </row>
    <row r="35" spans="1:17" ht="20.25" customHeight="1" thickBot="1">
      <c r="A35" s="1989"/>
      <c r="B35" s="1990"/>
      <c r="C35" s="73" t="s">
        <v>12</v>
      </c>
      <c r="D35" s="58">
        <f>SUM(D28:D34)</f>
        <v>20479</v>
      </c>
      <c r="E35" s="56">
        <f>SUM(E28:E34)</f>
        <v>11062</v>
      </c>
      <c r="F35" s="56">
        <f>SUM(F28:F34)</f>
        <v>20019</v>
      </c>
      <c r="G35" s="60">
        <f t="shared" si="2"/>
        <v>51560</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576" t="s">
        <v>25</v>
      </c>
      <c r="B39" s="577" t="s">
        <v>7</v>
      </c>
      <c r="C39" s="80" t="s">
        <v>8</v>
      </c>
      <c r="D39" s="546" t="s">
        <v>26</v>
      </c>
      <c r="E39" s="352" t="s">
        <v>27</v>
      </c>
      <c r="F39" s="353"/>
      <c r="G39" s="30"/>
      <c r="H39" s="30"/>
    </row>
    <row r="40" spans="1:17">
      <c r="A40" s="2550" t="s">
        <v>343</v>
      </c>
      <c r="B40" s="1988"/>
      <c r="C40" s="84">
        <v>2014</v>
      </c>
      <c r="D40" s="33"/>
      <c r="E40" s="32"/>
      <c r="F40" s="8"/>
      <c r="G40" s="38"/>
      <c r="H40" s="38"/>
    </row>
    <row r="41" spans="1:17">
      <c r="A41" s="2551"/>
      <c r="B41" s="1988"/>
      <c r="C41" s="86">
        <v>2015</v>
      </c>
      <c r="D41" s="50">
        <v>39093</v>
      </c>
      <c r="E41" s="39">
        <v>1422</v>
      </c>
      <c r="F41" s="8"/>
      <c r="G41" s="38"/>
      <c r="H41" s="38"/>
    </row>
    <row r="42" spans="1:17">
      <c r="A42" s="2551"/>
      <c r="B42" s="1988"/>
      <c r="C42" s="86">
        <v>2016</v>
      </c>
      <c r="D42" s="1367">
        <v>16954</v>
      </c>
      <c r="E42" s="1368">
        <v>7930</v>
      </c>
      <c r="F42" s="8"/>
      <c r="G42" s="38"/>
      <c r="H42" s="38"/>
    </row>
    <row r="43" spans="1:17">
      <c r="A43" s="2551"/>
      <c r="B43" s="1988"/>
      <c r="C43" s="86">
        <v>2017</v>
      </c>
      <c r="D43" s="50"/>
      <c r="E43" s="39"/>
      <c r="F43" s="8"/>
      <c r="G43" s="38"/>
      <c r="H43" s="38"/>
    </row>
    <row r="44" spans="1:17">
      <c r="A44" s="2551"/>
      <c r="B44" s="1988"/>
      <c r="C44" s="86">
        <v>2018</v>
      </c>
      <c r="D44" s="50"/>
      <c r="E44" s="39"/>
      <c r="F44" s="8"/>
      <c r="G44" s="38"/>
      <c r="H44" s="38"/>
    </row>
    <row r="45" spans="1:17">
      <c r="A45" s="2551"/>
      <c r="B45" s="1988"/>
      <c r="C45" s="86">
        <v>2019</v>
      </c>
      <c r="D45" s="50"/>
      <c r="E45" s="39"/>
      <c r="F45" s="8"/>
      <c r="G45" s="38"/>
      <c r="H45" s="38"/>
    </row>
    <row r="46" spans="1:17">
      <c r="A46" s="2551"/>
      <c r="B46" s="1988"/>
      <c r="C46" s="86">
        <v>2020</v>
      </c>
      <c r="D46" s="50"/>
      <c r="E46" s="39"/>
      <c r="F46" s="8"/>
      <c r="G46" s="38"/>
      <c r="H46" s="38"/>
    </row>
    <row r="47" spans="1:17" ht="15.75" thickBot="1">
      <c r="A47" s="1989"/>
      <c r="B47" s="1990"/>
      <c r="C47" s="54" t="s">
        <v>12</v>
      </c>
      <c r="D47" s="55">
        <f>SUM(D40:D46)</f>
        <v>56047</v>
      </c>
      <c r="E47" s="419">
        <f>SUM(E40:E46)</f>
        <v>9352</v>
      </c>
      <c r="F47" s="121"/>
      <c r="G47" s="38"/>
      <c r="H47" s="38"/>
    </row>
    <row r="48" spans="1:17" s="38" customFormat="1" ht="15.75" thickBot="1">
      <c r="A48" s="549"/>
      <c r="B48" s="92"/>
      <c r="C48" s="93"/>
    </row>
    <row r="49" spans="1:15" ht="83.25" customHeight="1">
      <c r="A49" s="550" t="s">
        <v>29</v>
      </c>
      <c r="B49" s="577" t="s">
        <v>7</v>
      </c>
      <c r="C49" s="95" t="s">
        <v>8</v>
      </c>
      <c r="D49" s="546" t="s">
        <v>30</v>
      </c>
      <c r="E49" s="96" t="s">
        <v>31</v>
      </c>
      <c r="F49" s="96" t="s">
        <v>32</v>
      </c>
      <c r="G49" s="96" t="s">
        <v>33</v>
      </c>
      <c r="H49" s="96" t="s">
        <v>34</v>
      </c>
      <c r="I49" s="96" t="s">
        <v>35</v>
      </c>
      <c r="J49" s="96" t="s">
        <v>36</v>
      </c>
      <c r="K49" s="97" t="s">
        <v>37</v>
      </c>
    </row>
    <row r="50" spans="1:15" ht="17.25" customHeight="1">
      <c r="A50" s="2005"/>
      <c r="B50" s="2012"/>
      <c r="C50" s="98" t="s">
        <v>38</v>
      </c>
      <c r="D50" s="33"/>
      <c r="E50" s="34"/>
      <c r="F50" s="34"/>
      <c r="G50" s="34"/>
      <c r="H50" s="34"/>
      <c r="I50" s="34"/>
      <c r="J50" s="34"/>
      <c r="K50" s="37"/>
    </row>
    <row r="51" spans="1:15" ht="15" customHeight="1">
      <c r="A51" s="2550"/>
      <c r="B51" s="2014"/>
      <c r="C51" s="86">
        <v>2014</v>
      </c>
      <c r="D51" s="50"/>
      <c r="E51" s="42"/>
      <c r="F51" s="42"/>
      <c r="G51" s="42"/>
      <c r="H51" s="42"/>
      <c r="I51" s="42"/>
      <c r="J51" s="42"/>
      <c r="K51" s="99"/>
    </row>
    <row r="52" spans="1:15">
      <c r="A52" s="2550"/>
      <c r="B52" s="2014"/>
      <c r="C52" s="86">
        <v>2015</v>
      </c>
      <c r="D52" s="50"/>
      <c r="E52" s="42"/>
      <c r="F52" s="42"/>
      <c r="G52" s="42"/>
      <c r="H52" s="42"/>
      <c r="I52" s="42"/>
      <c r="J52" s="42"/>
      <c r="K52" s="99"/>
    </row>
    <row r="53" spans="1:15">
      <c r="A53" s="2550"/>
      <c r="B53" s="2014"/>
      <c r="C53" s="86">
        <v>2016</v>
      </c>
      <c r="D53" s="50"/>
      <c r="E53" s="42"/>
      <c r="F53" s="42"/>
      <c r="G53" s="42"/>
      <c r="H53" s="42"/>
      <c r="I53" s="42"/>
      <c r="J53" s="42"/>
      <c r="K53" s="99"/>
    </row>
    <row r="54" spans="1:15">
      <c r="A54" s="2550"/>
      <c r="B54" s="2014"/>
      <c r="C54" s="86">
        <v>2017</v>
      </c>
      <c r="D54" s="50"/>
      <c r="E54" s="42"/>
      <c r="F54" s="42"/>
      <c r="G54" s="42"/>
      <c r="H54" s="42"/>
      <c r="I54" s="42"/>
      <c r="J54" s="42"/>
      <c r="K54" s="99"/>
    </row>
    <row r="55" spans="1:15">
      <c r="A55" s="2550"/>
      <c r="B55" s="2014"/>
      <c r="C55" s="86">
        <v>2018</v>
      </c>
      <c r="D55" s="50"/>
      <c r="E55" s="42"/>
      <c r="F55" s="42"/>
      <c r="G55" s="42"/>
      <c r="H55" s="42"/>
      <c r="I55" s="42"/>
      <c r="J55" s="42"/>
      <c r="K55" s="99"/>
    </row>
    <row r="56" spans="1:15">
      <c r="A56" s="2550"/>
      <c r="B56" s="2014"/>
      <c r="C56" s="86">
        <v>2019</v>
      </c>
      <c r="D56" s="50"/>
      <c r="E56" s="42"/>
      <c r="F56" s="42"/>
      <c r="G56" s="42"/>
      <c r="H56" s="42"/>
      <c r="I56" s="42"/>
      <c r="J56" s="42"/>
      <c r="K56" s="99"/>
    </row>
    <row r="57" spans="1:15">
      <c r="A57" s="2550"/>
      <c r="B57" s="2014"/>
      <c r="C57" s="86">
        <v>2020</v>
      </c>
      <c r="D57" s="50"/>
      <c r="E57" s="42"/>
      <c r="F57" s="42"/>
      <c r="G57" s="42"/>
      <c r="H57" s="42"/>
      <c r="I57" s="42"/>
      <c r="J57" s="42"/>
      <c r="K57" s="100"/>
    </row>
    <row r="58" spans="1:15" ht="20.25" customHeight="1" thickBot="1">
      <c r="A58" s="2009"/>
      <c r="B58" s="2016"/>
      <c r="C58" s="54" t="s">
        <v>12</v>
      </c>
      <c r="D58" s="55">
        <f>SUM(D51:D57)</f>
        <v>0</v>
      </c>
      <c r="E58" s="56">
        <f>SUM(E51:E57)</f>
        <v>0</v>
      </c>
      <c r="F58" s="56">
        <f>SUM(F51:F57)</f>
        <v>0</v>
      </c>
      <c r="G58" s="56">
        <f>SUM(G51:G57)</f>
        <v>0</v>
      </c>
      <c r="H58" s="56">
        <f>SUM(H51:H57)</f>
        <v>0</v>
      </c>
      <c r="I58" s="56">
        <f t="shared" ref="I58" si="3">SUM(I51:I57)</f>
        <v>0</v>
      </c>
      <c r="J58" s="56">
        <f>SUM(J51:J57)</f>
        <v>0</v>
      </c>
      <c r="K58" s="60">
        <f>SUM(K50:K56)</f>
        <v>0</v>
      </c>
    </row>
    <row r="59" spans="1:15" ht="15.75" thickBot="1"/>
    <row r="60" spans="1:15" ht="21" customHeight="1">
      <c r="A60" s="2268" t="s">
        <v>39</v>
      </c>
      <c r="B60" s="580"/>
      <c r="C60" s="2269" t="s">
        <v>8</v>
      </c>
      <c r="D60" s="2197" t="s">
        <v>40</v>
      </c>
      <c r="E60" s="102" t="s">
        <v>5</v>
      </c>
      <c r="F60" s="484"/>
      <c r="G60" s="484"/>
      <c r="H60" s="484"/>
      <c r="I60" s="484"/>
      <c r="J60" s="484"/>
      <c r="K60" s="484"/>
      <c r="L60" s="485"/>
    </row>
    <row r="61" spans="1:15" ht="115.5" customHeight="1">
      <c r="A61" s="2100"/>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552"/>
      <c r="B62" s="2025"/>
      <c r="C62" s="112">
        <v>2014</v>
      </c>
      <c r="D62" s="113"/>
      <c r="E62" s="114"/>
      <c r="F62" s="115"/>
      <c r="G62" s="115"/>
      <c r="H62" s="115"/>
      <c r="I62" s="115"/>
      <c r="J62" s="115"/>
      <c r="K62" s="115"/>
      <c r="L62" s="37"/>
      <c r="M62" s="8"/>
      <c r="N62" s="8"/>
      <c r="O62" s="8"/>
    </row>
    <row r="63" spans="1:15">
      <c r="A63" s="2553"/>
      <c r="B63" s="2025"/>
      <c r="C63" s="116">
        <v>2015</v>
      </c>
      <c r="D63" s="117"/>
      <c r="E63" s="118"/>
      <c r="F63" s="42"/>
      <c r="G63" s="42"/>
      <c r="H63" s="42"/>
      <c r="I63" s="42"/>
      <c r="J63" s="42"/>
      <c r="K63" s="42"/>
      <c r="L63" s="99"/>
      <c r="M63" s="8"/>
      <c r="N63" s="8"/>
      <c r="O63" s="8"/>
    </row>
    <row r="64" spans="1:15">
      <c r="A64" s="2553"/>
      <c r="B64" s="2025"/>
      <c r="C64" s="116">
        <v>2016</v>
      </c>
      <c r="D64" s="117"/>
      <c r="E64" s="118"/>
      <c r="F64" s="42"/>
      <c r="G64" s="42"/>
      <c r="H64" s="42"/>
      <c r="I64" s="42"/>
      <c r="J64" s="42"/>
      <c r="K64" s="42"/>
      <c r="L64" s="99"/>
      <c r="M64" s="8"/>
      <c r="N64" s="8"/>
      <c r="O64" s="8"/>
    </row>
    <row r="65" spans="1:20">
      <c r="A65" s="2553"/>
      <c r="B65" s="2025"/>
      <c r="C65" s="116">
        <v>2017</v>
      </c>
      <c r="D65" s="117"/>
      <c r="E65" s="118"/>
      <c r="F65" s="42"/>
      <c r="G65" s="42"/>
      <c r="H65" s="42"/>
      <c r="I65" s="42"/>
      <c r="J65" s="42"/>
      <c r="K65" s="42"/>
      <c r="L65" s="99"/>
      <c r="M65" s="8"/>
      <c r="N65" s="8"/>
      <c r="O65" s="8"/>
    </row>
    <row r="66" spans="1:20">
      <c r="A66" s="2553"/>
      <c r="B66" s="2025"/>
      <c r="C66" s="116">
        <v>2018</v>
      </c>
      <c r="D66" s="117"/>
      <c r="E66" s="118"/>
      <c r="F66" s="42"/>
      <c r="G66" s="42"/>
      <c r="H66" s="42"/>
      <c r="I66" s="42"/>
      <c r="J66" s="42"/>
      <c r="K66" s="42"/>
      <c r="L66" s="99"/>
      <c r="M66" s="8"/>
      <c r="N66" s="8"/>
      <c r="O66" s="8"/>
    </row>
    <row r="67" spans="1:20" ht="17.25" customHeight="1">
      <c r="A67" s="2553"/>
      <c r="B67" s="2025"/>
      <c r="C67" s="116">
        <v>2019</v>
      </c>
      <c r="D67" s="117"/>
      <c r="E67" s="118"/>
      <c r="F67" s="42"/>
      <c r="G67" s="42"/>
      <c r="H67" s="42"/>
      <c r="I67" s="42"/>
      <c r="J67" s="42"/>
      <c r="K67" s="42"/>
      <c r="L67" s="99"/>
      <c r="M67" s="8"/>
      <c r="N67" s="8"/>
      <c r="O67" s="8"/>
    </row>
    <row r="68" spans="1:20" ht="16.5" customHeight="1">
      <c r="A68" s="2553"/>
      <c r="B68" s="2025"/>
      <c r="C68" s="116">
        <v>2020</v>
      </c>
      <c r="D68" s="117"/>
      <c r="E68" s="118"/>
      <c r="F68" s="42"/>
      <c r="G68" s="42"/>
      <c r="H68" s="42"/>
      <c r="I68" s="42"/>
      <c r="J68" s="42"/>
      <c r="K68" s="42"/>
      <c r="L68" s="99"/>
      <c r="M68" s="121"/>
      <c r="N68" s="121"/>
      <c r="O68" s="121"/>
    </row>
    <row r="69" spans="1:20" ht="18" customHeight="1" thickBot="1">
      <c r="A69" s="2134"/>
      <c r="B69" s="2027"/>
      <c r="C69" s="122" t="s">
        <v>12</v>
      </c>
      <c r="D69" s="123">
        <f>SUM(D62:D68)</f>
        <v>0</v>
      </c>
      <c r="E69" s="124">
        <f>SUM(E62:E68)</f>
        <v>0</v>
      </c>
      <c r="F69" s="125">
        <f t="shared" ref="F69:I69" si="4">SUM(F62:F68)</f>
        <v>0</v>
      </c>
      <c r="G69" s="125">
        <f t="shared" si="4"/>
        <v>0</v>
      </c>
      <c r="H69" s="125">
        <f t="shared" si="4"/>
        <v>0</v>
      </c>
      <c r="I69" s="125">
        <f t="shared" si="4"/>
        <v>0</v>
      </c>
      <c r="J69" s="125"/>
      <c r="K69" s="125">
        <f>SUM(K62:K68)</f>
        <v>0</v>
      </c>
      <c r="L69" s="126">
        <f>SUM(L62:L68)</f>
        <v>0</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576" t="s">
        <v>42</v>
      </c>
      <c r="B71" s="577" t="s">
        <v>7</v>
      </c>
      <c r="C71" s="80" t="s">
        <v>8</v>
      </c>
      <c r="D71" s="132" t="s">
        <v>43</v>
      </c>
      <c r="E71" s="132" t="s">
        <v>44</v>
      </c>
      <c r="F71" s="133" t="s">
        <v>45</v>
      </c>
      <c r="G71" s="488" t="s">
        <v>46</v>
      </c>
      <c r="H71" s="135" t="s">
        <v>13</v>
      </c>
      <c r="I71" s="136" t="s">
        <v>14</v>
      </c>
      <c r="J71" s="137" t="s">
        <v>15</v>
      </c>
      <c r="K71" s="136" t="s">
        <v>16</v>
      </c>
      <c r="L71" s="136" t="s">
        <v>17</v>
      </c>
      <c r="M71" s="138" t="s">
        <v>18</v>
      </c>
      <c r="N71" s="137" t="s">
        <v>19</v>
      </c>
      <c r="O71" s="139" t="s">
        <v>20</v>
      </c>
    </row>
    <row r="72" spans="1:20" ht="15" customHeight="1">
      <c r="A72" s="2550" t="s">
        <v>344</v>
      </c>
      <c r="B72" s="2025"/>
      <c r="C72" s="84">
        <v>2014</v>
      </c>
      <c r="D72" s="140"/>
      <c r="E72" s="140"/>
      <c r="F72" s="140"/>
      <c r="G72" s="141">
        <f>SUM(D72:F72)</f>
        <v>0</v>
      </c>
      <c r="H72" s="33"/>
      <c r="I72" s="142"/>
      <c r="J72" s="115"/>
      <c r="K72" s="115"/>
      <c r="L72" s="115"/>
      <c r="M72" s="115"/>
      <c r="N72" s="115"/>
      <c r="O72" s="143"/>
    </row>
    <row r="73" spans="1:20">
      <c r="A73" s="2551"/>
      <c r="B73" s="2025"/>
      <c r="C73" s="86">
        <v>2015</v>
      </c>
      <c r="D73" s="147">
        <v>2</v>
      </c>
      <c r="E73" s="147"/>
      <c r="F73" s="147"/>
      <c r="G73" s="141">
        <f t="shared" ref="G73:G78" si="5">SUM(D73:F73)</f>
        <v>2</v>
      </c>
      <c r="H73" s="50"/>
      <c r="I73" s="50"/>
      <c r="J73" s="42"/>
      <c r="K73" s="42">
        <v>2</v>
      </c>
      <c r="L73" s="42"/>
      <c r="M73" s="42"/>
      <c r="N73" s="42"/>
      <c r="O73" s="99"/>
    </row>
    <row r="74" spans="1:20">
      <c r="A74" s="2551"/>
      <c r="B74" s="2025"/>
      <c r="C74" s="86">
        <v>2016</v>
      </c>
      <c r="D74" s="147"/>
      <c r="E74" s="147"/>
      <c r="F74" s="147"/>
      <c r="G74" s="141">
        <f t="shared" si="5"/>
        <v>0</v>
      </c>
      <c r="H74" s="50"/>
      <c r="I74" s="50"/>
      <c r="J74" s="42"/>
      <c r="K74" s="42"/>
      <c r="L74" s="42"/>
      <c r="M74" s="42"/>
      <c r="N74" s="42"/>
      <c r="O74" s="99"/>
    </row>
    <row r="75" spans="1:20">
      <c r="A75" s="2551"/>
      <c r="B75" s="2025"/>
      <c r="C75" s="86">
        <v>2017</v>
      </c>
      <c r="D75" s="147"/>
      <c r="E75" s="147"/>
      <c r="F75" s="147"/>
      <c r="G75" s="141">
        <f t="shared" si="5"/>
        <v>0</v>
      </c>
      <c r="H75" s="50"/>
      <c r="I75" s="50"/>
      <c r="J75" s="42"/>
      <c r="K75" s="42"/>
      <c r="L75" s="42"/>
      <c r="M75" s="42"/>
      <c r="N75" s="42"/>
      <c r="O75" s="99"/>
    </row>
    <row r="76" spans="1:20">
      <c r="A76" s="2551"/>
      <c r="B76" s="2025"/>
      <c r="C76" s="86">
        <v>2018</v>
      </c>
      <c r="D76" s="147"/>
      <c r="E76" s="147"/>
      <c r="F76" s="147"/>
      <c r="G76" s="141">
        <f t="shared" si="5"/>
        <v>0</v>
      </c>
      <c r="H76" s="50"/>
      <c r="I76" s="50"/>
      <c r="J76" s="42"/>
      <c r="K76" s="42"/>
      <c r="L76" s="42"/>
      <c r="M76" s="42"/>
      <c r="N76" s="42"/>
      <c r="O76" s="99"/>
    </row>
    <row r="77" spans="1:20" ht="15.75" customHeight="1">
      <c r="A77" s="2551"/>
      <c r="B77" s="2025"/>
      <c r="C77" s="86">
        <v>2019</v>
      </c>
      <c r="D77" s="147"/>
      <c r="E77" s="147"/>
      <c r="F77" s="147"/>
      <c r="G77" s="141">
        <f t="shared" si="5"/>
        <v>0</v>
      </c>
      <c r="H77" s="50"/>
      <c r="I77" s="50"/>
      <c r="J77" s="42"/>
      <c r="K77" s="42"/>
      <c r="L77" s="42"/>
      <c r="M77" s="42"/>
      <c r="N77" s="42"/>
      <c r="O77" s="99"/>
    </row>
    <row r="78" spans="1:20" ht="17.25" customHeight="1">
      <c r="A78" s="2551"/>
      <c r="B78" s="2025"/>
      <c r="C78" s="86">
        <v>2020</v>
      </c>
      <c r="D78" s="147"/>
      <c r="E78" s="147"/>
      <c r="F78" s="147"/>
      <c r="G78" s="141">
        <f t="shared" si="5"/>
        <v>0</v>
      </c>
      <c r="H78" s="50"/>
      <c r="I78" s="50"/>
      <c r="J78" s="42"/>
      <c r="K78" s="42"/>
      <c r="L78" s="42"/>
      <c r="M78" s="42"/>
      <c r="N78" s="42"/>
      <c r="O78" s="99"/>
    </row>
    <row r="79" spans="1:20" ht="20.25" customHeight="1" thickBot="1">
      <c r="A79" s="2134"/>
      <c r="B79" s="2027"/>
      <c r="C79" s="148" t="s">
        <v>12</v>
      </c>
      <c r="D79" s="123">
        <f>SUM(D72:D78)</f>
        <v>2</v>
      </c>
      <c r="E79" s="123">
        <f>SUM(E72:E78)</f>
        <v>0</v>
      </c>
      <c r="F79" s="123">
        <f>SUM(F72:F78)</f>
        <v>0</v>
      </c>
      <c r="G79" s="149">
        <f>SUM(G72:G78)</f>
        <v>2</v>
      </c>
      <c r="H79" s="150">
        <v>0</v>
      </c>
      <c r="I79" s="151">
        <f t="shared" ref="I79:O79" si="6">SUM(I72:I78)</f>
        <v>0</v>
      </c>
      <c r="J79" s="125">
        <f t="shared" si="6"/>
        <v>0</v>
      </c>
      <c r="K79" s="125">
        <f t="shared" si="6"/>
        <v>2</v>
      </c>
      <c r="L79" s="125">
        <f t="shared" si="6"/>
        <v>0</v>
      </c>
      <c r="M79" s="125">
        <f t="shared" si="6"/>
        <v>0</v>
      </c>
      <c r="N79" s="125">
        <f t="shared" si="6"/>
        <v>0</v>
      </c>
      <c r="O79" s="126">
        <f t="shared" si="6"/>
        <v>0</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583" t="s">
        <v>49</v>
      </c>
      <c r="B84" s="584" t="s">
        <v>50</v>
      </c>
      <c r="C84" s="161" t="s">
        <v>8</v>
      </c>
      <c r="D84" s="491" t="s">
        <v>51</v>
      </c>
      <c r="E84" s="163" t="s">
        <v>52</v>
      </c>
      <c r="F84" s="164" t="s">
        <v>53</v>
      </c>
      <c r="G84" s="164" t="s">
        <v>54</v>
      </c>
      <c r="H84" s="164" t="s">
        <v>55</v>
      </c>
      <c r="I84" s="164" t="s">
        <v>56</v>
      </c>
      <c r="J84" s="164" t="s">
        <v>57</v>
      </c>
      <c r="K84" s="165" t="s">
        <v>58</v>
      </c>
    </row>
    <row r="85" spans="1:16" ht="15" customHeight="1">
      <c r="A85" s="2554"/>
      <c r="B85" s="2025"/>
      <c r="C85" s="84">
        <v>2014</v>
      </c>
      <c r="D85" s="166"/>
      <c r="E85" s="167"/>
      <c r="F85" s="34"/>
      <c r="G85" s="34"/>
      <c r="H85" s="34"/>
      <c r="I85" s="34"/>
      <c r="J85" s="34"/>
      <c r="K85" s="37"/>
    </row>
    <row r="86" spans="1:16">
      <c r="A86" s="2555"/>
      <c r="B86" s="2025"/>
      <c r="C86" s="86">
        <v>2015</v>
      </c>
      <c r="D86" s="168"/>
      <c r="E86" s="118"/>
      <c r="F86" s="42"/>
      <c r="G86" s="42"/>
      <c r="H86" s="42"/>
      <c r="I86" s="42"/>
      <c r="J86" s="42"/>
      <c r="K86" s="99"/>
    </row>
    <row r="87" spans="1:16">
      <c r="A87" s="2555"/>
      <c r="B87" s="2025"/>
      <c r="C87" s="86">
        <v>2016</v>
      </c>
      <c r="D87" s="168"/>
      <c r="E87" s="118"/>
      <c r="F87" s="42"/>
      <c r="G87" s="42"/>
      <c r="H87" s="42"/>
      <c r="I87" s="42"/>
      <c r="J87" s="42"/>
      <c r="K87" s="99"/>
    </row>
    <row r="88" spans="1:16">
      <c r="A88" s="2555"/>
      <c r="B88" s="2025"/>
      <c r="C88" s="86">
        <v>2017</v>
      </c>
      <c r="D88" s="168"/>
      <c r="E88" s="118"/>
      <c r="F88" s="42"/>
      <c r="G88" s="42"/>
      <c r="H88" s="42"/>
      <c r="I88" s="42"/>
      <c r="J88" s="42"/>
      <c r="K88" s="99"/>
    </row>
    <row r="89" spans="1:16">
      <c r="A89" s="2555"/>
      <c r="B89" s="2025"/>
      <c r="C89" s="86">
        <v>2018</v>
      </c>
      <c r="D89" s="168"/>
      <c r="E89" s="118"/>
      <c r="F89" s="42"/>
      <c r="G89" s="42"/>
      <c r="H89" s="42"/>
      <c r="I89" s="42"/>
      <c r="J89" s="42"/>
      <c r="K89" s="99"/>
    </row>
    <row r="90" spans="1:16">
      <c r="A90" s="2555"/>
      <c r="B90" s="2025"/>
      <c r="C90" s="86">
        <v>2019</v>
      </c>
      <c r="D90" s="168"/>
      <c r="E90" s="118"/>
      <c r="F90" s="42"/>
      <c r="G90" s="42"/>
      <c r="H90" s="42"/>
      <c r="I90" s="42"/>
      <c r="J90" s="42"/>
      <c r="K90" s="99"/>
    </row>
    <row r="91" spans="1:16">
      <c r="A91" s="2555"/>
      <c r="B91" s="2025"/>
      <c r="C91" s="86">
        <v>2020</v>
      </c>
      <c r="D91" s="168"/>
      <c r="E91" s="118"/>
      <c r="F91" s="42"/>
      <c r="G91" s="42"/>
      <c r="H91" s="42"/>
      <c r="I91" s="42"/>
      <c r="J91" s="42"/>
      <c r="K91" s="99"/>
    </row>
    <row r="92" spans="1:16" ht="18" customHeight="1" thickBot="1">
      <c r="A92" s="2073"/>
      <c r="B92" s="2027"/>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270" t="s">
        <v>60</v>
      </c>
      <c r="B96" s="2271" t="s">
        <v>61</v>
      </c>
      <c r="C96" s="2272" t="s">
        <v>8</v>
      </c>
      <c r="D96" s="2207" t="s">
        <v>62</v>
      </c>
      <c r="E96" s="2208"/>
      <c r="F96" s="174" t="s">
        <v>63</v>
      </c>
      <c r="G96" s="493"/>
      <c r="H96" s="493"/>
      <c r="I96" s="493"/>
      <c r="J96" s="493"/>
      <c r="K96" s="493"/>
      <c r="L96" s="493"/>
      <c r="M96" s="494"/>
      <c r="N96" s="177"/>
      <c r="O96" s="177"/>
      <c r="P96" s="177"/>
    </row>
    <row r="97" spans="1:16" ht="100.5" customHeight="1">
      <c r="A97" s="2041"/>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552" t="s">
        <v>345</v>
      </c>
      <c r="B98" s="2025"/>
      <c r="C98" s="112">
        <v>2014</v>
      </c>
      <c r="D98" s="33"/>
      <c r="E98" s="34"/>
      <c r="F98" s="186"/>
      <c r="G98" s="187"/>
      <c r="H98" s="187"/>
      <c r="I98" s="187"/>
      <c r="J98" s="187"/>
      <c r="K98" s="187"/>
      <c r="L98" s="187"/>
      <c r="M98" s="188"/>
      <c r="N98" s="177"/>
      <c r="O98" s="177"/>
      <c r="P98" s="177"/>
    </row>
    <row r="99" spans="1:16" ht="16.5" customHeight="1">
      <c r="A99" s="2553"/>
      <c r="B99" s="2025"/>
      <c r="C99" s="116">
        <v>2015</v>
      </c>
      <c r="D99" s="50">
        <v>1</v>
      </c>
      <c r="E99" s="42">
        <v>2</v>
      </c>
      <c r="F99" s="189"/>
      <c r="G99" s="190"/>
      <c r="H99" s="190"/>
      <c r="I99" s="190"/>
      <c r="J99" s="190"/>
      <c r="K99" s="190"/>
      <c r="L99" s="190"/>
      <c r="M99" s="193">
        <v>1</v>
      </c>
      <c r="N99" s="177"/>
      <c r="O99" s="177"/>
      <c r="P99" s="177"/>
    </row>
    <row r="100" spans="1:16" ht="16.5" customHeight="1">
      <c r="A100" s="2553"/>
      <c r="B100" s="2025"/>
      <c r="C100" s="116">
        <v>2016</v>
      </c>
      <c r="D100" s="1369">
        <v>1</v>
      </c>
      <c r="E100" s="573">
        <v>6</v>
      </c>
      <c r="F100" s="189"/>
      <c r="G100" s="190"/>
      <c r="H100" s="190"/>
      <c r="I100" s="190"/>
      <c r="J100" s="190"/>
      <c r="K100" s="190"/>
      <c r="L100" s="190"/>
      <c r="M100" s="193">
        <v>1</v>
      </c>
      <c r="N100" s="177"/>
      <c r="O100" s="177"/>
      <c r="P100" s="177"/>
    </row>
    <row r="101" spans="1:16" ht="16.5" customHeight="1">
      <c r="A101" s="2553"/>
      <c r="B101" s="2025"/>
      <c r="C101" s="116">
        <v>2017</v>
      </c>
      <c r="D101" s="50"/>
      <c r="E101" s="42"/>
      <c r="F101" s="189"/>
      <c r="G101" s="190"/>
      <c r="H101" s="190"/>
      <c r="I101" s="190"/>
      <c r="J101" s="190"/>
      <c r="K101" s="190"/>
      <c r="L101" s="190"/>
      <c r="M101" s="193"/>
      <c r="N101" s="177"/>
      <c r="O101" s="177"/>
      <c r="P101" s="177"/>
    </row>
    <row r="102" spans="1:16" ht="15.75" customHeight="1">
      <c r="A102" s="2553"/>
      <c r="B102" s="2025"/>
      <c r="C102" s="116">
        <v>2018</v>
      </c>
      <c r="D102" s="50"/>
      <c r="E102" s="42"/>
      <c r="F102" s="189"/>
      <c r="G102" s="190"/>
      <c r="H102" s="190"/>
      <c r="I102" s="190"/>
      <c r="J102" s="190"/>
      <c r="K102" s="190"/>
      <c r="L102" s="190"/>
      <c r="M102" s="193"/>
      <c r="N102" s="177"/>
      <c r="O102" s="177"/>
      <c r="P102" s="177"/>
    </row>
    <row r="103" spans="1:16" ht="14.25" customHeight="1">
      <c r="A103" s="2553"/>
      <c r="B103" s="2025"/>
      <c r="C103" s="116">
        <v>2019</v>
      </c>
      <c r="D103" s="50"/>
      <c r="E103" s="42"/>
      <c r="F103" s="189"/>
      <c r="G103" s="190"/>
      <c r="H103" s="190"/>
      <c r="I103" s="190"/>
      <c r="J103" s="190"/>
      <c r="K103" s="190"/>
      <c r="L103" s="190"/>
      <c r="M103" s="193"/>
      <c r="N103" s="177"/>
      <c r="O103" s="177"/>
      <c r="P103" s="177"/>
    </row>
    <row r="104" spans="1:16" ht="14.25" customHeight="1">
      <c r="A104" s="2553"/>
      <c r="B104" s="2025"/>
      <c r="C104" s="116">
        <v>2020</v>
      </c>
      <c r="D104" s="50"/>
      <c r="E104" s="42"/>
      <c r="F104" s="189"/>
      <c r="G104" s="190"/>
      <c r="H104" s="190"/>
      <c r="I104" s="190"/>
      <c r="J104" s="190"/>
      <c r="K104" s="190"/>
      <c r="L104" s="190"/>
      <c r="M104" s="193"/>
      <c r="N104" s="177"/>
      <c r="O104" s="177"/>
      <c r="P104" s="177"/>
    </row>
    <row r="105" spans="1:16" ht="19.5" customHeight="1" thickBot="1">
      <c r="A105" s="2046"/>
      <c r="B105" s="2027"/>
      <c r="C105" s="122" t="s">
        <v>12</v>
      </c>
      <c r="D105" s="151">
        <f>SUM(D98:D104)</f>
        <v>2</v>
      </c>
      <c r="E105" s="125">
        <f t="shared" ref="E105:K105" si="8">SUM(E98:E104)</f>
        <v>8</v>
      </c>
      <c r="F105" s="194">
        <f t="shared" si="8"/>
        <v>0</v>
      </c>
      <c r="G105" s="195">
        <f t="shared" si="8"/>
        <v>0</v>
      </c>
      <c r="H105" s="195">
        <f t="shared" si="8"/>
        <v>0</v>
      </c>
      <c r="I105" s="195">
        <f>SUM(I98:I104)</f>
        <v>0</v>
      </c>
      <c r="J105" s="195">
        <f t="shared" si="8"/>
        <v>0</v>
      </c>
      <c r="K105" s="195">
        <f t="shared" si="8"/>
        <v>0</v>
      </c>
      <c r="L105" s="195">
        <f>SUM(L98:L104)</f>
        <v>0</v>
      </c>
      <c r="M105" s="196">
        <v>1</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270" t="s">
        <v>69</v>
      </c>
      <c r="B107" s="2271" t="s">
        <v>61</v>
      </c>
      <c r="C107" s="2272" t="s">
        <v>8</v>
      </c>
      <c r="D107" s="2210" t="s">
        <v>70</v>
      </c>
      <c r="E107" s="174" t="s">
        <v>71</v>
      </c>
      <c r="F107" s="493"/>
      <c r="G107" s="493"/>
      <c r="H107" s="493"/>
      <c r="I107" s="493"/>
      <c r="J107" s="493"/>
      <c r="K107" s="493"/>
      <c r="L107" s="494"/>
      <c r="M107" s="199"/>
      <c r="N107" s="199"/>
    </row>
    <row r="108" spans="1:16" ht="103.5" customHeight="1">
      <c r="A108" s="2041"/>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552"/>
      <c r="B109" s="2025"/>
      <c r="C109" s="112">
        <v>2014</v>
      </c>
      <c r="D109" s="34"/>
      <c r="E109" s="186"/>
      <c r="F109" s="187"/>
      <c r="G109" s="187"/>
      <c r="H109" s="187"/>
      <c r="I109" s="187"/>
      <c r="J109" s="187"/>
      <c r="K109" s="187"/>
      <c r="L109" s="188"/>
      <c r="M109" s="199"/>
      <c r="N109" s="199"/>
    </row>
    <row r="110" spans="1:16">
      <c r="A110" s="2553"/>
      <c r="B110" s="2025"/>
      <c r="C110" s="116">
        <v>2015</v>
      </c>
      <c r="D110" s="42"/>
      <c r="E110" s="189"/>
      <c r="F110" s="190"/>
      <c r="G110" s="190"/>
      <c r="H110" s="190"/>
      <c r="I110" s="190"/>
      <c r="J110" s="190"/>
      <c r="K110" s="190"/>
      <c r="L110" s="193"/>
      <c r="M110" s="199"/>
      <c r="N110" s="199"/>
    </row>
    <row r="111" spans="1:16">
      <c r="A111" s="2553"/>
      <c r="B111" s="2025"/>
      <c r="C111" s="116">
        <v>2016</v>
      </c>
      <c r="D111" s="42"/>
      <c r="E111" s="189"/>
      <c r="F111" s="190"/>
      <c r="G111" s="190"/>
      <c r="H111" s="190"/>
      <c r="I111" s="190"/>
      <c r="J111" s="190"/>
      <c r="K111" s="190"/>
      <c r="L111" s="193"/>
      <c r="M111" s="199"/>
      <c r="N111" s="199"/>
    </row>
    <row r="112" spans="1:16">
      <c r="A112" s="2553"/>
      <c r="B112" s="2025"/>
      <c r="C112" s="116">
        <v>2017</v>
      </c>
      <c r="D112" s="42"/>
      <c r="E112" s="189"/>
      <c r="F112" s="190"/>
      <c r="G112" s="190"/>
      <c r="H112" s="190"/>
      <c r="I112" s="190"/>
      <c r="J112" s="190"/>
      <c r="K112" s="190"/>
      <c r="L112" s="193"/>
      <c r="M112" s="199"/>
      <c r="N112" s="199"/>
    </row>
    <row r="113" spans="1:14">
      <c r="A113" s="2553"/>
      <c r="B113" s="2025"/>
      <c r="C113" s="116">
        <v>2018</v>
      </c>
      <c r="D113" s="42"/>
      <c r="E113" s="189"/>
      <c r="F113" s="190"/>
      <c r="G113" s="190"/>
      <c r="H113" s="190"/>
      <c r="I113" s="190"/>
      <c r="J113" s="190"/>
      <c r="K113" s="190"/>
      <c r="L113" s="193"/>
      <c r="M113" s="199"/>
      <c r="N113" s="199"/>
    </row>
    <row r="114" spans="1:14">
      <c r="A114" s="2553"/>
      <c r="B114" s="2025"/>
      <c r="C114" s="116">
        <v>2019</v>
      </c>
      <c r="D114" s="42"/>
      <c r="E114" s="189"/>
      <c r="F114" s="190"/>
      <c r="G114" s="190"/>
      <c r="H114" s="190"/>
      <c r="I114" s="190"/>
      <c r="J114" s="190"/>
      <c r="K114" s="190"/>
      <c r="L114" s="193"/>
      <c r="M114" s="199"/>
      <c r="N114" s="199"/>
    </row>
    <row r="115" spans="1:14">
      <c r="A115" s="2553"/>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270" t="s">
        <v>72</v>
      </c>
      <c r="B118" s="2271" t="s">
        <v>61</v>
      </c>
      <c r="C118" s="2272" t="s">
        <v>8</v>
      </c>
      <c r="D118" s="2210" t="s">
        <v>73</v>
      </c>
      <c r="E118" s="174" t="s">
        <v>71</v>
      </c>
      <c r="F118" s="493"/>
      <c r="G118" s="493"/>
      <c r="H118" s="493"/>
      <c r="I118" s="493"/>
      <c r="J118" s="493"/>
      <c r="K118" s="493"/>
      <c r="L118" s="494"/>
      <c r="M118" s="199"/>
      <c r="N118" s="199"/>
    </row>
    <row r="119" spans="1:14" ht="120.75" customHeight="1">
      <c r="A119" s="2041"/>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552"/>
      <c r="B120" s="2025"/>
      <c r="C120" s="112">
        <v>2014</v>
      </c>
      <c r="D120" s="34"/>
      <c r="E120" s="186"/>
      <c r="F120" s="187"/>
      <c r="G120" s="187"/>
      <c r="H120" s="187"/>
      <c r="I120" s="187"/>
      <c r="J120" s="187"/>
      <c r="K120" s="187"/>
      <c r="L120" s="188"/>
      <c r="M120" s="199"/>
      <c r="N120" s="199"/>
    </row>
    <row r="121" spans="1:14">
      <c r="A121" s="2553"/>
      <c r="B121" s="2025"/>
      <c r="C121" s="116">
        <v>2015</v>
      </c>
      <c r="D121" s="42"/>
      <c r="E121" s="189"/>
      <c r="F121" s="190"/>
      <c r="G121" s="190"/>
      <c r="H121" s="190"/>
      <c r="I121" s="190"/>
      <c r="J121" s="190"/>
      <c r="K121" s="190"/>
      <c r="L121" s="193"/>
      <c r="M121" s="199"/>
      <c r="N121" s="199"/>
    </row>
    <row r="122" spans="1:14">
      <c r="A122" s="2553"/>
      <c r="B122" s="2025"/>
      <c r="C122" s="116">
        <v>2016</v>
      </c>
      <c r="D122" s="42"/>
      <c r="E122" s="189"/>
      <c r="F122" s="190"/>
      <c r="G122" s="190"/>
      <c r="H122" s="190"/>
      <c r="I122" s="190"/>
      <c r="J122" s="190"/>
      <c r="K122" s="190"/>
      <c r="L122" s="193"/>
      <c r="M122" s="199"/>
      <c r="N122" s="199"/>
    </row>
    <row r="123" spans="1:14">
      <c r="A123" s="2553"/>
      <c r="B123" s="2025"/>
      <c r="C123" s="116">
        <v>2017</v>
      </c>
      <c r="D123" s="42"/>
      <c r="E123" s="189"/>
      <c r="F123" s="190"/>
      <c r="G123" s="190"/>
      <c r="H123" s="190"/>
      <c r="I123" s="190"/>
      <c r="J123" s="190"/>
      <c r="K123" s="190"/>
      <c r="L123" s="193"/>
      <c r="M123" s="199"/>
      <c r="N123" s="199"/>
    </row>
    <row r="124" spans="1:14">
      <c r="A124" s="2553"/>
      <c r="B124" s="2025"/>
      <c r="C124" s="116">
        <v>2018</v>
      </c>
      <c r="D124" s="42"/>
      <c r="E124" s="189"/>
      <c r="F124" s="190"/>
      <c r="G124" s="190"/>
      <c r="H124" s="190"/>
      <c r="I124" s="190"/>
      <c r="J124" s="190"/>
      <c r="K124" s="190"/>
      <c r="L124" s="193"/>
      <c r="M124" s="199"/>
      <c r="N124" s="199"/>
    </row>
    <row r="125" spans="1:14">
      <c r="A125" s="2553"/>
      <c r="B125" s="2025"/>
      <c r="C125" s="116">
        <v>2019</v>
      </c>
      <c r="D125" s="42"/>
      <c r="E125" s="189"/>
      <c r="F125" s="190"/>
      <c r="G125" s="190"/>
      <c r="H125" s="190"/>
      <c r="I125" s="190"/>
      <c r="J125" s="190"/>
      <c r="K125" s="190"/>
      <c r="L125" s="193"/>
      <c r="M125" s="199"/>
      <c r="N125" s="199"/>
    </row>
    <row r="126" spans="1:14">
      <c r="A126" s="2553"/>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270" t="s">
        <v>74</v>
      </c>
      <c r="B129" s="2271" t="s">
        <v>61</v>
      </c>
      <c r="C129" s="1357" t="s">
        <v>8</v>
      </c>
      <c r="D129" s="496" t="s">
        <v>75</v>
      </c>
      <c r="E129" s="497"/>
      <c r="F129" s="497"/>
      <c r="G129" s="498"/>
      <c r="H129" s="199"/>
      <c r="I129" s="199"/>
      <c r="J129" s="199"/>
      <c r="K129" s="199"/>
      <c r="L129" s="199"/>
      <c r="M129" s="199"/>
      <c r="N129" s="199"/>
    </row>
    <row r="130" spans="1:16" ht="77.25" customHeight="1">
      <c r="A130" s="2041"/>
      <c r="B130" s="2043"/>
      <c r="C130" s="1354"/>
      <c r="D130" s="178" t="s">
        <v>76</v>
      </c>
      <c r="E130" s="207" t="s">
        <v>77</v>
      </c>
      <c r="F130" s="179" t="s">
        <v>78</v>
      </c>
      <c r="G130" s="208" t="s">
        <v>12</v>
      </c>
      <c r="H130" s="199"/>
      <c r="I130" s="199"/>
      <c r="J130" s="199"/>
      <c r="K130" s="199"/>
      <c r="L130" s="199"/>
      <c r="M130" s="199"/>
      <c r="N130" s="199"/>
    </row>
    <row r="131" spans="1:16" ht="15" customHeight="1">
      <c r="A131" s="2550"/>
      <c r="B131" s="1988"/>
      <c r="C131" s="112">
        <v>2015</v>
      </c>
      <c r="D131" s="33">
        <v>16</v>
      </c>
      <c r="E131" s="34"/>
      <c r="F131" s="34"/>
      <c r="G131" s="209">
        <f t="shared" ref="G131:G136" si="11">SUM(D131:F131)</f>
        <v>16</v>
      </c>
      <c r="H131" s="199"/>
      <c r="I131" s="199"/>
      <c r="J131" s="199"/>
      <c r="K131" s="199"/>
      <c r="L131" s="199"/>
      <c r="M131" s="199"/>
      <c r="N131" s="199"/>
    </row>
    <row r="132" spans="1:16">
      <c r="A132" s="2551"/>
      <c r="B132" s="1988"/>
      <c r="C132" s="116">
        <v>2016</v>
      </c>
      <c r="D132" s="578">
        <v>48</v>
      </c>
      <c r="E132" s="42"/>
      <c r="F132" s="42"/>
      <c r="G132" s="209">
        <f t="shared" si="11"/>
        <v>48</v>
      </c>
      <c r="H132" s="199"/>
      <c r="I132" s="199"/>
      <c r="J132" s="199"/>
      <c r="K132" s="199"/>
      <c r="L132" s="199"/>
      <c r="M132" s="199"/>
      <c r="N132" s="199"/>
    </row>
    <row r="133" spans="1:16">
      <c r="A133" s="2551"/>
      <c r="B133" s="1988"/>
      <c r="C133" s="116">
        <v>2017</v>
      </c>
      <c r="D133" s="50"/>
      <c r="E133" s="42"/>
      <c r="F133" s="42"/>
      <c r="G133" s="209">
        <f t="shared" si="11"/>
        <v>0</v>
      </c>
      <c r="H133" s="199"/>
      <c r="I133" s="199"/>
      <c r="J133" s="199"/>
      <c r="K133" s="199"/>
      <c r="L133" s="199"/>
      <c r="M133" s="199"/>
      <c r="N133" s="199"/>
    </row>
    <row r="134" spans="1:16">
      <c r="A134" s="2551"/>
      <c r="B134" s="1988"/>
      <c r="C134" s="116">
        <v>2018</v>
      </c>
      <c r="D134" s="50"/>
      <c r="E134" s="42"/>
      <c r="F134" s="42"/>
      <c r="G134" s="209">
        <f t="shared" si="11"/>
        <v>0</v>
      </c>
      <c r="H134" s="199"/>
      <c r="I134" s="199"/>
      <c r="J134" s="199"/>
      <c r="K134" s="199"/>
      <c r="L134" s="199"/>
      <c r="M134" s="199"/>
      <c r="N134" s="199"/>
    </row>
    <row r="135" spans="1:16">
      <c r="A135" s="2551"/>
      <c r="B135" s="1988"/>
      <c r="C135" s="116">
        <v>2019</v>
      </c>
      <c r="D135" s="50"/>
      <c r="E135" s="42"/>
      <c r="F135" s="42"/>
      <c r="G135" s="209">
        <f t="shared" si="11"/>
        <v>0</v>
      </c>
      <c r="H135" s="199"/>
      <c r="I135" s="199"/>
      <c r="J135" s="199"/>
      <c r="K135" s="199"/>
      <c r="L135" s="199"/>
      <c r="M135" s="199"/>
      <c r="N135" s="199"/>
    </row>
    <row r="136" spans="1:16">
      <c r="A136" s="2551"/>
      <c r="B136" s="1988"/>
      <c r="C136" s="116">
        <v>2020</v>
      </c>
      <c r="D136" s="50"/>
      <c r="E136" s="42"/>
      <c r="F136" s="42"/>
      <c r="G136" s="209">
        <f t="shared" si="11"/>
        <v>0</v>
      </c>
      <c r="H136" s="199"/>
      <c r="I136" s="199"/>
      <c r="J136" s="199"/>
      <c r="K136" s="199"/>
      <c r="L136" s="199"/>
      <c r="M136" s="199"/>
      <c r="N136" s="199"/>
    </row>
    <row r="137" spans="1:16" ht="17.25" customHeight="1" thickBot="1">
      <c r="A137" s="1989"/>
      <c r="B137" s="1990"/>
      <c r="C137" s="122" t="s">
        <v>12</v>
      </c>
      <c r="D137" s="151">
        <f>SUM(D131:D136)</f>
        <v>64</v>
      </c>
      <c r="E137" s="151">
        <f t="shared" ref="E137:F137" si="12">SUM(E131:E136)</f>
        <v>0</v>
      </c>
      <c r="F137" s="151">
        <f t="shared" si="12"/>
        <v>0</v>
      </c>
      <c r="G137" s="210">
        <f>SUM(G131:G136)</f>
        <v>64</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273" t="s">
        <v>80</v>
      </c>
      <c r="B142" s="2274" t="s">
        <v>61</v>
      </c>
      <c r="C142" s="2280" t="s">
        <v>8</v>
      </c>
      <c r="D142" s="590" t="s">
        <v>81</v>
      </c>
      <c r="E142" s="591"/>
      <c r="F142" s="591"/>
      <c r="G142" s="591"/>
      <c r="H142" s="591"/>
      <c r="I142" s="592"/>
      <c r="J142" s="2275" t="s">
        <v>82</v>
      </c>
      <c r="K142" s="2276"/>
      <c r="L142" s="2276"/>
      <c r="M142" s="2276"/>
      <c r="N142" s="2277"/>
      <c r="O142" s="177"/>
      <c r="P142" s="177"/>
    </row>
    <row r="143" spans="1:16" ht="113.25" customHeight="1">
      <c r="A143" s="2045"/>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552"/>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553"/>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553"/>
      <c r="B146" s="2025"/>
      <c r="C146" s="116">
        <v>2016</v>
      </c>
      <c r="D146" s="50"/>
      <c r="E146" s="50"/>
      <c r="F146" s="42"/>
      <c r="G146" s="190"/>
      <c r="H146" s="190"/>
      <c r="I146" s="227">
        <f t="shared" si="13"/>
        <v>0</v>
      </c>
      <c r="J146" s="231"/>
      <c r="K146" s="232"/>
      <c r="L146" s="231"/>
      <c r="M146" s="232"/>
      <c r="N146" s="233"/>
      <c r="O146" s="177"/>
      <c r="P146" s="177"/>
    </row>
    <row r="147" spans="1:16" ht="17.25" customHeight="1">
      <c r="A147" s="2553"/>
      <c r="B147" s="2025"/>
      <c r="C147" s="116">
        <v>2017</v>
      </c>
      <c r="D147" s="50"/>
      <c r="E147" s="50"/>
      <c r="F147" s="42"/>
      <c r="G147" s="190"/>
      <c r="H147" s="190"/>
      <c r="I147" s="227">
        <f t="shared" si="13"/>
        <v>0</v>
      </c>
      <c r="J147" s="231"/>
      <c r="K147" s="232"/>
      <c r="L147" s="231"/>
      <c r="M147" s="232"/>
      <c r="N147" s="233"/>
      <c r="O147" s="177"/>
      <c r="P147" s="177"/>
    </row>
    <row r="148" spans="1:16" ht="19.5" customHeight="1">
      <c r="A148" s="2553"/>
      <c r="B148" s="2025"/>
      <c r="C148" s="116">
        <v>2018</v>
      </c>
      <c r="D148" s="50"/>
      <c r="E148" s="50"/>
      <c r="F148" s="42"/>
      <c r="G148" s="190"/>
      <c r="H148" s="190"/>
      <c r="I148" s="227">
        <f t="shared" si="13"/>
        <v>0</v>
      </c>
      <c r="J148" s="231"/>
      <c r="K148" s="232"/>
      <c r="L148" s="231"/>
      <c r="M148" s="232"/>
      <c r="N148" s="233"/>
      <c r="O148" s="177"/>
      <c r="P148" s="177"/>
    </row>
    <row r="149" spans="1:16" ht="19.5" customHeight="1">
      <c r="A149" s="2553"/>
      <c r="B149" s="2025"/>
      <c r="C149" s="116">
        <v>2019</v>
      </c>
      <c r="D149" s="50"/>
      <c r="E149" s="50"/>
      <c r="F149" s="42"/>
      <c r="G149" s="190"/>
      <c r="H149" s="190"/>
      <c r="I149" s="227">
        <f t="shared" si="13"/>
        <v>0</v>
      </c>
      <c r="J149" s="231"/>
      <c r="K149" s="232"/>
      <c r="L149" s="231"/>
      <c r="M149" s="232"/>
      <c r="N149" s="233"/>
      <c r="O149" s="177"/>
      <c r="P149" s="177"/>
    </row>
    <row r="150" spans="1:16" ht="18.75" customHeight="1">
      <c r="A150" s="2553"/>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278" t="s">
        <v>93</v>
      </c>
      <c r="B153" s="2274" t="s">
        <v>61</v>
      </c>
      <c r="C153" s="2279" t="s">
        <v>8</v>
      </c>
      <c r="D153" s="502" t="s">
        <v>94</v>
      </c>
      <c r="E153" s="502"/>
      <c r="F153" s="503"/>
      <c r="G153" s="503"/>
      <c r="H153" s="502" t="s">
        <v>95</v>
      </c>
      <c r="I153" s="502"/>
      <c r="J153" s="504"/>
      <c r="K153" s="31"/>
      <c r="L153" s="31"/>
      <c r="M153" s="31"/>
      <c r="N153" s="31"/>
      <c r="O153" s="177"/>
      <c r="P153" s="177"/>
    </row>
    <row r="154" spans="1:16" ht="49.5" customHeight="1">
      <c r="A154" s="2556"/>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552"/>
      <c r="B155" s="2025"/>
      <c r="C155" s="247">
        <v>2014</v>
      </c>
      <c r="D155" s="228"/>
      <c r="E155" s="187"/>
      <c r="F155" s="229"/>
      <c r="G155" s="227">
        <f>SUM(D155:F155)</f>
        <v>0</v>
      </c>
      <c r="H155" s="228"/>
      <c r="I155" s="187"/>
      <c r="J155" s="188"/>
      <c r="O155" s="177"/>
      <c r="P155" s="177"/>
    </row>
    <row r="156" spans="1:16" ht="19.5" customHeight="1">
      <c r="A156" s="2553"/>
      <c r="B156" s="2025"/>
      <c r="C156" s="248">
        <v>2015</v>
      </c>
      <c r="D156" s="231"/>
      <c r="E156" s="190"/>
      <c r="F156" s="232"/>
      <c r="G156" s="227">
        <f t="shared" ref="G156:G161" si="15">SUM(D156:F156)</f>
        <v>0</v>
      </c>
      <c r="H156" s="231"/>
      <c r="I156" s="190"/>
      <c r="J156" s="193"/>
      <c r="O156" s="177"/>
      <c r="P156" s="177"/>
    </row>
    <row r="157" spans="1:16" ht="17.25" customHeight="1">
      <c r="A157" s="2553"/>
      <c r="B157" s="2025"/>
      <c r="C157" s="248">
        <v>2016</v>
      </c>
      <c r="D157" s="231"/>
      <c r="E157" s="190"/>
      <c r="F157" s="232"/>
      <c r="G157" s="227">
        <f t="shared" si="15"/>
        <v>0</v>
      </c>
      <c r="H157" s="231"/>
      <c r="I157" s="190"/>
      <c r="J157" s="193"/>
      <c r="O157" s="177"/>
      <c r="P157" s="177"/>
    </row>
    <row r="158" spans="1:16" ht="15" customHeight="1">
      <c r="A158" s="2553"/>
      <c r="B158" s="2025"/>
      <c r="C158" s="248">
        <v>2017</v>
      </c>
      <c r="D158" s="231"/>
      <c r="E158" s="190"/>
      <c r="F158" s="232"/>
      <c r="G158" s="227">
        <f t="shared" si="15"/>
        <v>0</v>
      </c>
      <c r="H158" s="231"/>
      <c r="I158" s="190"/>
      <c r="J158" s="193"/>
      <c r="O158" s="177"/>
      <c r="P158" s="177"/>
    </row>
    <row r="159" spans="1:16" ht="19.5" customHeight="1">
      <c r="A159" s="2553"/>
      <c r="B159" s="2025"/>
      <c r="C159" s="248">
        <v>2018</v>
      </c>
      <c r="D159" s="231"/>
      <c r="E159" s="190"/>
      <c r="F159" s="232"/>
      <c r="G159" s="227">
        <f t="shared" si="15"/>
        <v>0</v>
      </c>
      <c r="H159" s="231"/>
      <c r="I159" s="190"/>
      <c r="J159" s="193"/>
      <c r="O159" s="177"/>
      <c r="P159" s="177"/>
    </row>
    <row r="160" spans="1:16" ht="15" customHeight="1">
      <c r="A160" s="2553"/>
      <c r="B160" s="2025"/>
      <c r="C160" s="248">
        <v>2019</v>
      </c>
      <c r="D160" s="231"/>
      <c r="E160" s="190"/>
      <c r="F160" s="232"/>
      <c r="G160" s="227">
        <f t="shared" si="15"/>
        <v>0</v>
      </c>
      <c r="H160" s="231"/>
      <c r="I160" s="190"/>
      <c r="J160" s="193"/>
      <c r="O160" s="177"/>
      <c r="P160" s="177"/>
    </row>
    <row r="161" spans="1:18" ht="17.25" customHeight="1">
      <c r="A161" s="2553"/>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505"/>
      <c r="F163" s="177"/>
      <c r="G163" s="177"/>
      <c r="H163" s="177"/>
      <c r="I163" s="177"/>
      <c r="J163" s="255"/>
      <c r="K163" s="256"/>
    </row>
    <row r="164" spans="1:18" ht="95.25" customHeight="1">
      <c r="A164" s="506" t="s">
        <v>102</v>
      </c>
      <c r="B164" s="258" t="s">
        <v>103</v>
      </c>
      <c r="C164" s="1370" t="s">
        <v>8</v>
      </c>
      <c r="D164" s="260" t="s">
        <v>104</v>
      </c>
      <c r="E164" s="260" t="s">
        <v>105</v>
      </c>
      <c r="F164" s="508" t="s">
        <v>106</v>
      </c>
      <c r="G164" s="260" t="s">
        <v>107</v>
      </c>
      <c r="H164" s="260" t="s">
        <v>108</v>
      </c>
      <c r="I164" s="262" t="s">
        <v>109</v>
      </c>
      <c r="J164" s="509" t="s">
        <v>110</v>
      </c>
      <c r="K164" s="509" t="s">
        <v>111</v>
      </c>
      <c r="L164" s="1371"/>
    </row>
    <row r="165" spans="1:18" ht="15.75" customHeight="1">
      <c r="A165" s="2011"/>
      <c r="B165" s="2012"/>
      <c r="C165" s="265">
        <v>2014</v>
      </c>
      <c r="D165" s="187"/>
      <c r="E165" s="187"/>
      <c r="F165" s="187"/>
      <c r="G165" s="187"/>
      <c r="H165" s="187"/>
      <c r="I165" s="188"/>
      <c r="J165" s="266">
        <f>SUM(D165,F165,H165)</f>
        <v>0</v>
      </c>
      <c r="K165" s="267">
        <f>SUM(E165,G165,I165)</f>
        <v>0</v>
      </c>
      <c r="L165" s="1371"/>
    </row>
    <row r="166" spans="1:18">
      <c r="A166" s="2013"/>
      <c r="B166" s="2014"/>
      <c r="C166" s="268">
        <v>2015</v>
      </c>
      <c r="D166" s="269"/>
      <c r="E166" s="269"/>
      <c r="F166" s="269"/>
      <c r="G166" s="269"/>
      <c r="H166" s="269"/>
      <c r="I166" s="270"/>
      <c r="J166" s="271">
        <f t="shared" ref="J166:K171" si="17">SUM(D166,F166,H166)</f>
        <v>0</v>
      </c>
      <c r="K166" s="272">
        <f t="shared" si="17"/>
        <v>0</v>
      </c>
      <c r="L166" s="1371"/>
    </row>
    <row r="167" spans="1:18">
      <c r="A167" s="2013"/>
      <c r="B167" s="2014"/>
      <c r="C167" s="268">
        <v>2016</v>
      </c>
      <c r="D167" s="269"/>
      <c r="E167" s="269"/>
      <c r="F167" s="269"/>
      <c r="G167" s="269"/>
      <c r="H167" s="269"/>
      <c r="I167" s="270"/>
      <c r="J167" s="271">
        <f t="shared" si="17"/>
        <v>0</v>
      </c>
      <c r="K167" s="272">
        <f t="shared" si="17"/>
        <v>0</v>
      </c>
    </row>
    <row r="168" spans="1:18">
      <c r="A168" s="2013"/>
      <c r="B168" s="2014"/>
      <c r="C168" s="268">
        <v>2017</v>
      </c>
      <c r="D168" s="269"/>
      <c r="E168" s="177"/>
      <c r="F168" s="269"/>
      <c r="G168" s="269"/>
      <c r="H168" s="269"/>
      <c r="I168" s="270"/>
      <c r="J168" s="271">
        <f t="shared" si="17"/>
        <v>0</v>
      </c>
      <c r="K168" s="272">
        <f t="shared" si="17"/>
        <v>0</v>
      </c>
    </row>
    <row r="169" spans="1:18">
      <c r="A169" s="2013"/>
      <c r="B169" s="2014"/>
      <c r="C169" s="273">
        <v>2018</v>
      </c>
      <c r="D169" s="269"/>
      <c r="E169" s="269"/>
      <c r="F169" s="269"/>
      <c r="G169" s="274"/>
      <c r="H169" s="269"/>
      <c r="I169" s="270"/>
      <c r="J169" s="271">
        <f t="shared" si="17"/>
        <v>0</v>
      </c>
      <c r="K169" s="272">
        <f t="shared" si="17"/>
        <v>0</v>
      </c>
      <c r="L169" s="1371"/>
    </row>
    <row r="170" spans="1:18">
      <c r="A170" s="2013"/>
      <c r="B170" s="2014"/>
      <c r="C170" s="268">
        <v>2019</v>
      </c>
      <c r="D170" s="177"/>
      <c r="E170" s="269"/>
      <c r="F170" s="269"/>
      <c r="G170" s="269"/>
      <c r="H170" s="274"/>
      <c r="I170" s="270"/>
      <c r="J170" s="271">
        <f t="shared" si="17"/>
        <v>0</v>
      </c>
      <c r="K170" s="272">
        <f t="shared" si="17"/>
        <v>0</v>
      </c>
      <c r="L170" s="1371"/>
    </row>
    <row r="171" spans="1:18">
      <c r="A171" s="2013"/>
      <c r="B171" s="2014"/>
      <c r="C171" s="273">
        <v>2020</v>
      </c>
      <c r="D171" s="269"/>
      <c r="E171" s="269"/>
      <c r="F171" s="269"/>
      <c r="G171" s="269"/>
      <c r="H171" s="269"/>
      <c r="I171" s="270"/>
      <c r="J171" s="271">
        <f t="shared" si="17"/>
        <v>0</v>
      </c>
      <c r="K171" s="272">
        <f t="shared" si="17"/>
        <v>0</v>
      </c>
      <c r="L171" s="1371"/>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1371"/>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284" t="s">
        <v>113</v>
      </c>
      <c r="B176" s="2285" t="s">
        <v>114</v>
      </c>
      <c r="C176" s="2286" t="s">
        <v>8</v>
      </c>
      <c r="D176" s="510" t="s">
        <v>115</v>
      </c>
      <c r="E176" s="511"/>
      <c r="F176" s="511"/>
      <c r="G176" s="512"/>
      <c r="H176" s="513"/>
      <c r="I176" s="2021" t="s">
        <v>116</v>
      </c>
      <c r="J176" s="2232"/>
      <c r="K176" s="2232"/>
      <c r="L176" s="2232"/>
      <c r="M176" s="2232"/>
      <c r="N176" s="2232"/>
      <c r="O176" s="2233"/>
    </row>
    <row r="177" spans="1:15" s="31" customFormat="1" ht="129.75" customHeight="1">
      <c r="A177" s="2018"/>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553"/>
      <c r="B178" s="2025"/>
      <c r="C178" s="112">
        <v>2014</v>
      </c>
      <c r="D178" s="33"/>
      <c r="E178" s="34"/>
      <c r="F178" s="34"/>
      <c r="G178" s="293">
        <f>SUM(D178:F178)</f>
        <v>0</v>
      </c>
      <c r="H178" s="167"/>
      <c r="I178" s="167"/>
      <c r="J178" s="34"/>
      <c r="K178" s="34"/>
      <c r="L178" s="34"/>
      <c r="M178" s="34"/>
      <c r="N178" s="34"/>
      <c r="O178" s="37"/>
    </row>
    <row r="179" spans="1:15">
      <c r="A179" s="2553"/>
      <c r="B179" s="2025"/>
      <c r="C179" s="116">
        <v>2015</v>
      </c>
      <c r="D179" s="50"/>
      <c r="E179" s="42"/>
      <c r="F179" s="42"/>
      <c r="G179" s="293">
        <f t="shared" ref="G179:G184" si="19">SUM(D179:F179)</f>
        <v>0</v>
      </c>
      <c r="H179" s="294"/>
      <c r="I179" s="118"/>
      <c r="J179" s="42"/>
      <c r="K179" s="42"/>
      <c r="L179" s="42"/>
      <c r="M179" s="42"/>
      <c r="N179" s="42"/>
      <c r="O179" s="99"/>
    </row>
    <row r="180" spans="1:15">
      <c r="A180" s="2553"/>
      <c r="B180" s="2025"/>
      <c r="C180" s="116">
        <v>2016</v>
      </c>
      <c r="D180" s="50">
        <v>5</v>
      </c>
      <c r="E180" s="42">
        <v>1</v>
      </c>
      <c r="F180" s="42"/>
      <c r="G180" s="293">
        <f t="shared" si="19"/>
        <v>6</v>
      </c>
      <c r="H180" s="594">
        <v>32</v>
      </c>
      <c r="I180" s="118"/>
      <c r="J180" s="42">
        <v>4</v>
      </c>
      <c r="K180" s="42"/>
      <c r="L180" s="42">
        <v>1</v>
      </c>
      <c r="M180" s="42">
        <v>1</v>
      </c>
      <c r="N180" s="42"/>
      <c r="O180" s="99"/>
    </row>
    <row r="181" spans="1:15">
      <c r="A181" s="2553"/>
      <c r="B181" s="2025"/>
      <c r="C181" s="116">
        <v>2017</v>
      </c>
      <c r="D181" s="50"/>
      <c r="E181" s="42"/>
      <c r="F181" s="42"/>
      <c r="G181" s="293">
        <f t="shared" si="19"/>
        <v>0</v>
      </c>
      <c r="H181" s="294"/>
      <c r="I181" s="118"/>
      <c r="J181" s="42"/>
      <c r="K181" s="42"/>
      <c r="L181" s="42"/>
      <c r="M181" s="42"/>
      <c r="N181" s="42"/>
      <c r="O181" s="99"/>
    </row>
    <row r="182" spans="1:15">
      <c r="A182" s="2553"/>
      <c r="B182" s="2025"/>
      <c r="C182" s="116">
        <v>2018</v>
      </c>
      <c r="D182" s="50"/>
      <c r="E182" s="42"/>
      <c r="F182" s="42"/>
      <c r="G182" s="293">
        <f t="shared" si="19"/>
        <v>0</v>
      </c>
      <c r="H182" s="294"/>
      <c r="I182" s="118"/>
      <c r="J182" s="42"/>
      <c r="K182" s="42"/>
      <c r="L182" s="42"/>
      <c r="M182" s="42"/>
      <c r="N182" s="42"/>
      <c r="O182" s="99"/>
    </row>
    <row r="183" spans="1:15">
      <c r="A183" s="2553"/>
      <c r="B183" s="2025"/>
      <c r="C183" s="116">
        <v>2019</v>
      </c>
      <c r="D183" s="50"/>
      <c r="E183" s="42"/>
      <c r="F183" s="42"/>
      <c r="G183" s="293">
        <f t="shared" si="19"/>
        <v>0</v>
      </c>
      <c r="H183" s="294"/>
      <c r="I183" s="118"/>
      <c r="J183" s="42"/>
      <c r="K183" s="42"/>
      <c r="L183" s="42"/>
      <c r="M183" s="42"/>
      <c r="N183" s="42"/>
      <c r="O183" s="99"/>
    </row>
    <row r="184" spans="1:15">
      <c r="A184" s="2553"/>
      <c r="B184" s="2025"/>
      <c r="C184" s="116">
        <v>2020</v>
      </c>
      <c r="D184" s="50"/>
      <c r="E184" s="42"/>
      <c r="F184" s="42"/>
      <c r="G184" s="293">
        <f t="shared" si="19"/>
        <v>0</v>
      </c>
      <c r="H184" s="294"/>
      <c r="I184" s="118"/>
      <c r="J184" s="42"/>
      <c r="K184" s="42"/>
      <c r="L184" s="42"/>
      <c r="M184" s="42"/>
      <c r="N184" s="42"/>
      <c r="O184" s="99"/>
    </row>
    <row r="185" spans="1:15" ht="45" customHeight="1" thickBot="1">
      <c r="A185" s="2026"/>
      <c r="B185" s="2027"/>
      <c r="C185" s="122" t="s">
        <v>12</v>
      </c>
      <c r="D185" s="151">
        <f>SUM(D178:D184)</f>
        <v>5</v>
      </c>
      <c r="E185" s="125">
        <f>SUM(E178:E184)</f>
        <v>1</v>
      </c>
      <c r="F185" s="125">
        <f>SUM(F178:F184)</f>
        <v>0</v>
      </c>
      <c r="G185" s="234">
        <f t="shared" ref="G185:O185" si="20">SUM(G178:G184)</f>
        <v>6</v>
      </c>
      <c r="H185" s="295">
        <f t="shared" si="20"/>
        <v>32</v>
      </c>
      <c r="I185" s="124">
        <f t="shared" si="20"/>
        <v>0</v>
      </c>
      <c r="J185" s="125">
        <f t="shared" si="20"/>
        <v>4</v>
      </c>
      <c r="K185" s="125">
        <f t="shared" si="20"/>
        <v>0</v>
      </c>
      <c r="L185" s="125">
        <f t="shared" si="20"/>
        <v>1</v>
      </c>
      <c r="M185" s="125">
        <f t="shared" si="20"/>
        <v>1</v>
      </c>
      <c r="N185" s="125">
        <f t="shared" si="20"/>
        <v>0</v>
      </c>
      <c r="O185" s="126">
        <f t="shared" si="20"/>
        <v>0</v>
      </c>
    </row>
    <row r="186" spans="1:15" ht="33" customHeight="1" thickBot="1"/>
    <row r="187" spans="1:15" ht="19.5" customHeight="1">
      <c r="A187" s="2235" t="s">
        <v>122</v>
      </c>
      <c r="B187" s="2285" t="s">
        <v>114</v>
      </c>
      <c r="C187" s="1998" t="s">
        <v>8</v>
      </c>
      <c r="D187" s="2000" t="s">
        <v>123</v>
      </c>
      <c r="E187" s="2219"/>
      <c r="F187" s="2219"/>
      <c r="G187" s="2220"/>
      <c r="H187" s="2221"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005" t="s">
        <v>346</v>
      </c>
      <c r="B189" s="2112"/>
      <c r="C189" s="392">
        <v>2014</v>
      </c>
      <c r="D189" s="142"/>
      <c r="E189" s="115"/>
      <c r="F189" s="115"/>
      <c r="G189" s="301">
        <f>SUM(D189:F189)</f>
        <v>0</v>
      </c>
      <c r="H189" s="114"/>
      <c r="I189" s="115"/>
      <c r="J189" s="115"/>
      <c r="K189" s="115"/>
      <c r="L189" s="143"/>
    </row>
    <row r="190" spans="1:15">
      <c r="A190" s="2557"/>
      <c r="B190" s="1988"/>
      <c r="C190" s="86">
        <v>2015</v>
      </c>
      <c r="D190" s="50"/>
      <c r="E190" s="42"/>
      <c r="F190" s="42"/>
      <c r="G190" s="301">
        <f t="shared" ref="G190:G195" si="21">SUM(D190:F190)</f>
        <v>0</v>
      </c>
      <c r="H190" s="118"/>
      <c r="I190" s="42"/>
      <c r="J190" s="42"/>
      <c r="K190" s="42"/>
      <c r="L190" s="99"/>
    </row>
    <row r="191" spans="1:15">
      <c r="A191" s="2557"/>
      <c r="B191" s="1988"/>
      <c r="C191" s="86">
        <v>2016</v>
      </c>
      <c r="D191" s="50">
        <v>560</v>
      </c>
      <c r="E191" s="42">
        <v>35</v>
      </c>
      <c r="F191" s="42"/>
      <c r="G191" s="301">
        <f t="shared" si="21"/>
        <v>595</v>
      </c>
      <c r="H191" s="118"/>
      <c r="I191" s="42">
        <v>40</v>
      </c>
      <c r="J191" s="42"/>
      <c r="K191" s="42">
        <v>104</v>
      </c>
      <c r="L191" s="99">
        <v>451</v>
      </c>
    </row>
    <row r="192" spans="1:15">
      <c r="A192" s="2557"/>
      <c r="B192" s="1988"/>
      <c r="C192" s="86">
        <v>2017</v>
      </c>
      <c r="D192" s="50"/>
      <c r="E192" s="42"/>
      <c r="F192" s="42"/>
      <c r="G192" s="301">
        <f t="shared" si="21"/>
        <v>0</v>
      </c>
      <c r="H192" s="118"/>
      <c r="I192" s="42"/>
      <c r="J192" s="42"/>
      <c r="K192" s="42"/>
      <c r="L192" s="99"/>
    </row>
    <row r="193" spans="1:14">
      <c r="A193" s="2557"/>
      <c r="B193" s="1988"/>
      <c r="C193" s="86">
        <v>2018</v>
      </c>
      <c r="D193" s="50"/>
      <c r="E193" s="42"/>
      <c r="F193" s="42"/>
      <c r="G193" s="301">
        <f t="shared" si="21"/>
        <v>0</v>
      </c>
      <c r="H193" s="118"/>
      <c r="I193" s="42"/>
      <c r="J193" s="42"/>
      <c r="K193" s="42"/>
      <c r="L193" s="99"/>
    </row>
    <row r="194" spans="1:14">
      <c r="A194" s="2557"/>
      <c r="B194" s="1988"/>
      <c r="C194" s="86">
        <v>2019</v>
      </c>
      <c r="D194" s="50"/>
      <c r="E194" s="42"/>
      <c r="F194" s="42"/>
      <c r="G194" s="301">
        <f t="shared" si="21"/>
        <v>0</v>
      </c>
      <c r="H194" s="118"/>
      <c r="I194" s="42"/>
      <c r="J194" s="42"/>
      <c r="K194" s="42"/>
      <c r="L194" s="99"/>
    </row>
    <row r="195" spans="1:14">
      <c r="A195" s="2557"/>
      <c r="B195" s="1988"/>
      <c r="C195" s="86">
        <v>2020</v>
      </c>
      <c r="D195" s="50"/>
      <c r="E195" s="42"/>
      <c r="F195" s="42"/>
      <c r="G195" s="301">
        <f t="shared" si="21"/>
        <v>0</v>
      </c>
      <c r="H195" s="118"/>
      <c r="I195" s="42"/>
      <c r="J195" s="42"/>
      <c r="K195" s="42"/>
      <c r="L195" s="99"/>
    </row>
    <row r="196" spans="1:14" ht="15.75" thickBot="1">
      <c r="A196" s="2114"/>
      <c r="B196" s="1990"/>
      <c r="C196" s="148" t="s">
        <v>12</v>
      </c>
      <c r="D196" s="151">
        <f t="shared" ref="D196:L196" si="22">SUM(D189:D195)</f>
        <v>560</v>
      </c>
      <c r="E196" s="125">
        <f t="shared" si="22"/>
        <v>35</v>
      </c>
      <c r="F196" s="125">
        <f t="shared" si="22"/>
        <v>0</v>
      </c>
      <c r="G196" s="304">
        <f t="shared" si="22"/>
        <v>595</v>
      </c>
      <c r="H196" s="124">
        <f t="shared" si="22"/>
        <v>0</v>
      </c>
      <c r="I196" s="125">
        <f t="shared" si="22"/>
        <v>40</v>
      </c>
      <c r="J196" s="125">
        <f t="shared" si="22"/>
        <v>0</v>
      </c>
      <c r="K196" s="125">
        <f t="shared" si="22"/>
        <v>104</v>
      </c>
      <c r="L196" s="126">
        <f t="shared" si="22"/>
        <v>451</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596" t="s">
        <v>135</v>
      </c>
      <c r="B201" s="309" t="s">
        <v>114</v>
      </c>
      <c r="C201" s="310" t="s">
        <v>8</v>
      </c>
      <c r="D201" s="515" t="s">
        <v>136</v>
      </c>
      <c r="E201" s="312" t="s">
        <v>137</v>
      </c>
      <c r="F201" s="312" t="s">
        <v>138</v>
      </c>
      <c r="G201" s="310" t="s">
        <v>139</v>
      </c>
      <c r="H201" s="516" t="s">
        <v>140</v>
      </c>
      <c r="I201" s="517" t="s">
        <v>141</v>
      </c>
      <c r="J201" s="518" t="s">
        <v>142</v>
      </c>
      <c r="K201" s="312" t="s">
        <v>143</v>
      </c>
      <c r="L201" s="316" t="s">
        <v>144</v>
      </c>
    </row>
    <row r="202" spans="1:14" ht="15" customHeight="1">
      <c r="A202" s="2551" t="s">
        <v>347</v>
      </c>
      <c r="B202" s="1988"/>
      <c r="C202" s="84">
        <v>2014</v>
      </c>
      <c r="D202" s="33"/>
      <c r="E202" s="34"/>
      <c r="F202" s="34"/>
      <c r="G202" s="32"/>
      <c r="H202" s="317"/>
      <c r="I202" s="318"/>
      <c r="J202" s="319"/>
      <c r="K202" s="34"/>
      <c r="L202" s="37"/>
    </row>
    <row r="203" spans="1:14">
      <c r="A203" s="2551"/>
      <c r="B203" s="1988"/>
      <c r="C203" s="86">
        <v>2015</v>
      </c>
      <c r="D203" s="50"/>
      <c r="E203" s="42"/>
      <c r="F203" s="42"/>
      <c r="G203" s="39"/>
      <c r="H203" s="320"/>
      <c r="I203" s="321"/>
      <c r="J203" s="322"/>
      <c r="K203" s="42"/>
      <c r="L203" s="99"/>
    </row>
    <row r="204" spans="1:14">
      <c r="A204" s="2551"/>
      <c r="B204" s="1988"/>
      <c r="C204" s="86">
        <v>2016</v>
      </c>
      <c r="D204" s="50">
        <v>1</v>
      </c>
      <c r="E204" s="1372">
        <v>17</v>
      </c>
      <c r="F204" s="42"/>
      <c r="G204" s="39"/>
      <c r="H204" s="320">
        <v>0</v>
      </c>
      <c r="I204" s="321"/>
      <c r="J204" s="322"/>
      <c r="K204" s="42"/>
      <c r="L204" s="99"/>
    </row>
    <row r="205" spans="1:14">
      <c r="A205" s="2551"/>
      <c r="B205" s="1988"/>
      <c r="C205" s="86">
        <v>2017</v>
      </c>
      <c r="D205" s="50"/>
      <c r="E205" s="42"/>
      <c r="F205" s="42"/>
      <c r="G205" s="39"/>
      <c r="H205" s="320"/>
      <c r="I205" s="321"/>
      <c r="J205" s="322"/>
      <c r="K205" s="42"/>
      <c r="L205" s="99"/>
    </row>
    <row r="206" spans="1:14">
      <c r="A206" s="2551"/>
      <c r="B206" s="1988"/>
      <c r="C206" s="86">
        <v>2018</v>
      </c>
      <c r="D206" s="50"/>
      <c r="E206" s="42"/>
      <c r="F206" s="42"/>
      <c r="G206" s="39"/>
      <c r="H206" s="320"/>
      <c r="I206" s="321"/>
      <c r="J206" s="322"/>
      <c r="K206" s="42"/>
      <c r="L206" s="99"/>
    </row>
    <row r="207" spans="1:14">
      <c r="A207" s="2551"/>
      <c r="B207" s="1988"/>
      <c r="C207" s="86">
        <v>2019</v>
      </c>
      <c r="D207" s="50"/>
      <c r="E207" s="42"/>
      <c r="F207" s="42"/>
      <c r="G207" s="39"/>
      <c r="H207" s="320"/>
      <c r="I207" s="321"/>
      <c r="J207" s="322"/>
      <c r="K207" s="42"/>
      <c r="L207" s="99"/>
    </row>
    <row r="208" spans="1:14">
      <c r="A208" s="2551"/>
      <c r="B208" s="1988"/>
      <c r="C208" s="86">
        <v>2020</v>
      </c>
      <c r="D208" s="1356"/>
      <c r="E208" s="324"/>
      <c r="F208" s="324"/>
      <c r="G208" s="325"/>
      <c r="H208" s="326"/>
      <c r="I208" s="327"/>
      <c r="J208" s="328"/>
      <c r="K208" s="324"/>
      <c r="L208" s="329"/>
    </row>
    <row r="209" spans="1:12" ht="20.25" customHeight="1" thickBot="1">
      <c r="A209" s="1989"/>
      <c r="B209" s="1990"/>
      <c r="C209" s="148" t="s">
        <v>12</v>
      </c>
      <c r="D209" s="151">
        <f>SUM(D202:D208)</f>
        <v>1</v>
      </c>
      <c r="E209" s="151">
        <f t="shared" ref="E209:L209" si="23">SUM(E202:E208)</f>
        <v>17</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597" t="s">
        <v>145</v>
      </c>
      <c r="B212" s="331" t="s">
        <v>146</v>
      </c>
      <c r="C212" s="332">
        <v>2014</v>
      </c>
      <c r="D212" s="333">
        <v>2015</v>
      </c>
      <c r="E212" s="333">
        <v>2016</v>
      </c>
      <c r="F212" s="333">
        <v>2017</v>
      </c>
      <c r="G212" s="333">
        <v>2018</v>
      </c>
      <c r="H212" s="333">
        <v>2019</v>
      </c>
      <c r="I212" s="334">
        <v>2020</v>
      </c>
    </row>
    <row r="213" spans="1:12" ht="15" customHeight="1">
      <c r="A213" t="s">
        <v>147</v>
      </c>
      <c r="B213" s="2196" t="s">
        <v>348</v>
      </c>
      <c r="C213" s="84"/>
      <c r="D213" s="403">
        <v>300157.90999999997</v>
      </c>
      <c r="E213" s="403">
        <v>670926.79</v>
      </c>
      <c r="F213" s="147"/>
      <c r="G213" s="147"/>
      <c r="H213" s="147"/>
      <c r="I213" s="335"/>
    </row>
    <row r="214" spans="1:12">
      <c r="A214" t="s">
        <v>149</v>
      </c>
      <c r="B214" s="2168"/>
      <c r="C214" s="84"/>
      <c r="D214" s="403">
        <v>300157.90999999997</v>
      </c>
      <c r="E214" s="403">
        <v>670926.79</v>
      </c>
      <c r="F214" s="147"/>
      <c r="G214" s="147"/>
      <c r="H214" s="147"/>
      <c r="I214" s="335"/>
    </row>
    <row r="215" spans="1:12">
      <c r="A215" t="s">
        <v>150</v>
      </c>
      <c r="B215" s="2168"/>
      <c r="C215" s="84"/>
      <c r="D215" s="147"/>
      <c r="E215" s="147"/>
      <c r="F215" s="147"/>
      <c r="G215" s="147"/>
      <c r="H215" s="147"/>
      <c r="I215" s="335"/>
    </row>
    <row r="216" spans="1:12">
      <c r="A216" t="s">
        <v>151</v>
      </c>
      <c r="B216" s="2168"/>
      <c r="C216" s="84"/>
      <c r="D216" s="147"/>
      <c r="E216" s="147"/>
      <c r="F216" s="147"/>
      <c r="G216" s="147"/>
      <c r="H216" s="147"/>
      <c r="I216" s="335"/>
    </row>
    <row r="217" spans="1:12">
      <c r="A217" t="s">
        <v>152</v>
      </c>
      <c r="B217" s="2168"/>
      <c r="C217" s="84"/>
      <c r="D217" s="147"/>
      <c r="E217" s="147"/>
      <c r="F217" s="147"/>
      <c r="G217" s="147"/>
      <c r="H217" s="147"/>
      <c r="I217" s="335"/>
    </row>
    <row r="218" spans="1:12" ht="30">
      <c r="A218" s="31" t="s">
        <v>153</v>
      </c>
      <c r="B218" s="2168"/>
      <c r="C218" s="84"/>
      <c r="D218" s="403">
        <v>147995.29999999999</v>
      </c>
      <c r="E218" s="403">
        <v>339676.46</v>
      </c>
      <c r="F218" s="147"/>
      <c r="G218" s="147"/>
      <c r="H218" s="147"/>
      <c r="I218" s="335"/>
    </row>
    <row r="219" spans="1:12" ht="15.75" thickBot="1">
      <c r="A219" s="1355"/>
      <c r="B219" s="2169"/>
      <c r="C219" s="54" t="s">
        <v>12</v>
      </c>
      <c r="D219" s="337">
        <f>SUM(D214:D218)</f>
        <v>448153.20999999996</v>
      </c>
      <c r="E219" s="337">
        <f t="shared" ref="E219:I219" si="24">SUM(E214:E218)</f>
        <v>1010603.25</v>
      </c>
      <c r="F219" s="337">
        <f t="shared" si="24"/>
        <v>0</v>
      </c>
      <c r="G219" s="337">
        <f t="shared" si="24"/>
        <v>0</v>
      </c>
      <c r="H219" s="337">
        <f t="shared" si="24"/>
        <v>0</v>
      </c>
      <c r="I219" s="337">
        <f t="shared" si="24"/>
        <v>0</v>
      </c>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Y227"/>
  <sheetViews>
    <sheetView topLeftCell="A205" workbookViewId="0">
      <selection activeCell="A231" sqref="A231"/>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349</v>
      </c>
      <c r="C1" s="2077"/>
      <c r="D1" s="2077"/>
      <c r="E1" s="2077"/>
      <c r="F1" s="2077"/>
    </row>
    <row r="2" spans="1:25" s="2" customFormat="1" ht="20.100000000000001" customHeight="1" thickBot="1"/>
    <row r="3" spans="1:25" s="5" customFormat="1" ht="20.100000000000001" customHeight="1">
      <c r="A3" s="522" t="s">
        <v>1</v>
      </c>
      <c r="B3" s="475"/>
      <c r="C3" s="475"/>
      <c r="D3" s="475"/>
      <c r="E3" s="475"/>
      <c r="F3" s="2198"/>
      <c r="G3" s="2198"/>
      <c r="H3" s="2198"/>
      <c r="I3" s="2198"/>
      <c r="J3" s="2198"/>
      <c r="K3" s="2198"/>
      <c r="L3" s="2198"/>
      <c r="M3" s="2198"/>
      <c r="N3" s="2198"/>
      <c r="O3" s="2199"/>
    </row>
    <row r="4" spans="1:25" s="5" customFormat="1" ht="20.100000000000001" customHeight="1">
      <c r="A4" s="2566" t="s">
        <v>2</v>
      </c>
      <c r="B4" s="2081"/>
      <c r="C4" s="2081"/>
      <c r="D4" s="2081"/>
      <c r="E4" s="2081"/>
      <c r="F4" s="2081"/>
      <c r="G4" s="2081"/>
      <c r="H4" s="2081"/>
      <c r="I4" s="2081"/>
      <c r="J4" s="2081"/>
      <c r="K4" s="2081"/>
      <c r="L4" s="2081"/>
      <c r="M4" s="2081"/>
      <c r="N4" s="2081"/>
      <c r="O4" s="2082"/>
    </row>
    <row r="5" spans="1:25" s="5" customFormat="1" ht="20.100000000000001" customHeight="1">
      <c r="A5" s="2566"/>
      <c r="B5" s="2081"/>
      <c r="C5" s="2081"/>
      <c r="D5" s="2081"/>
      <c r="E5" s="2081"/>
      <c r="F5" s="2081"/>
      <c r="G5" s="2081"/>
      <c r="H5" s="2081"/>
      <c r="I5" s="2081"/>
      <c r="J5" s="2081"/>
      <c r="K5" s="2081"/>
      <c r="L5" s="2081"/>
      <c r="M5" s="2081"/>
      <c r="N5" s="2081"/>
      <c r="O5" s="2082"/>
    </row>
    <row r="6" spans="1:25" s="5" customFormat="1" ht="20.100000000000001" customHeight="1">
      <c r="A6" s="2566"/>
      <c r="B6" s="2081"/>
      <c r="C6" s="2081"/>
      <c r="D6" s="2081"/>
      <c r="E6" s="2081"/>
      <c r="F6" s="2081"/>
      <c r="G6" s="2081"/>
      <c r="H6" s="2081"/>
      <c r="I6" s="2081"/>
      <c r="J6" s="2081"/>
      <c r="K6" s="2081"/>
      <c r="L6" s="2081"/>
      <c r="M6" s="2081"/>
      <c r="N6" s="2081"/>
      <c r="O6" s="2082"/>
    </row>
    <row r="7" spans="1:25" s="5" customFormat="1" ht="20.100000000000001" customHeight="1">
      <c r="A7" s="2566"/>
      <c r="B7" s="2081"/>
      <c r="C7" s="2081"/>
      <c r="D7" s="2081"/>
      <c r="E7" s="2081"/>
      <c r="F7" s="2081"/>
      <c r="G7" s="2081"/>
      <c r="H7" s="2081"/>
      <c r="I7" s="2081"/>
      <c r="J7" s="2081"/>
      <c r="K7" s="2081"/>
      <c r="L7" s="2081"/>
      <c r="M7" s="2081"/>
      <c r="N7" s="2081"/>
      <c r="O7" s="2082"/>
    </row>
    <row r="8" spans="1:25" s="5" customFormat="1" ht="20.100000000000001" customHeight="1">
      <c r="A8" s="2566"/>
      <c r="B8" s="2081"/>
      <c r="C8" s="2081"/>
      <c r="D8" s="2081"/>
      <c r="E8" s="2081"/>
      <c r="F8" s="2081"/>
      <c r="G8" s="2081"/>
      <c r="H8" s="2081"/>
      <c r="I8" s="2081"/>
      <c r="J8" s="2081"/>
      <c r="K8" s="2081"/>
      <c r="L8" s="2081"/>
      <c r="M8" s="2081"/>
      <c r="N8" s="2081"/>
      <c r="O8" s="2082"/>
    </row>
    <row r="9" spans="1:25" s="5" customFormat="1" ht="20.100000000000001" customHeight="1">
      <c r="A9" s="2566"/>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570"/>
      <c r="B15" s="571"/>
      <c r="C15" s="11"/>
      <c r="D15" s="2238" t="s">
        <v>4</v>
      </c>
      <c r="E15" s="2239"/>
      <c r="F15" s="2239"/>
      <c r="G15" s="2239"/>
      <c r="H15" s="526"/>
      <c r="I15" s="13" t="s">
        <v>5</v>
      </c>
      <c r="J15" s="14"/>
      <c r="K15" s="14"/>
      <c r="L15" s="14"/>
      <c r="M15" s="14"/>
      <c r="N15" s="14"/>
      <c r="O15" s="15"/>
      <c r="P15" s="16"/>
      <c r="Q15" s="17"/>
      <c r="R15" s="18"/>
      <c r="S15" s="18"/>
      <c r="T15" s="18"/>
      <c r="U15" s="18"/>
      <c r="V15" s="18"/>
      <c r="W15" s="16"/>
      <c r="X15" s="16"/>
      <c r="Y15" s="17"/>
    </row>
    <row r="16" spans="1:25" s="31" customFormat="1" ht="129" customHeight="1">
      <c r="A16" s="20"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563" t="s">
        <v>350</v>
      </c>
      <c r="B17" s="19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558"/>
      <c r="B18" s="1988"/>
      <c r="C18" s="39">
        <v>2015</v>
      </c>
      <c r="D18" s="50">
        <v>8</v>
      </c>
      <c r="E18" s="42">
        <v>1</v>
      </c>
      <c r="F18" s="42">
        <v>1</v>
      </c>
      <c r="G18" s="35">
        <f>SUM(D18:F18)</f>
        <v>10</v>
      </c>
      <c r="H18" s="51"/>
      <c r="I18" s="42">
        <v>2</v>
      </c>
      <c r="J18" s="42"/>
      <c r="K18" s="42"/>
      <c r="L18" s="42"/>
      <c r="M18" s="42"/>
      <c r="N18" s="42"/>
      <c r="O18" s="52">
        <v>8</v>
      </c>
      <c r="P18" s="38"/>
      <c r="Q18" s="38"/>
      <c r="R18" s="38"/>
      <c r="S18" s="38"/>
      <c r="T18" s="38"/>
      <c r="U18" s="38"/>
      <c r="V18" s="38"/>
      <c r="W18" s="38"/>
      <c r="X18" s="38"/>
      <c r="Y18" s="38"/>
    </row>
    <row r="19" spans="1:25">
      <c r="A19" s="2558"/>
      <c r="B19" s="1988"/>
      <c r="C19" s="39">
        <v>2016</v>
      </c>
      <c r="D19" s="50">
        <v>26</v>
      </c>
      <c r="E19" s="42">
        <v>4</v>
      </c>
      <c r="F19" s="42"/>
      <c r="G19" s="35">
        <f t="shared" si="0"/>
        <v>30</v>
      </c>
      <c r="H19" s="51"/>
      <c r="I19" s="42">
        <v>6</v>
      </c>
      <c r="J19" s="42">
        <v>4</v>
      </c>
      <c r="K19" s="42">
        <v>2</v>
      </c>
      <c r="L19" s="42">
        <v>2</v>
      </c>
      <c r="M19" s="42"/>
      <c r="N19" s="42"/>
      <c r="O19" s="52">
        <v>16</v>
      </c>
      <c r="P19" s="38"/>
      <c r="Q19" s="38"/>
      <c r="R19" s="38"/>
      <c r="S19" s="38"/>
      <c r="T19" s="38"/>
      <c r="U19" s="38"/>
      <c r="V19" s="38"/>
      <c r="W19" s="38"/>
      <c r="X19" s="38"/>
      <c r="Y19" s="38"/>
    </row>
    <row r="20" spans="1:25">
      <c r="A20" s="2558"/>
      <c r="B20" s="1988"/>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2558"/>
      <c r="B21" s="1988"/>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2558"/>
      <c r="B22" s="1988"/>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2558"/>
      <c r="B23" s="1988"/>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45" customHeight="1" thickBot="1">
      <c r="A24" s="1989"/>
      <c r="B24" s="1990"/>
      <c r="C24" s="54" t="s">
        <v>12</v>
      </c>
      <c r="D24" s="55">
        <f>SUM(D17:D23)</f>
        <v>34</v>
      </c>
      <c r="E24" s="56">
        <f>SUM(E17:E23)</f>
        <v>5</v>
      </c>
      <c r="F24" s="56">
        <f>SUM(F17:F23)</f>
        <v>1</v>
      </c>
      <c r="G24" s="57">
        <f>SUM(D24:F24)</f>
        <v>40</v>
      </c>
      <c r="H24" s="58">
        <f>SUM(H17:H23)</f>
        <v>0</v>
      </c>
      <c r="I24" s="59">
        <f>SUM(I17:I23)</f>
        <v>8</v>
      </c>
      <c r="J24" s="59">
        <f t="shared" ref="J24:N24" si="1">SUM(J17:J23)</f>
        <v>4</v>
      </c>
      <c r="K24" s="59">
        <f t="shared" si="1"/>
        <v>2</v>
      </c>
      <c r="L24" s="59">
        <f t="shared" si="1"/>
        <v>2</v>
      </c>
      <c r="M24" s="59">
        <f t="shared" si="1"/>
        <v>0</v>
      </c>
      <c r="N24" s="59">
        <f t="shared" si="1"/>
        <v>0</v>
      </c>
      <c r="O24" s="60">
        <f>SUM(O17:O23)</f>
        <v>24</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570"/>
      <c r="B26" s="571"/>
      <c r="C26" s="63"/>
      <c r="D26" s="2244" t="s">
        <v>4</v>
      </c>
      <c r="E26" s="2245"/>
      <c r="F26" s="2245"/>
      <c r="G26" s="2246"/>
      <c r="H26" s="16"/>
      <c r="I26" s="17"/>
      <c r="J26" s="18"/>
      <c r="K26" s="18"/>
      <c r="L26" s="18"/>
      <c r="M26" s="18"/>
      <c r="N26" s="18"/>
      <c r="O26" s="16"/>
      <c r="P26" s="16"/>
    </row>
    <row r="27" spans="1:25" s="31" customFormat="1" ht="93" customHeight="1">
      <c r="A27" s="1377"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563" t="s">
        <v>351</v>
      </c>
      <c r="B28" s="1988"/>
      <c r="C28" s="68">
        <v>2014</v>
      </c>
      <c r="D28" s="36"/>
      <c r="E28" s="34"/>
      <c r="F28" s="34"/>
      <c r="G28" s="69">
        <f>SUM(D28:F28)</f>
        <v>0</v>
      </c>
      <c r="H28" s="38"/>
      <c r="I28" s="38"/>
      <c r="J28" s="38"/>
      <c r="K28" s="38"/>
      <c r="L28" s="38"/>
      <c r="M28" s="38"/>
      <c r="N28" s="38"/>
      <c r="O28" s="38"/>
      <c r="P28" s="38"/>
      <c r="Q28" s="8"/>
    </row>
    <row r="29" spans="1:25">
      <c r="A29" s="2558"/>
      <c r="B29" s="1988"/>
      <c r="C29" s="70">
        <v>2015</v>
      </c>
      <c r="D29" s="51">
        <v>6056</v>
      </c>
      <c r="E29" s="42">
        <v>49</v>
      </c>
      <c r="F29" s="42">
        <v>25</v>
      </c>
      <c r="G29" s="69">
        <f t="shared" ref="G29:G35" si="2">SUM(D29:F29)</f>
        <v>6130</v>
      </c>
      <c r="H29" s="38"/>
      <c r="I29" s="38"/>
      <c r="J29" s="38"/>
      <c r="K29" s="38"/>
      <c r="L29" s="38"/>
      <c r="M29" s="38"/>
      <c r="N29" s="38"/>
      <c r="O29" s="38"/>
      <c r="P29" s="38"/>
      <c r="Q29" s="8"/>
    </row>
    <row r="30" spans="1:25">
      <c r="A30" s="2558"/>
      <c r="B30" s="1988"/>
      <c r="C30" s="70">
        <v>2016</v>
      </c>
      <c r="D30" s="1378">
        <v>13899</v>
      </c>
      <c r="E30" s="342">
        <v>49100</v>
      </c>
      <c r="F30" s="42"/>
      <c r="G30" s="69">
        <f t="shared" si="2"/>
        <v>62999</v>
      </c>
      <c r="H30" s="38"/>
      <c r="I30" s="38"/>
      <c r="J30" s="38"/>
      <c r="K30" s="38"/>
      <c r="L30" s="38"/>
      <c r="M30" s="38"/>
      <c r="N30" s="38"/>
      <c r="O30" s="38"/>
      <c r="P30" s="38"/>
      <c r="Q30" s="8"/>
    </row>
    <row r="31" spans="1:25">
      <c r="A31" s="2558"/>
      <c r="B31" s="1988"/>
      <c r="C31" s="70">
        <v>2017</v>
      </c>
      <c r="D31" s="51"/>
      <c r="E31" s="42"/>
      <c r="F31" s="42"/>
      <c r="G31" s="69">
        <f t="shared" si="2"/>
        <v>0</v>
      </c>
      <c r="H31" s="38"/>
      <c r="I31" s="38"/>
      <c r="J31" s="38"/>
      <c r="K31" s="38"/>
      <c r="L31" s="38"/>
      <c r="M31" s="38"/>
      <c r="N31" s="38"/>
      <c r="O31" s="38"/>
      <c r="P31" s="38"/>
      <c r="Q31" s="8"/>
    </row>
    <row r="32" spans="1:25">
      <c r="A32" s="2558"/>
      <c r="B32" s="1988"/>
      <c r="C32" s="70">
        <v>2018</v>
      </c>
      <c r="D32" s="51"/>
      <c r="E32" s="42"/>
      <c r="F32" s="42"/>
      <c r="G32" s="69">
        <f>SUM(D32:F32)</f>
        <v>0</v>
      </c>
      <c r="H32" s="38"/>
      <c r="I32" s="38"/>
      <c r="J32" s="38"/>
      <c r="K32" s="38"/>
      <c r="L32" s="38"/>
      <c r="M32" s="38"/>
      <c r="N32" s="38"/>
      <c r="O32" s="38"/>
      <c r="P32" s="38"/>
      <c r="Q32" s="8"/>
    </row>
    <row r="33" spans="1:17">
      <c r="A33" s="2558"/>
      <c r="B33" s="1988"/>
      <c r="C33" s="72">
        <v>2019</v>
      </c>
      <c r="D33" s="51"/>
      <c r="E33" s="42"/>
      <c r="F33" s="42"/>
      <c r="G33" s="69">
        <f t="shared" si="2"/>
        <v>0</v>
      </c>
      <c r="H33" s="38"/>
      <c r="I33" s="38"/>
      <c r="J33" s="38"/>
      <c r="K33" s="38"/>
      <c r="L33" s="38"/>
      <c r="M33" s="38"/>
      <c r="N33" s="38"/>
      <c r="O33" s="38"/>
      <c r="P33" s="38"/>
      <c r="Q33" s="8"/>
    </row>
    <row r="34" spans="1:17">
      <c r="A34" s="2558"/>
      <c r="B34" s="1988"/>
      <c r="C34" s="70">
        <v>2020</v>
      </c>
      <c r="D34" s="51"/>
      <c r="E34" s="42"/>
      <c r="F34" s="42"/>
      <c r="G34" s="69">
        <f t="shared" si="2"/>
        <v>0</v>
      </c>
      <c r="H34" s="38"/>
      <c r="I34" s="38"/>
      <c r="J34" s="38"/>
      <c r="K34" s="38"/>
      <c r="L34" s="38"/>
      <c r="M34" s="38"/>
      <c r="N34" s="38"/>
      <c r="O34" s="38"/>
      <c r="P34" s="38"/>
      <c r="Q34" s="8"/>
    </row>
    <row r="35" spans="1:17" ht="65.25" customHeight="1" thickBot="1">
      <c r="A35" s="1989"/>
      <c r="B35" s="1990"/>
      <c r="C35" s="73" t="s">
        <v>12</v>
      </c>
      <c r="D35" s="58">
        <f>SUM(D28:D34)</f>
        <v>19955</v>
      </c>
      <c r="E35" s="56">
        <f>SUM(E28:E34)</f>
        <v>49149</v>
      </c>
      <c r="F35" s="56">
        <f>SUM(F28:F34)</f>
        <v>25</v>
      </c>
      <c r="G35" s="60">
        <f t="shared" si="2"/>
        <v>69129</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576" t="s">
        <v>25</v>
      </c>
      <c r="B39" s="577" t="s">
        <v>7</v>
      </c>
      <c r="C39" s="80" t="s">
        <v>8</v>
      </c>
      <c r="D39" s="546" t="s">
        <v>26</v>
      </c>
      <c r="E39" s="352" t="s">
        <v>27</v>
      </c>
      <c r="F39" s="353"/>
      <c r="G39" s="30"/>
      <c r="H39" s="30"/>
    </row>
    <row r="40" spans="1:17">
      <c r="A40" s="2563"/>
      <c r="B40" s="1988"/>
      <c r="C40" s="84">
        <v>2014</v>
      </c>
      <c r="D40" s="33"/>
      <c r="E40" s="32"/>
      <c r="F40" s="8"/>
      <c r="G40" s="38"/>
      <c r="H40" s="38"/>
    </row>
    <row r="41" spans="1:17">
      <c r="A41" s="2558"/>
      <c r="B41" s="1988"/>
      <c r="C41" s="86">
        <v>2015</v>
      </c>
      <c r="D41" s="50">
        <v>9817</v>
      </c>
      <c r="E41" s="39">
        <v>3009</v>
      </c>
      <c r="F41" s="8"/>
      <c r="G41" s="38"/>
      <c r="H41" s="38"/>
    </row>
    <row r="42" spans="1:17">
      <c r="A42" s="2558"/>
      <c r="B42" s="1988"/>
      <c r="C42" s="86">
        <v>2016</v>
      </c>
      <c r="D42" s="50">
        <v>5877</v>
      </c>
      <c r="E42" s="39">
        <v>4084</v>
      </c>
      <c r="F42" s="8"/>
      <c r="G42" s="38"/>
      <c r="H42" s="38"/>
    </row>
    <row r="43" spans="1:17">
      <c r="A43" s="2558"/>
      <c r="B43" s="1988"/>
      <c r="C43" s="86">
        <v>2017</v>
      </c>
      <c r="D43" s="50"/>
      <c r="E43" s="39"/>
      <c r="F43" s="8"/>
      <c r="G43" s="38"/>
      <c r="H43" s="38"/>
    </row>
    <row r="44" spans="1:17">
      <c r="A44" s="2558"/>
      <c r="B44" s="1988"/>
      <c r="C44" s="86">
        <v>2018</v>
      </c>
      <c r="D44" s="50"/>
      <c r="E44" s="39"/>
      <c r="F44" s="8"/>
      <c r="G44" s="38"/>
      <c r="H44" s="38"/>
    </row>
    <row r="45" spans="1:17">
      <c r="A45" s="2558"/>
      <c r="B45" s="1988"/>
      <c r="C45" s="86">
        <v>2019</v>
      </c>
      <c r="D45" s="50"/>
      <c r="E45" s="39"/>
      <c r="F45" s="8"/>
      <c r="G45" s="38"/>
      <c r="H45" s="38"/>
    </row>
    <row r="46" spans="1:17">
      <c r="A46" s="2558"/>
      <c r="B46" s="1988"/>
      <c r="C46" s="86">
        <v>2020</v>
      </c>
      <c r="D46" s="50"/>
      <c r="E46" s="39"/>
      <c r="F46" s="8"/>
      <c r="G46" s="38"/>
      <c r="H46" s="38"/>
    </row>
    <row r="47" spans="1:17" ht="15.75" thickBot="1">
      <c r="A47" s="1989"/>
      <c r="B47" s="1990"/>
      <c r="C47" s="54" t="s">
        <v>12</v>
      </c>
      <c r="D47" s="55">
        <f>SUM(D40:D46)</f>
        <v>15694</v>
      </c>
      <c r="E47" s="419">
        <f>SUM(E40:E46)</f>
        <v>7093</v>
      </c>
      <c r="F47" s="121"/>
      <c r="G47" s="38"/>
      <c r="H47" s="38"/>
    </row>
    <row r="48" spans="1:17" s="38" customFormat="1" ht="15.75" thickBot="1">
      <c r="A48" s="549"/>
      <c r="B48" s="92"/>
      <c r="C48" s="93"/>
    </row>
    <row r="49" spans="1:15" ht="83.25" customHeight="1">
      <c r="A49" s="550" t="s">
        <v>29</v>
      </c>
      <c r="B49" s="577" t="s">
        <v>7</v>
      </c>
      <c r="C49" s="95" t="s">
        <v>8</v>
      </c>
      <c r="D49" s="546" t="s">
        <v>30</v>
      </c>
      <c r="E49" s="96" t="s">
        <v>31</v>
      </c>
      <c r="F49" s="96" t="s">
        <v>32</v>
      </c>
      <c r="G49" s="96" t="s">
        <v>33</v>
      </c>
      <c r="H49" s="96" t="s">
        <v>34</v>
      </c>
      <c r="I49" s="96" t="s">
        <v>35</v>
      </c>
      <c r="J49" s="96" t="s">
        <v>36</v>
      </c>
      <c r="K49" s="97" t="s">
        <v>37</v>
      </c>
    </row>
    <row r="50" spans="1:15" ht="17.25" customHeight="1">
      <c r="A50" s="2005"/>
      <c r="B50" s="2012"/>
      <c r="C50" s="98" t="s">
        <v>38</v>
      </c>
      <c r="D50" s="33"/>
      <c r="E50" s="34"/>
      <c r="F50" s="34"/>
      <c r="G50" s="34"/>
      <c r="H50" s="34"/>
      <c r="I50" s="34"/>
      <c r="J50" s="34"/>
      <c r="K50" s="37"/>
    </row>
    <row r="51" spans="1:15" ht="15" customHeight="1">
      <c r="A51" s="2563"/>
      <c r="B51" s="2014"/>
      <c r="C51" s="86">
        <v>2014</v>
      </c>
      <c r="D51" s="50"/>
      <c r="E51" s="42"/>
      <c r="F51" s="42"/>
      <c r="G51" s="42"/>
      <c r="H51" s="42"/>
      <c r="I51" s="42"/>
      <c r="J51" s="42"/>
      <c r="K51" s="99"/>
    </row>
    <row r="52" spans="1:15">
      <c r="A52" s="2563"/>
      <c r="B52" s="2014"/>
      <c r="C52" s="86">
        <v>2015</v>
      </c>
      <c r="D52" s="50"/>
      <c r="E52" s="42"/>
      <c r="F52" s="42"/>
      <c r="G52" s="42"/>
      <c r="H52" s="42"/>
      <c r="I52" s="42"/>
      <c r="J52" s="42"/>
      <c r="K52" s="99"/>
    </row>
    <row r="53" spans="1:15">
      <c r="A53" s="2563"/>
      <c r="B53" s="2014"/>
      <c r="C53" s="86">
        <v>2016</v>
      </c>
      <c r="D53" s="50"/>
      <c r="E53" s="42"/>
      <c r="F53" s="42"/>
      <c r="G53" s="42"/>
      <c r="H53" s="42"/>
      <c r="I53" s="42"/>
      <c r="J53" s="42"/>
      <c r="K53" s="99"/>
    </row>
    <row r="54" spans="1:15">
      <c r="A54" s="2563"/>
      <c r="B54" s="2014"/>
      <c r="C54" s="86">
        <v>2017</v>
      </c>
      <c r="D54" s="50"/>
      <c r="E54" s="42"/>
      <c r="F54" s="42"/>
      <c r="G54" s="42"/>
      <c r="H54" s="42"/>
      <c r="I54" s="42"/>
      <c r="J54" s="42"/>
      <c r="K54" s="99"/>
    </row>
    <row r="55" spans="1:15">
      <c r="A55" s="2563"/>
      <c r="B55" s="2014"/>
      <c r="C55" s="86">
        <v>2018</v>
      </c>
      <c r="D55" s="50"/>
      <c r="E55" s="42"/>
      <c r="F55" s="42"/>
      <c r="G55" s="42"/>
      <c r="H55" s="42"/>
      <c r="I55" s="42"/>
      <c r="J55" s="42"/>
      <c r="K55" s="99"/>
    </row>
    <row r="56" spans="1:15">
      <c r="A56" s="2563"/>
      <c r="B56" s="2014"/>
      <c r="C56" s="86">
        <v>2019</v>
      </c>
      <c r="D56" s="50"/>
      <c r="E56" s="42"/>
      <c r="F56" s="42"/>
      <c r="G56" s="42"/>
      <c r="H56" s="42"/>
      <c r="I56" s="42"/>
      <c r="J56" s="42"/>
      <c r="K56" s="99"/>
    </row>
    <row r="57" spans="1:15">
      <c r="A57" s="2563"/>
      <c r="B57" s="2014"/>
      <c r="C57" s="86">
        <v>2020</v>
      </c>
      <c r="D57" s="50"/>
      <c r="E57" s="42"/>
      <c r="F57" s="42"/>
      <c r="G57" s="42"/>
      <c r="H57" s="42"/>
      <c r="I57" s="42"/>
      <c r="J57" s="42"/>
      <c r="K57" s="100"/>
    </row>
    <row r="58" spans="1:15" ht="20.25" customHeight="1" thickBot="1">
      <c r="A58" s="2009"/>
      <c r="B58" s="2016"/>
      <c r="C58" s="54" t="s">
        <v>12</v>
      </c>
      <c r="D58" s="55">
        <f>SUM(D51:D57)</f>
        <v>0</v>
      </c>
      <c r="E58" s="56">
        <f>SUM(E51:E57)</f>
        <v>0</v>
      </c>
      <c r="F58" s="56">
        <f>SUM(F51:F57)</f>
        <v>0</v>
      </c>
      <c r="G58" s="56">
        <f>SUM(G51:G57)</f>
        <v>0</v>
      </c>
      <c r="H58" s="56">
        <f>SUM(H51:H57)</f>
        <v>0</v>
      </c>
      <c r="I58" s="56">
        <f t="shared" ref="I58" si="3">SUM(I51:I57)</f>
        <v>0</v>
      </c>
      <c r="J58" s="56">
        <f>SUM(J51:J57)</f>
        <v>0</v>
      </c>
      <c r="K58" s="60">
        <f>SUM(K50:K56)</f>
        <v>0</v>
      </c>
    </row>
    <row r="59" spans="1:15" ht="15.75" thickBot="1"/>
    <row r="60" spans="1:15" ht="21" customHeight="1">
      <c r="A60" s="2268" t="s">
        <v>39</v>
      </c>
      <c r="B60" s="580"/>
      <c r="C60" s="2269" t="s">
        <v>8</v>
      </c>
      <c r="D60" s="2197" t="s">
        <v>40</v>
      </c>
      <c r="E60" s="102" t="s">
        <v>5</v>
      </c>
      <c r="F60" s="484"/>
      <c r="G60" s="484"/>
      <c r="H60" s="484"/>
      <c r="I60" s="484"/>
      <c r="J60" s="484"/>
      <c r="K60" s="484"/>
      <c r="L60" s="485"/>
    </row>
    <row r="61" spans="1:15" ht="115.5" customHeight="1">
      <c r="A61" s="2100"/>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560" t="s">
        <v>352</v>
      </c>
      <c r="B62" s="2025"/>
      <c r="C62" s="112">
        <v>2014</v>
      </c>
      <c r="D62" s="113"/>
      <c r="E62" s="114"/>
      <c r="F62" s="115"/>
      <c r="G62" s="115"/>
      <c r="H62" s="115"/>
      <c r="I62" s="115"/>
      <c r="J62" s="115"/>
      <c r="K62" s="115"/>
      <c r="L62" s="37"/>
      <c r="M62" s="8"/>
      <c r="N62" s="8"/>
      <c r="O62" s="8"/>
    </row>
    <row r="63" spans="1:15">
      <c r="A63" s="2561"/>
      <c r="B63" s="2025"/>
      <c r="C63" s="116">
        <v>2015</v>
      </c>
      <c r="D63" s="117">
        <v>2</v>
      </c>
      <c r="E63" s="118"/>
      <c r="F63" s="42"/>
      <c r="G63" s="42"/>
      <c r="H63" s="42"/>
      <c r="I63" s="42">
        <v>1</v>
      </c>
      <c r="J63" s="42"/>
      <c r="K63" s="42"/>
      <c r="L63" s="99">
        <v>1</v>
      </c>
      <c r="M63" s="8"/>
      <c r="N63" s="8"/>
      <c r="O63" s="8"/>
    </row>
    <row r="64" spans="1:15">
      <c r="A64" s="2561"/>
      <c r="B64" s="2025"/>
      <c r="C64" s="116">
        <v>2016</v>
      </c>
      <c r="D64" s="117">
        <v>4</v>
      </c>
      <c r="E64" s="118"/>
      <c r="F64" s="42">
        <v>1</v>
      </c>
      <c r="G64" s="42"/>
      <c r="H64" s="42">
        <v>1</v>
      </c>
      <c r="I64" s="42"/>
      <c r="J64" s="42"/>
      <c r="K64" s="42"/>
      <c r="L64" s="99">
        <v>2</v>
      </c>
      <c r="M64" s="8"/>
      <c r="N64" s="8"/>
      <c r="O64" s="8"/>
    </row>
    <row r="65" spans="1:20">
      <c r="A65" s="2561"/>
      <c r="B65" s="2025"/>
      <c r="C65" s="116">
        <v>2017</v>
      </c>
      <c r="D65" s="117"/>
      <c r="E65" s="118"/>
      <c r="F65" s="42"/>
      <c r="G65" s="42"/>
      <c r="H65" s="42"/>
      <c r="I65" s="42"/>
      <c r="J65" s="42"/>
      <c r="K65" s="42"/>
      <c r="L65" s="99"/>
      <c r="M65" s="8"/>
      <c r="N65" s="8"/>
      <c r="O65" s="8"/>
    </row>
    <row r="66" spans="1:20">
      <c r="A66" s="2561"/>
      <c r="B66" s="2025"/>
      <c r="C66" s="116">
        <v>2018</v>
      </c>
      <c r="D66" s="117"/>
      <c r="E66" s="118"/>
      <c r="F66" s="42"/>
      <c r="G66" s="42"/>
      <c r="H66" s="42"/>
      <c r="I66" s="42"/>
      <c r="J66" s="42"/>
      <c r="K66" s="42"/>
      <c r="L66" s="99"/>
      <c r="M66" s="8"/>
      <c r="N66" s="8"/>
      <c r="O66" s="8"/>
    </row>
    <row r="67" spans="1:20" ht="17.25" customHeight="1">
      <c r="A67" s="2561"/>
      <c r="B67" s="2025"/>
      <c r="C67" s="116">
        <v>2019</v>
      </c>
      <c r="D67" s="117"/>
      <c r="E67" s="118"/>
      <c r="F67" s="42"/>
      <c r="G67" s="42"/>
      <c r="H67" s="42"/>
      <c r="I67" s="42"/>
      <c r="J67" s="42"/>
      <c r="K67" s="42"/>
      <c r="L67" s="99"/>
      <c r="M67" s="8"/>
      <c r="N67" s="8"/>
      <c r="O67" s="8"/>
    </row>
    <row r="68" spans="1:20" ht="16.5" customHeight="1">
      <c r="A68" s="2561"/>
      <c r="B68" s="2025"/>
      <c r="C68" s="116">
        <v>2020</v>
      </c>
      <c r="D68" s="117"/>
      <c r="E68" s="118"/>
      <c r="F68" s="42"/>
      <c r="G68" s="42"/>
      <c r="H68" s="42"/>
      <c r="I68" s="42"/>
      <c r="J68" s="42"/>
      <c r="K68" s="42"/>
      <c r="L68" s="99"/>
      <c r="M68" s="121"/>
      <c r="N68" s="121"/>
      <c r="O68" s="121"/>
    </row>
    <row r="69" spans="1:20" ht="18" customHeight="1" thickBot="1">
      <c r="A69" s="2134"/>
      <c r="B69" s="2027"/>
      <c r="C69" s="122" t="s">
        <v>12</v>
      </c>
      <c r="D69" s="123">
        <f>SUM(D62:D68)</f>
        <v>6</v>
      </c>
      <c r="E69" s="124">
        <f>SUM(E62:E68)</f>
        <v>0</v>
      </c>
      <c r="F69" s="125">
        <f t="shared" ref="F69:I69" si="4">SUM(F62:F68)</f>
        <v>1</v>
      </c>
      <c r="G69" s="125">
        <f t="shared" si="4"/>
        <v>0</v>
      </c>
      <c r="H69" s="125">
        <f t="shared" si="4"/>
        <v>1</v>
      </c>
      <c r="I69" s="125">
        <f t="shared" si="4"/>
        <v>1</v>
      </c>
      <c r="J69" s="125"/>
      <c r="K69" s="125">
        <f>SUM(K62:K68)</f>
        <v>0</v>
      </c>
      <c r="L69" s="126">
        <f>SUM(L62:L68)</f>
        <v>3</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576" t="s">
        <v>42</v>
      </c>
      <c r="B71" s="577" t="s">
        <v>7</v>
      </c>
      <c r="C71" s="80" t="s">
        <v>8</v>
      </c>
      <c r="D71" s="132" t="s">
        <v>43</v>
      </c>
      <c r="E71" s="132" t="s">
        <v>44</v>
      </c>
      <c r="F71" s="133" t="s">
        <v>45</v>
      </c>
      <c r="G71" s="488" t="s">
        <v>46</v>
      </c>
      <c r="H71" s="135" t="s">
        <v>13</v>
      </c>
      <c r="I71" s="136" t="s">
        <v>14</v>
      </c>
      <c r="J71" s="137" t="s">
        <v>15</v>
      </c>
      <c r="K71" s="136" t="s">
        <v>16</v>
      </c>
      <c r="L71" s="136" t="s">
        <v>17</v>
      </c>
      <c r="M71" s="138" t="s">
        <v>18</v>
      </c>
      <c r="N71" s="137" t="s">
        <v>19</v>
      </c>
      <c r="O71" s="139" t="s">
        <v>20</v>
      </c>
    </row>
    <row r="72" spans="1:20" ht="15" customHeight="1">
      <c r="A72" s="2563" t="s">
        <v>353</v>
      </c>
      <c r="B72" s="2025"/>
      <c r="C72" s="84">
        <v>2014</v>
      </c>
      <c r="D72" s="140"/>
      <c r="E72" s="140"/>
      <c r="F72" s="140"/>
      <c r="G72" s="141">
        <f>SUM(D72:F72)</f>
        <v>0</v>
      </c>
      <c r="H72" s="33"/>
      <c r="I72" s="142"/>
      <c r="J72" s="115"/>
      <c r="K72" s="115"/>
      <c r="L72" s="115"/>
      <c r="M72" s="115"/>
      <c r="N72" s="115"/>
      <c r="O72" s="143"/>
    </row>
    <row r="73" spans="1:20">
      <c r="A73" s="2558"/>
      <c r="B73" s="2025"/>
      <c r="C73" s="86">
        <v>2015</v>
      </c>
      <c r="D73" s="147"/>
      <c r="E73" s="147">
        <v>1</v>
      </c>
      <c r="F73" s="147">
        <v>79</v>
      </c>
      <c r="G73" s="141">
        <f t="shared" ref="G73:G78" si="5">SUM(D73:F73)</f>
        <v>80</v>
      </c>
      <c r="H73" s="50"/>
      <c r="I73" s="50">
        <v>1</v>
      </c>
      <c r="J73" s="42"/>
      <c r="K73" s="42"/>
      <c r="L73" s="42"/>
      <c r="M73" s="42"/>
      <c r="N73" s="42"/>
      <c r="O73" s="99">
        <v>79</v>
      </c>
    </row>
    <row r="74" spans="1:20">
      <c r="A74" s="2558"/>
      <c r="B74" s="2025"/>
      <c r="C74" s="86">
        <v>2016</v>
      </c>
      <c r="D74" s="147">
        <v>5</v>
      </c>
      <c r="E74" s="147">
        <v>6</v>
      </c>
      <c r="F74" s="147">
        <v>12</v>
      </c>
      <c r="G74" s="141">
        <f t="shared" si="5"/>
        <v>23</v>
      </c>
      <c r="H74" s="50"/>
      <c r="I74" s="50">
        <v>2</v>
      </c>
      <c r="J74" s="42">
        <v>2</v>
      </c>
      <c r="K74" s="42">
        <v>4</v>
      </c>
      <c r="L74" s="42"/>
      <c r="M74" s="42"/>
      <c r="N74" s="42"/>
      <c r="O74" s="99">
        <v>15</v>
      </c>
    </row>
    <row r="75" spans="1:20">
      <c r="A75" s="2558"/>
      <c r="B75" s="2025"/>
      <c r="C75" s="86">
        <v>2017</v>
      </c>
      <c r="D75" s="147"/>
      <c r="E75" s="147"/>
      <c r="F75" s="147"/>
      <c r="G75" s="141">
        <f t="shared" si="5"/>
        <v>0</v>
      </c>
      <c r="H75" s="50"/>
      <c r="I75" s="50"/>
      <c r="J75" s="42"/>
      <c r="K75" s="42"/>
      <c r="L75" s="42"/>
      <c r="M75" s="42"/>
      <c r="N75" s="42"/>
      <c r="O75" s="99"/>
    </row>
    <row r="76" spans="1:20">
      <c r="A76" s="2558"/>
      <c r="B76" s="2025"/>
      <c r="C76" s="86">
        <v>2018</v>
      </c>
      <c r="D76" s="147"/>
      <c r="E76" s="147"/>
      <c r="F76" s="147"/>
      <c r="G76" s="141">
        <f t="shared" si="5"/>
        <v>0</v>
      </c>
      <c r="H76" s="50"/>
      <c r="I76" s="50"/>
      <c r="J76" s="42"/>
      <c r="K76" s="42"/>
      <c r="L76" s="42"/>
      <c r="M76" s="42"/>
      <c r="N76" s="42"/>
      <c r="O76" s="99"/>
    </row>
    <row r="77" spans="1:20" ht="15.75" customHeight="1">
      <c r="A77" s="2558"/>
      <c r="B77" s="2025"/>
      <c r="C77" s="86">
        <v>2019</v>
      </c>
      <c r="D77" s="147"/>
      <c r="E77" s="147"/>
      <c r="F77" s="147"/>
      <c r="G77" s="141">
        <f t="shared" si="5"/>
        <v>0</v>
      </c>
      <c r="H77" s="50"/>
      <c r="I77" s="50"/>
      <c r="J77" s="42"/>
      <c r="K77" s="42"/>
      <c r="L77" s="42"/>
      <c r="M77" s="42"/>
      <c r="N77" s="42"/>
      <c r="O77" s="99"/>
    </row>
    <row r="78" spans="1:20" ht="17.25" customHeight="1">
      <c r="A78" s="2558"/>
      <c r="B78" s="2025"/>
      <c r="C78" s="86">
        <v>2020</v>
      </c>
      <c r="D78" s="147"/>
      <c r="E78" s="147"/>
      <c r="F78" s="147"/>
      <c r="G78" s="141">
        <f t="shared" si="5"/>
        <v>0</v>
      </c>
      <c r="H78" s="50"/>
      <c r="I78" s="50"/>
      <c r="J78" s="42"/>
      <c r="K78" s="42"/>
      <c r="L78" s="42"/>
      <c r="M78" s="42"/>
      <c r="N78" s="42"/>
      <c r="O78" s="99"/>
    </row>
    <row r="79" spans="1:20" ht="20.25" customHeight="1" thickBot="1">
      <c r="A79" s="2134"/>
      <c r="B79" s="2027"/>
      <c r="C79" s="148" t="s">
        <v>12</v>
      </c>
      <c r="D79" s="123">
        <f>SUM(D72:D78)</f>
        <v>5</v>
      </c>
      <c r="E79" s="123">
        <f>SUM(E72:E78)</f>
        <v>7</v>
      </c>
      <c r="F79" s="123">
        <f>SUM(F72:F78)</f>
        <v>91</v>
      </c>
      <c r="G79" s="149">
        <f>SUM(G72:G78)</f>
        <v>103</v>
      </c>
      <c r="H79" s="150">
        <v>0</v>
      </c>
      <c r="I79" s="151">
        <f t="shared" ref="I79:O79" si="6">SUM(I72:I78)</f>
        <v>3</v>
      </c>
      <c r="J79" s="125">
        <f t="shared" si="6"/>
        <v>2</v>
      </c>
      <c r="K79" s="125">
        <f t="shared" si="6"/>
        <v>4</v>
      </c>
      <c r="L79" s="125">
        <f t="shared" si="6"/>
        <v>0</v>
      </c>
      <c r="M79" s="125">
        <f t="shared" si="6"/>
        <v>0</v>
      </c>
      <c r="N79" s="125">
        <f t="shared" si="6"/>
        <v>0</v>
      </c>
      <c r="O79" s="126">
        <f t="shared" si="6"/>
        <v>94</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583" t="s">
        <v>49</v>
      </c>
      <c r="B84" s="584" t="s">
        <v>50</v>
      </c>
      <c r="C84" s="161" t="s">
        <v>8</v>
      </c>
      <c r="D84" s="491" t="s">
        <v>51</v>
      </c>
      <c r="E84" s="163" t="s">
        <v>52</v>
      </c>
      <c r="F84" s="164" t="s">
        <v>53</v>
      </c>
      <c r="G84" s="164" t="s">
        <v>54</v>
      </c>
      <c r="H84" s="164" t="s">
        <v>55</v>
      </c>
      <c r="I84" s="164" t="s">
        <v>56</v>
      </c>
      <c r="J84" s="164" t="s">
        <v>57</v>
      </c>
      <c r="K84" s="165" t="s">
        <v>58</v>
      </c>
    </row>
    <row r="85" spans="1:16" ht="15" customHeight="1">
      <c r="A85" s="2564"/>
      <c r="B85" s="2025"/>
      <c r="C85" s="84">
        <v>2014</v>
      </c>
      <c r="D85" s="166"/>
      <c r="E85" s="167"/>
      <c r="F85" s="34"/>
      <c r="G85" s="34"/>
      <c r="H85" s="34"/>
      <c r="I85" s="34"/>
      <c r="J85" s="34"/>
      <c r="K85" s="37"/>
    </row>
    <row r="86" spans="1:16">
      <c r="A86" s="2565"/>
      <c r="B86" s="2025"/>
      <c r="C86" s="86">
        <v>2015</v>
      </c>
      <c r="D86" s="168"/>
      <c r="E86" s="118"/>
      <c r="F86" s="42"/>
      <c r="G86" s="42"/>
      <c r="H86" s="42"/>
      <c r="I86" s="42"/>
      <c r="J86" s="42"/>
      <c r="K86" s="99"/>
    </row>
    <row r="87" spans="1:16">
      <c r="A87" s="2565"/>
      <c r="B87" s="2025"/>
      <c r="C87" s="86">
        <v>2016</v>
      </c>
      <c r="D87" s="168"/>
      <c r="E87" s="118"/>
      <c r="F87" s="42"/>
      <c r="G87" s="42"/>
      <c r="H87" s="42"/>
      <c r="I87" s="42"/>
      <c r="J87" s="42"/>
      <c r="K87" s="99"/>
    </row>
    <row r="88" spans="1:16">
      <c r="A88" s="2565"/>
      <c r="B88" s="2025"/>
      <c r="C88" s="86">
        <v>2017</v>
      </c>
      <c r="D88" s="168"/>
      <c r="E88" s="118"/>
      <c r="F88" s="42"/>
      <c r="G88" s="42"/>
      <c r="H88" s="42"/>
      <c r="I88" s="42"/>
      <c r="J88" s="42"/>
      <c r="K88" s="99"/>
    </row>
    <row r="89" spans="1:16">
      <c r="A89" s="2565"/>
      <c r="B89" s="2025"/>
      <c r="C89" s="86">
        <v>2018</v>
      </c>
      <c r="D89" s="168"/>
      <c r="E89" s="118"/>
      <c r="F89" s="42"/>
      <c r="G89" s="42"/>
      <c r="H89" s="42"/>
      <c r="I89" s="42"/>
      <c r="J89" s="42"/>
      <c r="K89" s="99"/>
    </row>
    <row r="90" spans="1:16">
      <c r="A90" s="2565"/>
      <c r="B90" s="2025"/>
      <c r="C90" s="86">
        <v>2019</v>
      </c>
      <c r="D90" s="168"/>
      <c r="E90" s="118"/>
      <c r="F90" s="42"/>
      <c r="G90" s="42"/>
      <c r="H90" s="42"/>
      <c r="I90" s="42"/>
      <c r="J90" s="42"/>
      <c r="K90" s="99"/>
    </row>
    <row r="91" spans="1:16">
      <c r="A91" s="2565"/>
      <c r="B91" s="2025"/>
      <c r="C91" s="86">
        <v>2020</v>
      </c>
      <c r="D91" s="168"/>
      <c r="E91" s="118"/>
      <c r="F91" s="42"/>
      <c r="G91" s="42"/>
      <c r="H91" s="42"/>
      <c r="I91" s="42"/>
      <c r="J91" s="42"/>
      <c r="K91" s="99"/>
    </row>
    <row r="92" spans="1:16" ht="18" customHeight="1" thickBot="1">
      <c r="A92" s="2073"/>
      <c r="B92" s="2027"/>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270" t="s">
        <v>60</v>
      </c>
      <c r="B96" s="2271" t="s">
        <v>61</v>
      </c>
      <c r="C96" s="2272" t="s">
        <v>8</v>
      </c>
      <c r="D96" s="2207" t="s">
        <v>62</v>
      </c>
      <c r="E96" s="2208"/>
      <c r="F96" s="174" t="s">
        <v>63</v>
      </c>
      <c r="G96" s="493"/>
      <c r="H96" s="493"/>
      <c r="I96" s="493"/>
      <c r="J96" s="493"/>
      <c r="K96" s="493"/>
      <c r="L96" s="493"/>
      <c r="M96" s="494"/>
      <c r="N96" s="177"/>
      <c r="O96" s="177"/>
      <c r="P96" s="177"/>
    </row>
    <row r="97" spans="1:16" ht="100.5" customHeight="1">
      <c r="A97" s="2041"/>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560" t="s">
        <v>354</v>
      </c>
      <c r="B98" s="2025"/>
      <c r="C98" s="112">
        <v>2014</v>
      </c>
      <c r="D98" s="33"/>
      <c r="E98" s="34"/>
      <c r="F98" s="186"/>
      <c r="G98" s="187"/>
      <c r="H98" s="187"/>
      <c r="I98" s="187"/>
      <c r="J98" s="187"/>
      <c r="K98" s="187"/>
      <c r="L98" s="187"/>
      <c r="M98" s="188"/>
      <c r="N98" s="177"/>
      <c r="O98" s="177"/>
      <c r="P98" s="177"/>
    </row>
    <row r="99" spans="1:16" ht="16.5" customHeight="1">
      <c r="A99" s="2561"/>
      <c r="B99" s="2025"/>
      <c r="C99" s="116">
        <v>2015</v>
      </c>
      <c r="D99" s="50">
        <v>1</v>
      </c>
      <c r="E99" s="42">
        <v>1</v>
      </c>
      <c r="F99" s="189"/>
      <c r="G99" s="190"/>
      <c r="H99" s="190"/>
      <c r="I99" s="190"/>
      <c r="J99" s="190"/>
      <c r="K99" s="190"/>
      <c r="L99" s="190"/>
      <c r="M99" s="193">
        <v>1</v>
      </c>
      <c r="N99" s="177"/>
      <c r="O99" s="177"/>
      <c r="P99" s="177"/>
    </row>
    <row r="100" spans="1:16" ht="16.5" customHeight="1">
      <c r="A100" s="2561"/>
      <c r="B100" s="2025"/>
      <c r="C100" s="116">
        <v>2016</v>
      </c>
      <c r="D100" s="50">
        <v>1</v>
      </c>
      <c r="E100" s="42">
        <v>7</v>
      </c>
      <c r="F100" s="189"/>
      <c r="G100" s="190"/>
      <c r="H100" s="190"/>
      <c r="I100" s="190"/>
      <c r="J100" s="190"/>
      <c r="K100" s="190"/>
      <c r="L100" s="190"/>
      <c r="M100" s="193">
        <v>1</v>
      </c>
      <c r="N100" s="177"/>
      <c r="O100" s="177"/>
      <c r="P100" s="177"/>
    </row>
    <row r="101" spans="1:16" ht="16.5" customHeight="1">
      <c r="A101" s="2561"/>
      <c r="B101" s="2025"/>
      <c r="C101" s="116">
        <v>2017</v>
      </c>
      <c r="D101" s="50"/>
      <c r="E101" s="42"/>
      <c r="F101" s="189"/>
      <c r="G101" s="190"/>
      <c r="H101" s="190"/>
      <c r="I101" s="190"/>
      <c r="J101" s="190"/>
      <c r="K101" s="190"/>
      <c r="L101" s="190"/>
      <c r="M101" s="193"/>
      <c r="N101" s="177"/>
      <c r="O101" s="177"/>
      <c r="P101" s="177"/>
    </row>
    <row r="102" spans="1:16" ht="15.75" customHeight="1">
      <c r="A102" s="2561"/>
      <c r="B102" s="2025"/>
      <c r="C102" s="116">
        <v>2018</v>
      </c>
      <c r="D102" s="50"/>
      <c r="E102" s="42"/>
      <c r="F102" s="189"/>
      <c r="G102" s="190"/>
      <c r="H102" s="190"/>
      <c r="I102" s="190"/>
      <c r="J102" s="190"/>
      <c r="K102" s="190"/>
      <c r="L102" s="190"/>
      <c r="M102" s="193"/>
      <c r="N102" s="177"/>
      <c r="O102" s="177"/>
      <c r="P102" s="177"/>
    </row>
    <row r="103" spans="1:16" ht="14.25" customHeight="1">
      <c r="A103" s="2561"/>
      <c r="B103" s="2025"/>
      <c r="C103" s="116">
        <v>2019</v>
      </c>
      <c r="D103" s="50"/>
      <c r="E103" s="42"/>
      <c r="F103" s="189"/>
      <c r="G103" s="190"/>
      <c r="H103" s="190"/>
      <c r="I103" s="190"/>
      <c r="J103" s="190"/>
      <c r="K103" s="190"/>
      <c r="L103" s="190"/>
      <c r="M103" s="193"/>
      <c r="N103" s="177"/>
      <c r="O103" s="177"/>
      <c r="P103" s="177"/>
    </row>
    <row r="104" spans="1:16" ht="14.25" customHeight="1">
      <c r="A104" s="2561"/>
      <c r="B104" s="2025"/>
      <c r="C104" s="116">
        <v>2020</v>
      </c>
      <c r="D104" s="50"/>
      <c r="E104" s="42"/>
      <c r="F104" s="189"/>
      <c r="G104" s="190"/>
      <c r="H104" s="190"/>
      <c r="I104" s="190"/>
      <c r="J104" s="190"/>
      <c r="K104" s="190"/>
      <c r="L104" s="190"/>
      <c r="M104" s="193"/>
      <c r="N104" s="177"/>
      <c r="O104" s="177"/>
      <c r="P104" s="177"/>
    </row>
    <row r="105" spans="1:16" ht="19.5" customHeight="1" thickBot="1">
      <c r="A105" s="2046"/>
      <c r="B105" s="2027"/>
      <c r="C105" s="122" t="s">
        <v>12</v>
      </c>
      <c r="D105" s="151">
        <f>SUM(D98:D104)</f>
        <v>2</v>
      </c>
      <c r="E105" s="125">
        <f t="shared" ref="E105:K105" si="8">SUM(E98:E104)</f>
        <v>8</v>
      </c>
      <c r="F105" s="194">
        <f t="shared" si="8"/>
        <v>0</v>
      </c>
      <c r="G105" s="195">
        <f t="shared" si="8"/>
        <v>0</v>
      </c>
      <c r="H105" s="195">
        <f t="shared" si="8"/>
        <v>0</v>
      </c>
      <c r="I105" s="195">
        <f>SUM(I98:I104)</f>
        <v>0</v>
      </c>
      <c r="J105" s="195">
        <f t="shared" si="8"/>
        <v>0</v>
      </c>
      <c r="K105" s="195">
        <f t="shared" si="8"/>
        <v>0</v>
      </c>
      <c r="L105" s="195">
        <f>SUM(L98:L104)</f>
        <v>0</v>
      </c>
      <c r="M105" s="196">
        <f>SUM(M98:M104)</f>
        <v>2</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270" t="s">
        <v>69</v>
      </c>
      <c r="B107" s="2271" t="s">
        <v>61</v>
      </c>
      <c r="C107" s="2272" t="s">
        <v>8</v>
      </c>
      <c r="D107" s="2210" t="s">
        <v>70</v>
      </c>
      <c r="E107" s="174" t="s">
        <v>71</v>
      </c>
      <c r="F107" s="493"/>
      <c r="G107" s="493"/>
      <c r="H107" s="493"/>
      <c r="I107" s="493"/>
      <c r="J107" s="493"/>
      <c r="K107" s="493"/>
      <c r="L107" s="494"/>
      <c r="M107" s="199"/>
      <c r="N107" s="199"/>
    </row>
    <row r="108" spans="1:16" ht="103.5" customHeight="1">
      <c r="A108" s="2041"/>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560"/>
      <c r="B109" s="2025"/>
      <c r="C109" s="112">
        <v>2014</v>
      </c>
      <c r="D109" s="34"/>
      <c r="E109" s="186"/>
      <c r="F109" s="187"/>
      <c r="G109" s="187"/>
      <c r="H109" s="187"/>
      <c r="I109" s="187"/>
      <c r="J109" s="187"/>
      <c r="K109" s="187"/>
      <c r="L109" s="188"/>
      <c r="M109" s="199"/>
      <c r="N109" s="199"/>
    </row>
    <row r="110" spans="1:16">
      <c r="A110" s="2561"/>
      <c r="B110" s="2025"/>
      <c r="C110" s="116">
        <v>2015</v>
      </c>
      <c r="D110" s="42"/>
      <c r="E110" s="189"/>
      <c r="F110" s="190"/>
      <c r="G110" s="190"/>
      <c r="H110" s="190"/>
      <c r="I110" s="190"/>
      <c r="J110" s="190"/>
      <c r="K110" s="190"/>
      <c r="L110" s="193"/>
      <c r="M110" s="199"/>
      <c r="N110" s="199"/>
    </row>
    <row r="111" spans="1:16">
      <c r="A111" s="2561"/>
      <c r="B111" s="2025"/>
      <c r="C111" s="116">
        <v>2016</v>
      </c>
      <c r="D111" s="42"/>
      <c r="E111" s="189"/>
      <c r="F111" s="190"/>
      <c r="G111" s="190"/>
      <c r="H111" s="190"/>
      <c r="I111" s="190"/>
      <c r="J111" s="190"/>
      <c r="K111" s="190"/>
      <c r="L111" s="193"/>
      <c r="M111" s="199"/>
      <c r="N111" s="199"/>
    </row>
    <row r="112" spans="1:16">
      <c r="A112" s="2561"/>
      <c r="B112" s="2025"/>
      <c r="C112" s="116">
        <v>2017</v>
      </c>
      <c r="D112" s="42"/>
      <c r="E112" s="189"/>
      <c r="F112" s="190"/>
      <c r="G112" s="190"/>
      <c r="H112" s="190"/>
      <c r="I112" s="190"/>
      <c r="J112" s="190"/>
      <c r="K112" s="190"/>
      <c r="L112" s="193"/>
      <c r="M112" s="199"/>
      <c r="N112" s="199"/>
    </row>
    <row r="113" spans="1:14">
      <c r="A113" s="2561"/>
      <c r="B113" s="2025"/>
      <c r="C113" s="116">
        <v>2018</v>
      </c>
      <c r="D113" s="42"/>
      <c r="E113" s="189"/>
      <c r="F113" s="190"/>
      <c r="G113" s="190"/>
      <c r="H113" s="190"/>
      <c r="I113" s="190"/>
      <c r="J113" s="190"/>
      <c r="K113" s="190"/>
      <c r="L113" s="193"/>
      <c r="M113" s="199"/>
      <c r="N113" s="199"/>
    </row>
    <row r="114" spans="1:14">
      <c r="A114" s="2561"/>
      <c r="B114" s="2025"/>
      <c r="C114" s="116">
        <v>2019</v>
      </c>
      <c r="D114" s="42"/>
      <c r="E114" s="189"/>
      <c r="F114" s="190"/>
      <c r="G114" s="190"/>
      <c r="H114" s="190"/>
      <c r="I114" s="190"/>
      <c r="J114" s="190"/>
      <c r="K114" s="190"/>
      <c r="L114" s="193"/>
      <c r="M114" s="199"/>
      <c r="N114" s="199"/>
    </row>
    <row r="115" spans="1:14">
      <c r="A115" s="2561"/>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270" t="s">
        <v>72</v>
      </c>
      <c r="B118" s="2271" t="s">
        <v>61</v>
      </c>
      <c r="C118" s="2272" t="s">
        <v>8</v>
      </c>
      <c r="D118" s="2210" t="s">
        <v>73</v>
      </c>
      <c r="E118" s="174" t="s">
        <v>71</v>
      </c>
      <c r="F118" s="493"/>
      <c r="G118" s="493"/>
      <c r="H118" s="493"/>
      <c r="I118" s="493"/>
      <c r="J118" s="493"/>
      <c r="K118" s="493"/>
      <c r="L118" s="494"/>
      <c r="M118" s="199"/>
      <c r="N118" s="199"/>
    </row>
    <row r="119" spans="1:14" ht="120.75" customHeight="1">
      <c r="A119" s="2041"/>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560"/>
      <c r="B120" s="2025"/>
      <c r="C120" s="112">
        <v>2014</v>
      </c>
      <c r="D120" s="34"/>
      <c r="E120" s="186"/>
      <c r="F120" s="187"/>
      <c r="G120" s="187"/>
      <c r="H120" s="187"/>
      <c r="I120" s="187"/>
      <c r="J120" s="187"/>
      <c r="K120" s="187"/>
      <c r="L120" s="188"/>
      <c r="M120" s="199"/>
      <c r="N120" s="199"/>
    </row>
    <row r="121" spans="1:14">
      <c r="A121" s="2561"/>
      <c r="B121" s="2025"/>
      <c r="C121" s="116">
        <v>2015</v>
      </c>
      <c r="D121" s="42"/>
      <c r="E121" s="189"/>
      <c r="F121" s="190"/>
      <c r="G121" s="190"/>
      <c r="H121" s="190"/>
      <c r="I121" s="190"/>
      <c r="J121" s="190"/>
      <c r="K121" s="190"/>
      <c r="L121" s="193"/>
      <c r="M121" s="199"/>
      <c r="N121" s="199"/>
    </row>
    <row r="122" spans="1:14">
      <c r="A122" s="2561"/>
      <c r="B122" s="2025"/>
      <c r="C122" s="116">
        <v>2016</v>
      </c>
      <c r="D122" s="42"/>
      <c r="E122" s="189"/>
      <c r="F122" s="190"/>
      <c r="G122" s="190"/>
      <c r="H122" s="190"/>
      <c r="I122" s="190"/>
      <c r="J122" s="190"/>
      <c r="K122" s="190"/>
      <c r="L122" s="193"/>
      <c r="M122" s="199"/>
      <c r="N122" s="199"/>
    </row>
    <row r="123" spans="1:14">
      <c r="A123" s="2561"/>
      <c r="B123" s="2025"/>
      <c r="C123" s="116">
        <v>2017</v>
      </c>
      <c r="D123" s="42"/>
      <c r="E123" s="189"/>
      <c r="F123" s="190"/>
      <c r="G123" s="190"/>
      <c r="H123" s="190"/>
      <c r="I123" s="190"/>
      <c r="J123" s="190"/>
      <c r="K123" s="190"/>
      <c r="L123" s="193"/>
      <c r="M123" s="199"/>
      <c r="N123" s="199"/>
    </row>
    <row r="124" spans="1:14">
      <c r="A124" s="2561"/>
      <c r="B124" s="2025"/>
      <c r="C124" s="116">
        <v>2018</v>
      </c>
      <c r="D124" s="42"/>
      <c r="E124" s="189"/>
      <c r="F124" s="190"/>
      <c r="G124" s="190"/>
      <c r="H124" s="190"/>
      <c r="I124" s="190"/>
      <c r="J124" s="190"/>
      <c r="K124" s="190"/>
      <c r="L124" s="193"/>
      <c r="M124" s="199"/>
      <c r="N124" s="199"/>
    </row>
    <row r="125" spans="1:14">
      <c r="A125" s="2561"/>
      <c r="B125" s="2025"/>
      <c r="C125" s="116">
        <v>2019</v>
      </c>
      <c r="D125" s="42"/>
      <c r="E125" s="189"/>
      <c r="F125" s="190"/>
      <c r="G125" s="190"/>
      <c r="H125" s="190"/>
      <c r="I125" s="190"/>
      <c r="J125" s="190"/>
      <c r="K125" s="190"/>
      <c r="L125" s="193"/>
      <c r="M125" s="199"/>
      <c r="N125" s="199"/>
    </row>
    <row r="126" spans="1:14">
      <c r="A126" s="2561"/>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270" t="s">
        <v>74</v>
      </c>
      <c r="B129" s="2271" t="s">
        <v>61</v>
      </c>
      <c r="C129" s="1362" t="s">
        <v>8</v>
      </c>
      <c r="D129" s="496" t="s">
        <v>75</v>
      </c>
      <c r="E129" s="497"/>
      <c r="F129" s="497"/>
      <c r="G129" s="498"/>
      <c r="H129" s="199"/>
      <c r="I129" s="199"/>
      <c r="J129" s="199"/>
      <c r="K129" s="199"/>
      <c r="L129" s="199"/>
      <c r="M129" s="199"/>
      <c r="N129" s="199"/>
    </row>
    <row r="130" spans="1:16" ht="77.25" customHeight="1">
      <c r="A130" s="2041"/>
      <c r="B130" s="2043"/>
      <c r="C130" s="1359"/>
      <c r="D130" s="178" t="s">
        <v>76</v>
      </c>
      <c r="E130" s="207" t="s">
        <v>77</v>
      </c>
      <c r="F130" s="179" t="s">
        <v>78</v>
      </c>
      <c r="G130" s="208" t="s">
        <v>12</v>
      </c>
      <c r="H130" s="199"/>
      <c r="I130" s="199"/>
      <c r="J130" s="199"/>
      <c r="K130" s="199"/>
      <c r="L130" s="199"/>
      <c r="M130" s="199"/>
      <c r="N130" s="199"/>
    </row>
    <row r="131" spans="1:16" ht="15" customHeight="1">
      <c r="A131" s="2563" t="s">
        <v>355</v>
      </c>
      <c r="B131" s="1988"/>
      <c r="C131" s="112">
        <v>2015</v>
      </c>
      <c r="D131" s="33">
        <v>12</v>
      </c>
      <c r="E131" s="34"/>
      <c r="F131" s="34"/>
      <c r="G131" s="209">
        <f t="shared" ref="G131:G136" si="11">SUM(D131:F131)</f>
        <v>12</v>
      </c>
      <c r="H131" s="199"/>
      <c r="I131" s="199"/>
      <c r="J131" s="199"/>
      <c r="K131" s="199"/>
      <c r="L131" s="199"/>
      <c r="M131" s="199"/>
      <c r="N131" s="199"/>
    </row>
    <row r="132" spans="1:16">
      <c r="A132" s="2558"/>
      <c r="B132" s="1988"/>
      <c r="C132" s="116">
        <v>2016</v>
      </c>
      <c r="D132" s="50">
        <v>52</v>
      </c>
      <c r="E132" s="42"/>
      <c r="F132" s="42"/>
      <c r="G132" s="209">
        <f t="shared" si="11"/>
        <v>52</v>
      </c>
      <c r="H132" s="199"/>
      <c r="I132" s="199"/>
      <c r="J132" s="199"/>
      <c r="K132" s="199"/>
      <c r="L132" s="199"/>
      <c r="M132" s="199"/>
      <c r="N132" s="199"/>
    </row>
    <row r="133" spans="1:16">
      <c r="A133" s="2558"/>
      <c r="B133" s="1988"/>
      <c r="C133" s="116">
        <v>2017</v>
      </c>
      <c r="D133" s="50"/>
      <c r="E133" s="42"/>
      <c r="F133" s="42"/>
      <c r="G133" s="209">
        <f t="shared" si="11"/>
        <v>0</v>
      </c>
      <c r="H133" s="199"/>
      <c r="I133" s="199"/>
      <c r="J133" s="199"/>
      <c r="K133" s="199"/>
      <c r="L133" s="199"/>
      <c r="M133" s="199"/>
      <c r="N133" s="199"/>
    </row>
    <row r="134" spans="1:16">
      <c r="A134" s="2558"/>
      <c r="B134" s="1988"/>
      <c r="C134" s="116">
        <v>2018</v>
      </c>
      <c r="D134" s="50"/>
      <c r="E134" s="42"/>
      <c r="F134" s="42"/>
      <c r="G134" s="209">
        <f t="shared" si="11"/>
        <v>0</v>
      </c>
      <c r="H134" s="199"/>
      <c r="I134" s="199"/>
      <c r="J134" s="199"/>
      <c r="K134" s="199"/>
      <c r="L134" s="199"/>
      <c r="M134" s="199"/>
      <c r="N134" s="199"/>
    </row>
    <row r="135" spans="1:16">
      <c r="A135" s="2558"/>
      <c r="B135" s="1988"/>
      <c r="C135" s="116">
        <v>2019</v>
      </c>
      <c r="D135" s="50"/>
      <c r="E135" s="42"/>
      <c r="F135" s="42"/>
      <c r="G135" s="209">
        <f t="shared" si="11"/>
        <v>0</v>
      </c>
      <c r="H135" s="199"/>
      <c r="I135" s="199"/>
      <c r="J135" s="199"/>
      <c r="K135" s="199"/>
      <c r="L135" s="199"/>
      <c r="M135" s="199"/>
      <c r="N135" s="199"/>
    </row>
    <row r="136" spans="1:16">
      <c r="A136" s="2558"/>
      <c r="B136" s="1988"/>
      <c r="C136" s="116">
        <v>2020</v>
      </c>
      <c r="D136" s="50"/>
      <c r="E136" s="42"/>
      <c r="F136" s="42"/>
      <c r="G136" s="209">
        <f t="shared" si="11"/>
        <v>0</v>
      </c>
      <c r="H136" s="199"/>
      <c r="I136" s="199"/>
      <c r="J136" s="199"/>
      <c r="K136" s="199"/>
      <c r="L136" s="199"/>
      <c r="M136" s="199"/>
      <c r="N136" s="199"/>
    </row>
    <row r="137" spans="1:16" ht="17.25" customHeight="1" thickBot="1">
      <c r="A137" s="1989"/>
      <c r="B137" s="1990"/>
      <c r="C137" s="122" t="s">
        <v>12</v>
      </c>
      <c r="D137" s="151">
        <f>SUM(D131:D136)</f>
        <v>64</v>
      </c>
      <c r="E137" s="151">
        <f t="shared" ref="E137:F137" si="12">SUM(E131:E136)</f>
        <v>0</v>
      </c>
      <c r="F137" s="151">
        <f t="shared" si="12"/>
        <v>0</v>
      </c>
      <c r="G137" s="210">
        <f>SUM(G131:G136)</f>
        <v>64</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273" t="s">
        <v>80</v>
      </c>
      <c r="B142" s="2274" t="s">
        <v>61</v>
      </c>
      <c r="C142" s="2280" t="s">
        <v>8</v>
      </c>
      <c r="D142" s="590" t="s">
        <v>81</v>
      </c>
      <c r="E142" s="591"/>
      <c r="F142" s="591"/>
      <c r="G142" s="591"/>
      <c r="H142" s="591"/>
      <c r="I142" s="592"/>
      <c r="J142" s="2275" t="s">
        <v>82</v>
      </c>
      <c r="K142" s="2276"/>
      <c r="L142" s="2276"/>
      <c r="M142" s="2276"/>
      <c r="N142" s="2277"/>
      <c r="O142" s="177"/>
      <c r="P142" s="177"/>
    </row>
    <row r="143" spans="1:16" ht="113.25" customHeight="1">
      <c r="A143" s="2045"/>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560"/>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561"/>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561"/>
      <c r="B146" s="2025"/>
      <c r="C146" s="116">
        <v>2016</v>
      </c>
      <c r="D146" s="50"/>
      <c r="E146" s="50"/>
      <c r="F146" s="42"/>
      <c r="G146" s="190"/>
      <c r="H146" s="190"/>
      <c r="I146" s="227">
        <f t="shared" si="13"/>
        <v>0</v>
      </c>
      <c r="J146" s="231"/>
      <c r="K146" s="232"/>
      <c r="L146" s="231"/>
      <c r="M146" s="232"/>
      <c r="N146" s="233"/>
      <c r="O146" s="177"/>
      <c r="P146" s="177"/>
    </row>
    <row r="147" spans="1:16" ht="17.25" customHeight="1">
      <c r="A147" s="2561"/>
      <c r="B147" s="2025"/>
      <c r="C147" s="116">
        <v>2017</v>
      </c>
      <c r="D147" s="50"/>
      <c r="E147" s="50"/>
      <c r="F147" s="42"/>
      <c r="G147" s="190"/>
      <c r="H147" s="190"/>
      <c r="I147" s="227">
        <f t="shared" si="13"/>
        <v>0</v>
      </c>
      <c r="J147" s="231"/>
      <c r="K147" s="232"/>
      <c r="L147" s="231"/>
      <c r="M147" s="232"/>
      <c r="N147" s="233"/>
      <c r="O147" s="177"/>
      <c r="P147" s="177"/>
    </row>
    <row r="148" spans="1:16" ht="19.5" customHeight="1">
      <c r="A148" s="2561"/>
      <c r="B148" s="2025"/>
      <c r="C148" s="116">
        <v>2018</v>
      </c>
      <c r="D148" s="50"/>
      <c r="E148" s="50"/>
      <c r="F148" s="42"/>
      <c r="G148" s="190"/>
      <c r="H148" s="190"/>
      <c r="I148" s="227">
        <f t="shared" si="13"/>
        <v>0</v>
      </c>
      <c r="J148" s="231"/>
      <c r="K148" s="232"/>
      <c r="L148" s="231"/>
      <c r="M148" s="232"/>
      <c r="N148" s="233"/>
      <c r="O148" s="177"/>
      <c r="P148" s="177"/>
    </row>
    <row r="149" spans="1:16" ht="19.5" customHeight="1">
      <c r="A149" s="2561"/>
      <c r="B149" s="2025"/>
      <c r="C149" s="116">
        <v>2019</v>
      </c>
      <c r="D149" s="50"/>
      <c r="E149" s="50"/>
      <c r="F149" s="42"/>
      <c r="G149" s="190"/>
      <c r="H149" s="190"/>
      <c r="I149" s="227">
        <f t="shared" si="13"/>
        <v>0</v>
      </c>
      <c r="J149" s="231"/>
      <c r="K149" s="232"/>
      <c r="L149" s="231"/>
      <c r="M149" s="232"/>
      <c r="N149" s="233"/>
      <c r="O149" s="177"/>
      <c r="P149" s="177"/>
    </row>
    <row r="150" spans="1:16" ht="18.75" customHeight="1">
      <c r="A150" s="2561"/>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278" t="s">
        <v>93</v>
      </c>
      <c r="B153" s="2274" t="s">
        <v>61</v>
      </c>
      <c r="C153" s="2279" t="s">
        <v>8</v>
      </c>
      <c r="D153" s="502" t="s">
        <v>94</v>
      </c>
      <c r="E153" s="502"/>
      <c r="F153" s="503"/>
      <c r="G153" s="503"/>
      <c r="H153" s="502" t="s">
        <v>95</v>
      </c>
      <c r="I153" s="502"/>
      <c r="J153" s="504"/>
      <c r="K153" s="31"/>
      <c r="L153" s="31"/>
      <c r="M153" s="31"/>
      <c r="N153" s="31"/>
      <c r="O153" s="177"/>
      <c r="P153" s="177"/>
    </row>
    <row r="154" spans="1:16" ht="49.5" customHeight="1">
      <c r="A154" s="2562"/>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560"/>
      <c r="B155" s="2025"/>
      <c r="C155" s="247">
        <v>2014</v>
      </c>
      <c r="D155" s="228"/>
      <c r="E155" s="187"/>
      <c r="F155" s="229"/>
      <c r="G155" s="227">
        <f>SUM(D155:F155)</f>
        <v>0</v>
      </c>
      <c r="H155" s="228"/>
      <c r="I155" s="187"/>
      <c r="J155" s="188"/>
      <c r="O155" s="177"/>
      <c r="P155" s="177"/>
    </row>
    <row r="156" spans="1:16" ht="19.5" customHeight="1">
      <c r="A156" s="2561"/>
      <c r="B156" s="2025"/>
      <c r="C156" s="248">
        <v>2015</v>
      </c>
      <c r="D156" s="231"/>
      <c r="E156" s="190"/>
      <c r="F156" s="232"/>
      <c r="G156" s="227">
        <f t="shared" ref="G156:G161" si="15">SUM(D156:F156)</f>
        <v>0</v>
      </c>
      <c r="H156" s="231"/>
      <c r="I156" s="190"/>
      <c r="J156" s="193"/>
      <c r="O156" s="177"/>
      <c r="P156" s="177"/>
    </row>
    <row r="157" spans="1:16" ht="17.25" customHeight="1">
      <c r="A157" s="2561"/>
      <c r="B157" s="2025"/>
      <c r="C157" s="248">
        <v>2016</v>
      </c>
      <c r="D157" s="231"/>
      <c r="E157" s="190"/>
      <c r="F157" s="232"/>
      <c r="G157" s="227">
        <f t="shared" si="15"/>
        <v>0</v>
      </c>
      <c r="H157" s="231"/>
      <c r="I157" s="190"/>
      <c r="J157" s="193"/>
      <c r="O157" s="177"/>
      <c r="P157" s="177"/>
    </row>
    <row r="158" spans="1:16" ht="15" customHeight="1">
      <c r="A158" s="2561"/>
      <c r="B158" s="2025"/>
      <c r="C158" s="248">
        <v>2017</v>
      </c>
      <c r="D158" s="231"/>
      <c r="E158" s="190"/>
      <c r="F158" s="232"/>
      <c r="G158" s="227">
        <f t="shared" si="15"/>
        <v>0</v>
      </c>
      <c r="H158" s="231"/>
      <c r="I158" s="190"/>
      <c r="J158" s="193"/>
      <c r="O158" s="177"/>
      <c r="P158" s="177"/>
    </row>
    <row r="159" spans="1:16" ht="19.5" customHeight="1">
      <c r="A159" s="2561"/>
      <c r="B159" s="2025"/>
      <c r="C159" s="248">
        <v>2018</v>
      </c>
      <c r="D159" s="231"/>
      <c r="E159" s="190"/>
      <c r="F159" s="232"/>
      <c r="G159" s="227">
        <f t="shared" si="15"/>
        <v>0</v>
      </c>
      <c r="H159" s="231"/>
      <c r="I159" s="190"/>
      <c r="J159" s="193"/>
      <c r="O159" s="177"/>
      <c r="P159" s="177"/>
    </row>
    <row r="160" spans="1:16" ht="15" customHeight="1">
      <c r="A160" s="2561"/>
      <c r="B160" s="2025"/>
      <c r="C160" s="248">
        <v>2019</v>
      </c>
      <c r="D160" s="231"/>
      <c r="E160" s="190"/>
      <c r="F160" s="232"/>
      <c r="G160" s="227">
        <f t="shared" si="15"/>
        <v>0</v>
      </c>
      <c r="H160" s="231"/>
      <c r="I160" s="190"/>
      <c r="J160" s="193"/>
      <c r="O160" s="177"/>
      <c r="P160" s="177"/>
    </row>
    <row r="161" spans="1:18" ht="17.25" customHeight="1">
      <c r="A161" s="2561"/>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505"/>
      <c r="F163" s="177"/>
      <c r="G163" s="177"/>
      <c r="H163" s="177"/>
      <c r="I163" s="177"/>
      <c r="J163" s="255"/>
      <c r="K163" s="256"/>
    </row>
    <row r="164" spans="1:18" ht="95.25" customHeight="1">
      <c r="A164" s="506" t="s">
        <v>102</v>
      </c>
      <c r="B164" s="258" t="s">
        <v>103</v>
      </c>
      <c r="C164" s="1379" t="s">
        <v>8</v>
      </c>
      <c r="D164" s="260" t="s">
        <v>104</v>
      </c>
      <c r="E164" s="260" t="s">
        <v>105</v>
      </c>
      <c r="F164" s="508" t="s">
        <v>106</v>
      </c>
      <c r="G164" s="260" t="s">
        <v>107</v>
      </c>
      <c r="H164" s="260" t="s">
        <v>108</v>
      </c>
      <c r="I164" s="262" t="s">
        <v>109</v>
      </c>
      <c r="J164" s="509" t="s">
        <v>110</v>
      </c>
      <c r="K164" s="509" t="s">
        <v>111</v>
      </c>
      <c r="L164" s="1380"/>
    </row>
    <row r="165" spans="1:18" ht="15.75" customHeight="1">
      <c r="A165" s="2011"/>
      <c r="B165" s="2012"/>
      <c r="C165" s="265">
        <v>2014</v>
      </c>
      <c r="D165" s="187"/>
      <c r="E165" s="187"/>
      <c r="F165" s="187"/>
      <c r="G165" s="187"/>
      <c r="H165" s="187"/>
      <c r="I165" s="188"/>
      <c r="J165" s="266">
        <f>SUM(D165,F165,H165)</f>
        <v>0</v>
      </c>
      <c r="K165" s="267">
        <f>SUM(E165,G165,I165)</f>
        <v>0</v>
      </c>
      <c r="L165" s="1380"/>
    </row>
    <row r="166" spans="1:18">
      <c r="A166" s="2013"/>
      <c r="B166" s="2014"/>
      <c r="C166" s="268">
        <v>2015</v>
      </c>
      <c r="D166" s="269"/>
      <c r="E166" s="269"/>
      <c r="F166" s="269"/>
      <c r="G166" s="269"/>
      <c r="H166" s="269"/>
      <c r="I166" s="270"/>
      <c r="J166" s="271">
        <f t="shared" ref="J166:K171" si="17">SUM(D166,F166,H166)</f>
        <v>0</v>
      </c>
      <c r="K166" s="272">
        <f t="shared" si="17"/>
        <v>0</v>
      </c>
      <c r="L166" s="1380"/>
    </row>
    <row r="167" spans="1:18">
      <c r="A167" s="2013"/>
      <c r="B167" s="2014"/>
      <c r="C167" s="268">
        <v>2016</v>
      </c>
      <c r="D167" s="269"/>
      <c r="E167" s="269"/>
      <c r="F167" s="269"/>
      <c r="G167" s="269"/>
      <c r="H167" s="269"/>
      <c r="I167" s="270"/>
      <c r="J167" s="271">
        <f t="shared" si="17"/>
        <v>0</v>
      </c>
      <c r="K167" s="272">
        <f t="shared" si="17"/>
        <v>0</v>
      </c>
    </row>
    <row r="168" spans="1:18">
      <c r="A168" s="2013"/>
      <c r="B168" s="2014"/>
      <c r="C168" s="268">
        <v>2017</v>
      </c>
      <c r="D168" s="269"/>
      <c r="E168" s="177"/>
      <c r="F168" s="269"/>
      <c r="G168" s="269"/>
      <c r="H168" s="269"/>
      <c r="I168" s="270"/>
      <c r="J168" s="271">
        <f t="shared" si="17"/>
        <v>0</v>
      </c>
      <c r="K168" s="272">
        <f t="shared" si="17"/>
        <v>0</v>
      </c>
    </row>
    <row r="169" spans="1:18">
      <c r="A169" s="2013"/>
      <c r="B169" s="2014"/>
      <c r="C169" s="273">
        <v>2018</v>
      </c>
      <c r="D169" s="269"/>
      <c r="E169" s="269"/>
      <c r="F169" s="269"/>
      <c r="G169" s="274"/>
      <c r="H169" s="269"/>
      <c r="I169" s="270"/>
      <c r="J169" s="271">
        <f t="shared" si="17"/>
        <v>0</v>
      </c>
      <c r="K169" s="272">
        <f t="shared" si="17"/>
        <v>0</v>
      </c>
      <c r="L169" s="1380"/>
    </row>
    <row r="170" spans="1:18">
      <c r="A170" s="2013"/>
      <c r="B170" s="2014"/>
      <c r="C170" s="268">
        <v>2019</v>
      </c>
      <c r="D170" s="177"/>
      <c r="E170" s="269"/>
      <c r="F170" s="269"/>
      <c r="G170" s="269"/>
      <c r="H170" s="274"/>
      <c r="I170" s="270"/>
      <c r="J170" s="271">
        <f t="shared" si="17"/>
        <v>0</v>
      </c>
      <c r="K170" s="272">
        <f t="shared" si="17"/>
        <v>0</v>
      </c>
      <c r="L170" s="1380"/>
    </row>
    <row r="171" spans="1:18">
      <c r="A171" s="2013"/>
      <c r="B171" s="2014"/>
      <c r="C171" s="273">
        <v>2020</v>
      </c>
      <c r="D171" s="269"/>
      <c r="E171" s="269"/>
      <c r="F171" s="269"/>
      <c r="G171" s="269"/>
      <c r="H171" s="269"/>
      <c r="I171" s="270"/>
      <c r="J171" s="271">
        <f t="shared" si="17"/>
        <v>0</v>
      </c>
      <c r="K171" s="272">
        <f t="shared" si="17"/>
        <v>0</v>
      </c>
      <c r="L171" s="1380"/>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1380"/>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284" t="s">
        <v>113</v>
      </c>
      <c r="B176" s="2285" t="s">
        <v>114</v>
      </c>
      <c r="C176" s="2286" t="s">
        <v>8</v>
      </c>
      <c r="D176" s="510" t="s">
        <v>115</v>
      </c>
      <c r="E176" s="511"/>
      <c r="F176" s="511"/>
      <c r="G176" s="512"/>
      <c r="H176" s="513"/>
      <c r="I176" s="2021" t="s">
        <v>116</v>
      </c>
      <c r="J176" s="2232"/>
      <c r="K176" s="2232"/>
      <c r="L176" s="2232"/>
      <c r="M176" s="2232"/>
      <c r="N176" s="2232"/>
      <c r="O176" s="2233"/>
    </row>
    <row r="177" spans="1:15" s="31" customFormat="1" ht="129.75" customHeight="1">
      <c r="A177" s="2018"/>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560" t="s">
        <v>356</v>
      </c>
      <c r="B178" s="2025"/>
      <c r="C178" s="112">
        <v>2014</v>
      </c>
      <c r="D178" s="33"/>
      <c r="E178" s="34"/>
      <c r="F178" s="34"/>
      <c r="G178" s="293">
        <f>SUM(D178:F178)</f>
        <v>0</v>
      </c>
      <c r="H178" s="167"/>
      <c r="I178" s="167"/>
      <c r="J178" s="34"/>
      <c r="K178" s="34"/>
      <c r="L178" s="34"/>
      <c r="M178" s="34"/>
      <c r="N178" s="34"/>
      <c r="O178" s="37"/>
    </row>
    <row r="179" spans="1:15">
      <c r="A179" s="2561"/>
      <c r="B179" s="2025"/>
      <c r="C179" s="116">
        <v>2015</v>
      </c>
      <c r="D179" s="50">
        <v>2</v>
      </c>
      <c r="E179" s="42"/>
      <c r="F179" s="42"/>
      <c r="G179" s="293">
        <f t="shared" ref="G179:G184" si="19">SUM(D179:F179)</f>
        <v>2</v>
      </c>
      <c r="H179" s="294">
        <v>3</v>
      </c>
      <c r="I179" s="118"/>
      <c r="J179" s="42"/>
      <c r="K179" s="42"/>
      <c r="L179" s="42"/>
      <c r="M179" s="42"/>
      <c r="N179" s="42"/>
      <c r="O179" s="99">
        <v>2</v>
      </c>
    </row>
    <row r="180" spans="1:15">
      <c r="A180" s="2561"/>
      <c r="B180" s="2025"/>
      <c r="C180" s="116">
        <v>2016</v>
      </c>
      <c r="D180" s="50">
        <v>14</v>
      </c>
      <c r="E180" s="42">
        <v>1</v>
      </c>
      <c r="F180" s="42"/>
      <c r="G180" s="293">
        <f t="shared" si="19"/>
        <v>15</v>
      </c>
      <c r="H180" s="294">
        <v>79</v>
      </c>
      <c r="I180" s="118"/>
      <c r="J180" s="42">
        <v>1</v>
      </c>
      <c r="K180" s="42">
        <v>2</v>
      </c>
      <c r="L180" s="42">
        <v>2</v>
      </c>
      <c r="M180" s="42">
        <v>1</v>
      </c>
      <c r="N180" s="42"/>
      <c r="O180" s="99">
        <v>9</v>
      </c>
    </row>
    <row r="181" spans="1:15">
      <c r="A181" s="2561"/>
      <c r="B181" s="2025"/>
      <c r="C181" s="116">
        <v>2017</v>
      </c>
      <c r="D181" s="50"/>
      <c r="E181" s="42"/>
      <c r="F181" s="42"/>
      <c r="G181" s="293">
        <f t="shared" si="19"/>
        <v>0</v>
      </c>
      <c r="H181" s="294"/>
      <c r="I181" s="118"/>
      <c r="J181" s="42"/>
      <c r="K181" s="42"/>
      <c r="L181" s="42"/>
      <c r="M181" s="42"/>
      <c r="N181" s="42"/>
      <c r="O181" s="99"/>
    </row>
    <row r="182" spans="1:15">
      <c r="A182" s="2561"/>
      <c r="B182" s="2025"/>
      <c r="C182" s="116">
        <v>2018</v>
      </c>
      <c r="D182" s="50"/>
      <c r="E182" s="42"/>
      <c r="F182" s="42"/>
      <c r="G182" s="293">
        <f t="shared" si="19"/>
        <v>0</v>
      </c>
      <c r="H182" s="294"/>
      <c r="I182" s="118"/>
      <c r="J182" s="42"/>
      <c r="K182" s="42"/>
      <c r="L182" s="42"/>
      <c r="M182" s="42"/>
      <c r="N182" s="42"/>
      <c r="O182" s="99"/>
    </row>
    <row r="183" spans="1:15">
      <c r="A183" s="2561"/>
      <c r="B183" s="2025"/>
      <c r="C183" s="116">
        <v>2019</v>
      </c>
      <c r="D183" s="50"/>
      <c r="E183" s="42"/>
      <c r="F183" s="42"/>
      <c r="G183" s="293">
        <f t="shared" si="19"/>
        <v>0</v>
      </c>
      <c r="H183" s="294"/>
      <c r="I183" s="118"/>
      <c r="J183" s="42"/>
      <c r="K183" s="42"/>
      <c r="L183" s="42"/>
      <c r="M183" s="42"/>
      <c r="N183" s="42"/>
      <c r="O183" s="99"/>
    </row>
    <row r="184" spans="1:15">
      <c r="A184" s="2561"/>
      <c r="B184" s="2025"/>
      <c r="C184" s="116">
        <v>2020</v>
      </c>
      <c r="D184" s="50"/>
      <c r="E184" s="42"/>
      <c r="F184" s="42"/>
      <c r="G184" s="293">
        <f t="shared" si="19"/>
        <v>0</v>
      </c>
      <c r="H184" s="294"/>
      <c r="I184" s="118"/>
      <c r="J184" s="42"/>
      <c r="K184" s="42"/>
      <c r="L184" s="42"/>
      <c r="M184" s="42"/>
      <c r="N184" s="42"/>
      <c r="O184" s="99"/>
    </row>
    <row r="185" spans="1:15" ht="45" customHeight="1" thickBot="1">
      <c r="A185" s="2026"/>
      <c r="B185" s="2027"/>
      <c r="C185" s="122" t="s">
        <v>12</v>
      </c>
      <c r="D185" s="151">
        <f>SUM(D178:D184)</f>
        <v>16</v>
      </c>
      <c r="E185" s="125">
        <f>SUM(E178:E184)</f>
        <v>1</v>
      </c>
      <c r="F185" s="125">
        <f>SUM(F178:F184)</f>
        <v>0</v>
      </c>
      <c r="G185" s="234">
        <f t="shared" ref="G185:O185" si="20">SUM(G178:G184)</f>
        <v>17</v>
      </c>
      <c r="H185" s="295">
        <f t="shared" si="20"/>
        <v>82</v>
      </c>
      <c r="I185" s="124">
        <f t="shared" si="20"/>
        <v>0</v>
      </c>
      <c r="J185" s="125">
        <f t="shared" si="20"/>
        <v>1</v>
      </c>
      <c r="K185" s="125">
        <f t="shared" si="20"/>
        <v>2</v>
      </c>
      <c r="L185" s="125">
        <f t="shared" si="20"/>
        <v>2</v>
      </c>
      <c r="M185" s="125">
        <f t="shared" si="20"/>
        <v>1</v>
      </c>
      <c r="N185" s="125">
        <f t="shared" si="20"/>
        <v>0</v>
      </c>
      <c r="O185" s="126">
        <f t="shared" si="20"/>
        <v>11</v>
      </c>
    </row>
    <row r="186" spans="1:15" ht="33" customHeight="1" thickBot="1"/>
    <row r="187" spans="1:15" ht="19.5" customHeight="1">
      <c r="A187" s="2235" t="s">
        <v>122</v>
      </c>
      <c r="B187" s="2285" t="s">
        <v>114</v>
      </c>
      <c r="C187" s="1998" t="s">
        <v>8</v>
      </c>
      <c r="D187" s="2000" t="s">
        <v>123</v>
      </c>
      <c r="E187" s="2219"/>
      <c r="F187" s="2219"/>
      <c r="G187" s="2220"/>
      <c r="H187" s="2221"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111" t="s">
        <v>357</v>
      </c>
      <c r="B189" s="2112"/>
      <c r="C189" s="392">
        <v>2014</v>
      </c>
      <c r="D189" s="142"/>
      <c r="E189" s="115"/>
      <c r="F189" s="115"/>
      <c r="G189" s="301">
        <f>SUM(D189:F189)</f>
        <v>0</v>
      </c>
      <c r="H189" s="114"/>
      <c r="I189" s="115"/>
      <c r="J189" s="115"/>
      <c r="K189" s="115"/>
      <c r="L189" s="143"/>
    </row>
    <row r="190" spans="1:15">
      <c r="A190" s="2559"/>
      <c r="B190" s="1988"/>
      <c r="C190" s="86">
        <v>2015</v>
      </c>
      <c r="D190" s="50">
        <v>218</v>
      </c>
      <c r="E190" s="42"/>
      <c r="F190" s="42"/>
      <c r="G190" s="301">
        <f t="shared" ref="G190:G195" si="21">SUM(D190:F190)</f>
        <v>218</v>
      </c>
      <c r="H190" s="118"/>
      <c r="I190" s="42">
        <v>63</v>
      </c>
      <c r="J190" s="42"/>
      <c r="K190" s="42"/>
      <c r="L190" s="99">
        <v>155</v>
      </c>
    </row>
    <row r="191" spans="1:15">
      <c r="A191" s="2559"/>
      <c r="B191" s="1988"/>
      <c r="C191" s="86">
        <v>2016</v>
      </c>
      <c r="D191" s="50">
        <v>943</v>
      </c>
      <c r="E191" s="42">
        <v>50</v>
      </c>
      <c r="F191" s="42"/>
      <c r="G191" s="301">
        <f t="shared" si="21"/>
        <v>993</v>
      </c>
      <c r="H191" s="118"/>
      <c r="I191" s="42">
        <v>117</v>
      </c>
      <c r="J191" s="42"/>
      <c r="K191" s="42">
        <v>327</v>
      </c>
      <c r="L191" s="99">
        <v>549</v>
      </c>
    </row>
    <row r="192" spans="1:15">
      <c r="A192" s="2559"/>
      <c r="B192" s="1988"/>
      <c r="C192" s="86">
        <v>2017</v>
      </c>
      <c r="D192" s="50"/>
      <c r="E192" s="42"/>
      <c r="F192" s="42"/>
      <c r="G192" s="301">
        <f t="shared" si="21"/>
        <v>0</v>
      </c>
      <c r="H192" s="118"/>
      <c r="I192" s="42"/>
      <c r="J192" s="42"/>
      <c r="K192" s="42"/>
      <c r="L192" s="99"/>
    </row>
    <row r="193" spans="1:14">
      <c r="A193" s="2559"/>
      <c r="B193" s="1988"/>
      <c r="C193" s="86">
        <v>2018</v>
      </c>
      <c r="D193" s="50"/>
      <c r="E193" s="42"/>
      <c r="F193" s="42"/>
      <c r="G193" s="301">
        <f t="shared" si="21"/>
        <v>0</v>
      </c>
      <c r="H193" s="118"/>
      <c r="I193" s="42"/>
      <c r="J193" s="42"/>
      <c r="K193" s="42"/>
      <c r="L193" s="99"/>
    </row>
    <row r="194" spans="1:14">
      <c r="A194" s="2559"/>
      <c r="B194" s="1988"/>
      <c r="C194" s="86">
        <v>2019</v>
      </c>
      <c r="D194" s="50"/>
      <c r="E194" s="42"/>
      <c r="F194" s="42"/>
      <c r="G194" s="301">
        <f t="shared" si="21"/>
        <v>0</v>
      </c>
      <c r="H194" s="118"/>
      <c r="I194" s="42"/>
      <c r="J194" s="42"/>
      <c r="K194" s="42"/>
      <c r="L194" s="99"/>
    </row>
    <row r="195" spans="1:14">
      <c r="A195" s="2559"/>
      <c r="B195" s="1988"/>
      <c r="C195" s="86">
        <v>2020</v>
      </c>
      <c r="D195" s="50"/>
      <c r="E195" s="42"/>
      <c r="F195" s="42"/>
      <c r="G195" s="301">
        <f t="shared" si="21"/>
        <v>0</v>
      </c>
      <c r="H195" s="118"/>
      <c r="I195" s="42"/>
      <c r="J195" s="42"/>
      <c r="K195" s="42"/>
      <c r="L195" s="99"/>
    </row>
    <row r="196" spans="1:14" ht="33" customHeight="1" thickBot="1">
      <c r="A196" s="2114"/>
      <c r="B196" s="1990"/>
      <c r="C196" s="148" t="s">
        <v>12</v>
      </c>
      <c r="D196" s="151">
        <f t="shared" ref="D196:L196" si="22">SUM(D189:D195)</f>
        <v>1161</v>
      </c>
      <c r="E196" s="125">
        <f t="shared" si="22"/>
        <v>50</v>
      </c>
      <c r="F196" s="125">
        <f t="shared" si="22"/>
        <v>0</v>
      </c>
      <c r="G196" s="304">
        <f t="shared" si="22"/>
        <v>1211</v>
      </c>
      <c r="H196" s="124">
        <f t="shared" si="22"/>
        <v>0</v>
      </c>
      <c r="I196" s="125">
        <f t="shared" si="22"/>
        <v>180</v>
      </c>
      <c r="J196" s="125">
        <f t="shared" si="22"/>
        <v>0</v>
      </c>
      <c r="K196" s="125">
        <f t="shared" si="22"/>
        <v>327</v>
      </c>
      <c r="L196" s="126">
        <f t="shared" si="22"/>
        <v>704</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596" t="s">
        <v>135</v>
      </c>
      <c r="B201" s="309" t="s">
        <v>114</v>
      </c>
      <c r="C201" s="310" t="s">
        <v>8</v>
      </c>
      <c r="D201" s="515" t="s">
        <v>136</v>
      </c>
      <c r="E201" s="312" t="s">
        <v>137</v>
      </c>
      <c r="F201" s="312" t="s">
        <v>138</v>
      </c>
      <c r="G201" s="310" t="s">
        <v>139</v>
      </c>
      <c r="H201" s="516" t="s">
        <v>140</v>
      </c>
      <c r="I201" s="517" t="s">
        <v>141</v>
      </c>
      <c r="J201" s="518" t="s">
        <v>142</v>
      </c>
      <c r="K201" s="312" t="s">
        <v>143</v>
      </c>
      <c r="L201" s="316" t="s">
        <v>144</v>
      </c>
    </row>
    <row r="202" spans="1:14" ht="15" customHeight="1">
      <c r="A202" s="2558"/>
      <c r="B202" s="1988"/>
      <c r="C202" s="84">
        <v>2014</v>
      </c>
      <c r="D202" s="33"/>
      <c r="E202" s="34"/>
      <c r="F202" s="34"/>
      <c r="G202" s="32"/>
      <c r="H202" s="317"/>
      <c r="I202" s="318"/>
      <c r="J202" s="319"/>
      <c r="K202" s="34"/>
      <c r="L202" s="37"/>
    </row>
    <row r="203" spans="1:14">
      <c r="A203" s="2558"/>
      <c r="B203" s="1988"/>
      <c r="C203" s="86">
        <v>2015</v>
      </c>
      <c r="D203" s="50"/>
      <c r="E203" s="42"/>
      <c r="F203" s="42"/>
      <c r="G203" s="39"/>
      <c r="H203" s="320"/>
      <c r="I203" s="321"/>
      <c r="J203" s="322"/>
      <c r="K203" s="42"/>
      <c r="L203" s="99"/>
    </row>
    <row r="204" spans="1:14">
      <c r="A204" s="2558"/>
      <c r="B204" s="1988"/>
      <c r="C204" s="86">
        <v>2016</v>
      </c>
      <c r="D204" s="50"/>
      <c r="E204" s="42"/>
      <c r="F204" s="42"/>
      <c r="G204" s="39"/>
      <c r="H204" s="320"/>
      <c r="I204" s="321"/>
      <c r="J204" s="322"/>
      <c r="K204" s="42"/>
      <c r="L204" s="99"/>
    </row>
    <row r="205" spans="1:14">
      <c r="A205" s="2558"/>
      <c r="B205" s="1988"/>
      <c r="C205" s="86">
        <v>2017</v>
      </c>
      <c r="D205" s="50"/>
      <c r="E205" s="42"/>
      <c r="F205" s="42"/>
      <c r="G205" s="39"/>
      <c r="H205" s="320"/>
      <c r="I205" s="321"/>
      <c r="J205" s="322"/>
      <c r="K205" s="42"/>
      <c r="L205" s="99"/>
    </row>
    <row r="206" spans="1:14">
      <c r="A206" s="2558"/>
      <c r="B206" s="1988"/>
      <c r="C206" s="86">
        <v>2018</v>
      </c>
      <c r="D206" s="50"/>
      <c r="E206" s="42"/>
      <c r="F206" s="42"/>
      <c r="G206" s="39"/>
      <c r="H206" s="320"/>
      <c r="I206" s="321"/>
      <c r="J206" s="322"/>
      <c r="K206" s="42"/>
      <c r="L206" s="99"/>
    </row>
    <row r="207" spans="1:14">
      <c r="A207" s="2558"/>
      <c r="B207" s="1988"/>
      <c r="C207" s="86">
        <v>2019</v>
      </c>
      <c r="D207" s="50"/>
      <c r="E207" s="42"/>
      <c r="F207" s="42"/>
      <c r="G207" s="39"/>
      <c r="H207" s="320"/>
      <c r="I207" s="321"/>
      <c r="J207" s="322"/>
      <c r="K207" s="42"/>
      <c r="L207" s="99"/>
    </row>
    <row r="208" spans="1:14">
      <c r="A208" s="2558"/>
      <c r="B208" s="1988"/>
      <c r="C208" s="86">
        <v>2020</v>
      </c>
      <c r="D208" s="1361"/>
      <c r="E208" s="324"/>
      <c r="F208" s="324"/>
      <c r="G208" s="325"/>
      <c r="H208" s="326"/>
      <c r="I208" s="327"/>
      <c r="J208" s="328"/>
      <c r="K208" s="324"/>
      <c r="L208" s="329"/>
    </row>
    <row r="209" spans="1:12" ht="20.25" customHeight="1" thickBot="1">
      <c r="A209" s="1989"/>
      <c r="B209" s="1990"/>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597" t="s">
        <v>145</v>
      </c>
      <c r="B212" s="331" t="s">
        <v>146</v>
      </c>
      <c r="C212" s="332">
        <v>2014</v>
      </c>
      <c r="D212" s="333">
        <v>2015</v>
      </c>
      <c r="E212" s="333">
        <v>2016</v>
      </c>
      <c r="F212" s="333">
        <v>2017</v>
      </c>
      <c r="G212" s="333">
        <v>2018</v>
      </c>
      <c r="H212" s="333">
        <v>2019</v>
      </c>
      <c r="I212" s="334">
        <v>2020</v>
      </c>
    </row>
    <row r="213" spans="1:12" ht="15" customHeight="1">
      <c r="A213" t="s">
        <v>147</v>
      </c>
      <c r="B213" s="2196" t="s">
        <v>358</v>
      </c>
      <c r="C213" s="84"/>
      <c r="D213" s="403">
        <f>SUM(D214:D217)</f>
        <v>351318.84</v>
      </c>
      <c r="E213" s="403">
        <f>E214+E215+E216+E217</f>
        <v>969960.74</v>
      </c>
      <c r="F213" s="147"/>
      <c r="G213" s="147"/>
      <c r="H213" s="147"/>
      <c r="I213" s="335"/>
    </row>
    <row r="214" spans="1:12">
      <c r="A214" t="s">
        <v>149</v>
      </c>
      <c r="B214" s="2168"/>
      <c r="C214" s="84"/>
      <c r="D214" s="403">
        <v>304534.56</v>
      </c>
      <c r="E214" s="403">
        <v>964690.94</v>
      </c>
      <c r="F214" s="147"/>
      <c r="G214" s="147"/>
      <c r="H214" s="147"/>
      <c r="I214" s="335"/>
    </row>
    <row r="215" spans="1:12">
      <c r="A215" t="s">
        <v>150</v>
      </c>
      <c r="B215" s="2168"/>
      <c r="C215" s="84"/>
      <c r="D215" s="403">
        <v>23699.64</v>
      </c>
      <c r="E215" s="403"/>
      <c r="F215" s="147"/>
      <c r="G215" s="147"/>
      <c r="H215" s="147"/>
      <c r="I215" s="335"/>
    </row>
    <row r="216" spans="1:12">
      <c r="A216" t="s">
        <v>151</v>
      </c>
      <c r="B216" s="2168"/>
      <c r="C216" s="84"/>
      <c r="D216" s="403">
        <v>22644.639999999999</v>
      </c>
      <c r="E216" s="403">
        <v>5239.8</v>
      </c>
      <c r="F216" s="147"/>
      <c r="G216" s="147"/>
      <c r="H216" s="147"/>
      <c r="I216" s="335"/>
    </row>
    <row r="217" spans="1:12">
      <c r="A217" t="s">
        <v>152</v>
      </c>
      <c r="B217" s="2168"/>
      <c r="C217" s="84"/>
      <c r="D217" s="403">
        <v>440</v>
      </c>
      <c r="E217" s="403">
        <v>30</v>
      </c>
      <c r="F217" s="147"/>
      <c r="G217" s="147"/>
      <c r="H217" s="147"/>
      <c r="I217" s="335"/>
    </row>
    <row r="218" spans="1:12" ht="30">
      <c r="A218" s="31" t="s">
        <v>153</v>
      </c>
      <c r="B218" s="2168"/>
      <c r="C218" s="84"/>
      <c r="D218" s="403">
        <v>159904.85</v>
      </c>
      <c r="E218" s="403">
        <v>251930.35</v>
      </c>
      <c r="F218" s="147"/>
      <c r="G218" s="147"/>
      <c r="H218" s="147"/>
      <c r="I218" s="335"/>
    </row>
    <row r="219" spans="1:12" ht="15.75" thickBot="1">
      <c r="A219" s="1360"/>
      <c r="B219" s="2169"/>
      <c r="C219" s="54" t="s">
        <v>12</v>
      </c>
      <c r="D219" s="405">
        <f>SUM(D214:D218)</f>
        <v>511223.69000000006</v>
      </c>
      <c r="E219" s="405">
        <f t="shared" ref="E219:I219" si="24">SUM(E214:E218)</f>
        <v>1221891.0900000001</v>
      </c>
      <c r="F219" s="337">
        <f t="shared" si="24"/>
        <v>0</v>
      </c>
      <c r="G219" s="337">
        <f t="shared" si="24"/>
        <v>0</v>
      </c>
      <c r="H219" s="337">
        <f t="shared" si="24"/>
        <v>0</v>
      </c>
      <c r="I219" s="337">
        <f t="shared" si="24"/>
        <v>0</v>
      </c>
    </row>
    <row r="227" spans="1:1">
      <c r="A227"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Y227"/>
  <sheetViews>
    <sheetView topLeftCell="A199" workbookViewId="0">
      <selection activeCell="G224" sqref="G224"/>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372</v>
      </c>
      <c r="C1" s="2077"/>
      <c r="D1" s="2077"/>
      <c r="E1" s="2077"/>
      <c r="F1" s="2077"/>
    </row>
    <row r="2" spans="1:25" s="2" customFormat="1" ht="20.100000000000001" customHeight="1" thickBot="1"/>
    <row r="3" spans="1:25" s="5" customFormat="1" ht="20.100000000000001" customHeight="1">
      <c r="A3" s="522" t="s">
        <v>1</v>
      </c>
      <c r="B3" s="475"/>
      <c r="C3" s="475"/>
      <c r="D3" s="475"/>
      <c r="E3" s="475"/>
      <c r="F3" s="2198"/>
      <c r="G3" s="2198"/>
      <c r="H3" s="2198"/>
      <c r="I3" s="2198"/>
      <c r="J3" s="2198"/>
      <c r="K3" s="2198"/>
      <c r="L3" s="2198"/>
      <c r="M3" s="2198"/>
      <c r="N3" s="2198"/>
      <c r="O3" s="2199"/>
    </row>
    <row r="4" spans="1:25" s="5" customFormat="1" ht="20.100000000000001" customHeight="1">
      <c r="A4" s="2566" t="s">
        <v>2</v>
      </c>
      <c r="B4" s="2081"/>
      <c r="C4" s="2081"/>
      <c r="D4" s="2081"/>
      <c r="E4" s="2081"/>
      <c r="F4" s="2081"/>
      <c r="G4" s="2081"/>
      <c r="H4" s="2081"/>
      <c r="I4" s="2081"/>
      <c r="J4" s="2081"/>
      <c r="K4" s="2081"/>
      <c r="L4" s="2081"/>
      <c r="M4" s="2081"/>
      <c r="N4" s="2081"/>
      <c r="O4" s="2082"/>
    </row>
    <row r="5" spans="1:25" s="5" customFormat="1" ht="20.100000000000001" customHeight="1">
      <c r="A5" s="2566"/>
      <c r="B5" s="2081"/>
      <c r="C5" s="2081"/>
      <c r="D5" s="2081"/>
      <c r="E5" s="2081"/>
      <c r="F5" s="2081"/>
      <c r="G5" s="2081"/>
      <c r="H5" s="2081"/>
      <c r="I5" s="2081"/>
      <c r="J5" s="2081"/>
      <c r="K5" s="2081"/>
      <c r="L5" s="2081"/>
      <c r="M5" s="2081"/>
      <c r="N5" s="2081"/>
      <c r="O5" s="2082"/>
    </row>
    <row r="6" spans="1:25" s="5" customFormat="1" ht="20.100000000000001" customHeight="1">
      <c r="A6" s="2566"/>
      <c r="B6" s="2081"/>
      <c r="C6" s="2081"/>
      <c r="D6" s="2081"/>
      <c r="E6" s="2081"/>
      <c r="F6" s="2081"/>
      <c r="G6" s="2081"/>
      <c r="H6" s="2081"/>
      <c r="I6" s="2081"/>
      <c r="J6" s="2081"/>
      <c r="K6" s="2081"/>
      <c r="L6" s="2081"/>
      <c r="M6" s="2081"/>
      <c r="N6" s="2081"/>
      <c r="O6" s="2082"/>
    </row>
    <row r="7" spans="1:25" s="5" customFormat="1" ht="20.100000000000001" customHeight="1">
      <c r="A7" s="2566"/>
      <c r="B7" s="2081"/>
      <c r="C7" s="2081"/>
      <c r="D7" s="2081"/>
      <c r="E7" s="2081"/>
      <c r="F7" s="2081"/>
      <c r="G7" s="2081"/>
      <c r="H7" s="2081"/>
      <c r="I7" s="2081"/>
      <c r="J7" s="2081"/>
      <c r="K7" s="2081"/>
      <c r="L7" s="2081"/>
      <c r="M7" s="2081"/>
      <c r="N7" s="2081"/>
      <c r="O7" s="2082"/>
    </row>
    <row r="8" spans="1:25" s="5" customFormat="1" ht="20.100000000000001" customHeight="1">
      <c r="A8" s="2566"/>
      <c r="B8" s="2081"/>
      <c r="C8" s="2081"/>
      <c r="D8" s="2081"/>
      <c r="E8" s="2081"/>
      <c r="F8" s="2081"/>
      <c r="G8" s="2081"/>
      <c r="H8" s="2081"/>
      <c r="I8" s="2081"/>
      <c r="J8" s="2081"/>
      <c r="K8" s="2081"/>
      <c r="L8" s="2081"/>
      <c r="M8" s="2081"/>
      <c r="N8" s="2081"/>
      <c r="O8" s="2082"/>
    </row>
    <row r="9" spans="1:25" s="5" customFormat="1" ht="20.100000000000001" customHeight="1">
      <c r="A9" s="2566"/>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570"/>
      <c r="B15" s="571"/>
      <c r="C15" s="11"/>
      <c r="D15" s="2238" t="s">
        <v>4</v>
      </c>
      <c r="E15" s="2239"/>
      <c r="F15" s="2239"/>
      <c r="G15" s="2239"/>
      <c r="H15" s="526"/>
      <c r="I15" s="13" t="s">
        <v>5</v>
      </c>
      <c r="J15" s="14"/>
      <c r="K15" s="14"/>
      <c r="L15" s="14"/>
      <c r="M15" s="14"/>
      <c r="N15" s="14"/>
      <c r="O15" s="15"/>
      <c r="P15" s="16"/>
      <c r="Q15" s="17"/>
      <c r="R15" s="18"/>
      <c r="S15" s="18"/>
      <c r="T15" s="18"/>
      <c r="U15" s="18"/>
      <c r="V15" s="18"/>
      <c r="W15" s="16"/>
      <c r="X15" s="16"/>
      <c r="Y15" s="17"/>
    </row>
    <row r="16" spans="1:25" s="31" customFormat="1" ht="129" customHeight="1">
      <c r="A16" s="20" t="s">
        <v>6</v>
      </c>
      <c r="B16" s="21" t="s">
        <v>7</v>
      </c>
      <c r="C16" s="22" t="s">
        <v>8</v>
      </c>
      <c r="D16" s="1381" t="s">
        <v>9</v>
      </c>
      <c r="E16" s="1382" t="s">
        <v>10</v>
      </c>
      <c r="F16" s="1382" t="s">
        <v>11</v>
      </c>
      <c r="G16" s="1383" t="s">
        <v>12</v>
      </c>
      <c r="H16" s="1384" t="s">
        <v>13</v>
      </c>
      <c r="I16" s="1385" t="s">
        <v>14</v>
      </c>
      <c r="J16" s="1385" t="s">
        <v>15</v>
      </c>
      <c r="K16" s="1385" t="s">
        <v>16</v>
      </c>
      <c r="L16" s="1385" t="s">
        <v>17</v>
      </c>
      <c r="M16" s="1386" t="s">
        <v>18</v>
      </c>
      <c r="N16" s="27" t="s">
        <v>19</v>
      </c>
      <c r="O16" s="29" t="s">
        <v>20</v>
      </c>
      <c r="P16" s="30"/>
      <c r="Q16" s="30"/>
      <c r="R16" s="30"/>
      <c r="S16" s="30"/>
      <c r="T16" s="30"/>
      <c r="U16" s="30"/>
      <c r="V16" s="30"/>
      <c r="W16" s="30"/>
      <c r="X16" s="30"/>
      <c r="Y16" s="30"/>
    </row>
    <row r="17" spans="1:25" ht="15" customHeight="1">
      <c r="A17" s="2563" t="s">
        <v>359</v>
      </c>
      <c r="B17" s="1988"/>
      <c r="C17" s="32">
        <v>2014</v>
      </c>
      <c r="D17" s="1387"/>
      <c r="E17" s="1388"/>
      <c r="F17" s="1388"/>
      <c r="G17" s="1389">
        <f t="shared" ref="G17:G23" si="0">SUM(D17:F17)</f>
        <v>0</v>
      </c>
      <c r="H17" s="1390"/>
      <c r="I17" s="1388"/>
      <c r="J17" s="1388"/>
      <c r="K17" s="1388"/>
      <c r="L17" s="1388"/>
      <c r="M17" s="1388"/>
      <c r="N17" s="34"/>
      <c r="O17" s="37"/>
      <c r="P17" s="38"/>
      <c r="Q17" s="38"/>
      <c r="R17" s="38"/>
      <c r="S17" s="38"/>
      <c r="T17" s="38"/>
      <c r="U17" s="38"/>
      <c r="V17" s="38"/>
      <c r="W17" s="38"/>
      <c r="X17" s="38"/>
      <c r="Y17" s="38"/>
    </row>
    <row r="18" spans="1:25">
      <c r="A18" s="2558"/>
      <c r="B18" s="1988"/>
      <c r="C18" s="39">
        <v>2015</v>
      </c>
      <c r="D18" s="578">
        <v>2</v>
      </c>
      <c r="E18" s="573">
        <v>5</v>
      </c>
      <c r="F18" s="573"/>
      <c r="G18" s="1389">
        <f t="shared" si="0"/>
        <v>7</v>
      </c>
      <c r="H18" s="575">
        <v>1</v>
      </c>
      <c r="I18" s="573"/>
      <c r="J18" s="573"/>
      <c r="K18" s="573">
        <v>4</v>
      </c>
      <c r="L18" s="573"/>
      <c r="M18" s="573"/>
      <c r="N18" s="573"/>
      <c r="O18" s="574">
        <v>2</v>
      </c>
      <c r="P18" s="38"/>
      <c r="Q18" s="38"/>
      <c r="R18" s="38"/>
      <c r="S18" s="38"/>
      <c r="T18" s="38"/>
      <c r="U18" s="38"/>
      <c r="V18" s="38"/>
      <c r="W18" s="38"/>
      <c r="X18" s="38"/>
      <c r="Y18" s="38"/>
    </row>
    <row r="19" spans="1:25">
      <c r="A19" s="2558"/>
      <c r="B19" s="1988"/>
      <c r="C19" s="39">
        <v>2016</v>
      </c>
      <c r="D19" s="578">
        <v>50</v>
      </c>
      <c r="E19" s="573">
        <v>4</v>
      </c>
      <c r="F19" s="573">
        <v>4</v>
      </c>
      <c r="G19" s="1389">
        <f t="shared" si="0"/>
        <v>58</v>
      </c>
      <c r="H19" s="575">
        <v>34</v>
      </c>
      <c r="I19" s="573">
        <v>2</v>
      </c>
      <c r="J19" s="573"/>
      <c r="K19" s="573">
        <v>14</v>
      </c>
      <c r="L19" s="573"/>
      <c r="M19" s="573">
        <v>3</v>
      </c>
      <c r="N19" s="573"/>
      <c r="O19" s="574">
        <v>5</v>
      </c>
      <c r="P19" s="38"/>
      <c r="Q19" s="38"/>
      <c r="R19" s="38"/>
      <c r="S19" s="38"/>
      <c r="T19" s="38"/>
      <c r="U19" s="38"/>
      <c r="V19" s="38"/>
      <c r="W19" s="38"/>
      <c r="X19" s="38"/>
      <c r="Y19" s="38"/>
    </row>
    <row r="20" spans="1:25">
      <c r="A20" s="2558"/>
      <c r="B20" s="1988"/>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2558"/>
      <c r="B21" s="1988"/>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2558"/>
      <c r="B22" s="1988"/>
      <c r="C22" s="53">
        <v>2019</v>
      </c>
      <c r="D22" s="50"/>
      <c r="E22" s="42"/>
      <c r="F22" s="42"/>
      <c r="G22" s="35">
        <f t="shared" si="0"/>
        <v>0</v>
      </c>
      <c r="H22" s="51"/>
      <c r="I22" s="42"/>
      <c r="J22" s="42"/>
      <c r="K22" s="42"/>
      <c r="L22" s="42"/>
      <c r="M22" s="42"/>
      <c r="N22" s="42"/>
      <c r="O22" s="52"/>
      <c r="P22" s="38"/>
      <c r="Q22" s="38"/>
      <c r="R22" s="38"/>
      <c r="S22" s="38"/>
      <c r="T22" s="38"/>
      <c r="U22" s="38"/>
      <c r="V22" s="38"/>
      <c r="W22" s="38"/>
      <c r="X22" s="38"/>
      <c r="Y22" s="38"/>
    </row>
    <row r="23" spans="1:25">
      <c r="A23" s="2558"/>
      <c r="B23" s="1988"/>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19.5" customHeight="1" thickBot="1">
      <c r="A24" s="1989"/>
      <c r="B24" s="1990"/>
      <c r="C24" s="54" t="s">
        <v>12</v>
      </c>
      <c r="D24" s="55">
        <f>SUM(D17:D23)</f>
        <v>52</v>
      </c>
      <c r="E24" s="56">
        <f>SUM(E17:E23)</f>
        <v>9</v>
      </c>
      <c r="F24" s="56">
        <f>SUM(F17:F23)</f>
        <v>4</v>
      </c>
      <c r="G24" s="57">
        <f>SUM(D24:F24)</f>
        <v>65</v>
      </c>
      <c r="H24" s="58">
        <f>SUM(H17:H23)</f>
        <v>35</v>
      </c>
      <c r="I24" s="59">
        <f>SUM(I17:I23)</f>
        <v>2</v>
      </c>
      <c r="J24" s="59">
        <f t="shared" ref="J24:N24" si="1">SUM(J17:J23)</f>
        <v>0</v>
      </c>
      <c r="K24" s="59">
        <f t="shared" si="1"/>
        <v>18</v>
      </c>
      <c r="L24" s="59">
        <f t="shared" si="1"/>
        <v>0</v>
      </c>
      <c r="M24" s="59">
        <f t="shared" si="1"/>
        <v>3</v>
      </c>
      <c r="N24" s="59">
        <f t="shared" si="1"/>
        <v>0</v>
      </c>
      <c r="O24" s="60">
        <f>SUM(O17:O23)</f>
        <v>7</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570"/>
      <c r="B26" s="571"/>
      <c r="C26" s="63"/>
      <c r="D26" s="2244" t="s">
        <v>4</v>
      </c>
      <c r="E26" s="2245"/>
      <c r="F26" s="2245"/>
      <c r="G26" s="2246"/>
      <c r="H26" s="16"/>
      <c r="I26" s="17"/>
      <c r="J26" s="18"/>
      <c r="K26" s="18"/>
      <c r="L26" s="18"/>
      <c r="M26" s="18"/>
      <c r="N26" s="18"/>
      <c r="O26" s="16"/>
      <c r="P26" s="16"/>
    </row>
    <row r="27" spans="1:25" s="31" customFormat="1" ht="93" customHeight="1">
      <c r="A27" s="1364"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550" t="s">
        <v>360</v>
      </c>
      <c r="B28" s="1988"/>
      <c r="C28" s="68">
        <v>2014</v>
      </c>
      <c r="D28" s="36"/>
      <c r="E28" s="34"/>
      <c r="F28" s="34"/>
      <c r="G28" s="69">
        <f>SUM(D28:F28)</f>
        <v>0</v>
      </c>
      <c r="H28" s="38"/>
      <c r="I28" s="38"/>
      <c r="J28" s="38"/>
      <c r="K28" s="38"/>
      <c r="L28" s="38"/>
      <c r="M28" s="38"/>
      <c r="N28" s="38"/>
      <c r="O28" s="38"/>
      <c r="P28" s="38"/>
      <c r="Q28" s="8"/>
    </row>
    <row r="29" spans="1:25">
      <c r="A29" s="2551"/>
      <c r="B29" s="1988"/>
      <c r="C29" s="70">
        <v>2015</v>
      </c>
      <c r="D29" s="51">
        <v>524</v>
      </c>
      <c r="E29" s="42">
        <v>10384</v>
      </c>
      <c r="F29" s="42"/>
      <c r="G29" s="69">
        <f t="shared" ref="G29:G35" si="2">SUM(D29:F29)</f>
        <v>10908</v>
      </c>
      <c r="H29" s="38"/>
      <c r="I29" s="38"/>
      <c r="J29" s="38"/>
      <c r="K29" s="38"/>
      <c r="L29" s="38"/>
      <c r="M29" s="38"/>
      <c r="N29" s="38"/>
      <c r="O29" s="38"/>
      <c r="P29" s="38"/>
      <c r="Q29" s="8"/>
    </row>
    <row r="30" spans="1:25">
      <c r="A30" s="2551"/>
      <c r="B30" s="1988"/>
      <c r="C30" s="70">
        <v>2016</v>
      </c>
      <c r="D30" s="51">
        <v>40563</v>
      </c>
      <c r="E30" s="42">
        <v>103000</v>
      </c>
      <c r="F30" s="1391">
        <v>412148</v>
      </c>
      <c r="G30" s="69">
        <f t="shared" si="2"/>
        <v>555711</v>
      </c>
      <c r="H30" s="38"/>
      <c r="I30" s="38"/>
      <c r="J30" s="38"/>
      <c r="K30" s="38"/>
      <c r="L30" s="38"/>
      <c r="M30" s="38"/>
      <c r="N30" s="38"/>
      <c r="O30" s="38"/>
      <c r="P30" s="38"/>
      <c r="Q30" s="8"/>
    </row>
    <row r="31" spans="1:25">
      <c r="A31" s="2551"/>
      <c r="B31" s="1988"/>
      <c r="C31" s="70">
        <v>2017</v>
      </c>
      <c r="D31" s="51"/>
      <c r="E31" s="42"/>
      <c r="F31" s="42"/>
      <c r="G31" s="69">
        <f t="shared" si="2"/>
        <v>0</v>
      </c>
      <c r="H31" s="38"/>
      <c r="I31" s="38"/>
      <c r="J31" s="38"/>
      <c r="K31" s="38"/>
      <c r="L31" s="38"/>
      <c r="M31" s="38"/>
      <c r="N31" s="38"/>
      <c r="O31" s="38"/>
      <c r="P31" s="38"/>
      <c r="Q31" s="8"/>
    </row>
    <row r="32" spans="1:25">
      <c r="A32" s="2551"/>
      <c r="B32" s="1988"/>
      <c r="C32" s="70">
        <v>2018</v>
      </c>
      <c r="D32" s="51"/>
      <c r="E32" s="42"/>
      <c r="F32" s="42"/>
      <c r="G32" s="69">
        <f>SUM(D32:F32)</f>
        <v>0</v>
      </c>
      <c r="H32" s="38"/>
      <c r="I32" s="38"/>
      <c r="J32" s="38"/>
      <c r="K32" s="38"/>
      <c r="L32" s="38"/>
      <c r="M32" s="38"/>
      <c r="N32" s="38"/>
      <c r="O32" s="38"/>
      <c r="P32" s="38"/>
      <c r="Q32" s="8"/>
    </row>
    <row r="33" spans="1:17">
      <c r="A33" s="2551"/>
      <c r="B33" s="1988"/>
      <c r="C33" s="72">
        <v>2019</v>
      </c>
      <c r="D33" s="51"/>
      <c r="E33" s="42"/>
      <c r="F33" s="42"/>
      <c r="G33" s="69">
        <f t="shared" si="2"/>
        <v>0</v>
      </c>
      <c r="H33" s="38"/>
      <c r="I33" s="38"/>
      <c r="J33" s="38"/>
      <c r="K33" s="38"/>
      <c r="L33" s="38"/>
      <c r="M33" s="38"/>
      <c r="N33" s="38"/>
      <c r="O33" s="38"/>
      <c r="P33" s="38"/>
      <c r="Q33" s="8"/>
    </row>
    <row r="34" spans="1:17">
      <c r="A34" s="2551"/>
      <c r="B34" s="1988"/>
      <c r="C34" s="70">
        <v>2020</v>
      </c>
      <c r="D34" s="51"/>
      <c r="E34" s="42"/>
      <c r="F34" s="42"/>
      <c r="G34" s="69">
        <f t="shared" si="2"/>
        <v>0</v>
      </c>
      <c r="H34" s="38"/>
      <c r="I34" s="38"/>
      <c r="J34" s="38"/>
      <c r="K34" s="38"/>
      <c r="L34" s="38"/>
      <c r="M34" s="38"/>
      <c r="N34" s="38"/>
      <c r="O34" s="38"/>
      <c r="P34" s="38"/>
      <c r="Q34" s="8"/>
    </row>
    <row r="35" spans="1:17" ht="20.25" customHeight="1" thickBot="1">
      <c r="A35" s="1989"/>
      <c r="B35" s="1990"/>
      <c r="C35" s="73" t="s">
        <v>12</v>
      </c>
      <c r="D35" s="58">
        <f>SUM(D28:D34)</f>
        <v>41087</v>
      </c>
      <c r="E35" s="56">
        <f>SUM(E28:E34)</f>
        <v>113384</v>
      </c>
      <c r="F35" s="56">
        <f>SUM(F28:F34)</f>
        <v>412148</v>
      </c>
      <c r="G35" s="60">
        <f t="shared" si="2"/>
        <v>566619</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576" t="s">
        <v>25</v>
      </c>
      <c r="B39" s="577" t="s">
        <v>7</v>
      </c>
      <c r="C39" s="80" t="s">
        <v>8</v>
      </c>
      <c r="D39" s="546" t="s">
        <v>26</v>
      </c>
      <c r="E39" s="352" t="s">
        <v>27</v>
      </c>
      <c r="F39" s="353"/>
      <c r="G39" s="30"/>
      <c r="H39" s="30"/>
    </row>
    <row r="40" spans="1:17">
      <c r="A40" s="2550"/>
      <c r="B40" s="1988"/>
      <c r="C40" s="84">
        <v>2014</v>
      </c>
      <c r="D40" s="33"/>
      <c r="E40" s="32"/>
      <c r="F40" s="8"/>
      <c r="G40" s="38"/>
      <c r="H40" s="38"/>
    </row>
    <row r="41" spans="1:17">
      <c r="A41" s="2551"/>
      <c r="B41" s="1988"/>
      <c r="C41" s="86">
        <v>2015</v>
      </c>
      <c r="D41" s="50">
        <v>12579</v>
      </c>
      <c r="E41" s="39">
        <v>2515</v>
      </c>
      <c r="F41" s="8"/>
      <c r="G41" s="38"/>
      <c r="H41" s="38"/>
    </row>
    <row r="42" spans="1:17">
      <c r="A42" s="2551"/>
      <c r="B42" s="1988"/>
      <c r="C42" s="86">
        <v>2016</v>
      </c>
      <c r="D42" s="50">
        <v>6729</v>
      </c>
      <c r="E42" s="39">
        <v>4115</v>
      </c>
      <c r="F42" s="8"/>
      <c r="G42" s="38"/>
      <c r="H42" s="38"/>
    </row>
    <row r="43" spans="1:17">
      <c r="A43" s="2551"/>
      <c r="B43" s="1988"/>
      <c r="C43" s="86">
        <v>2017</v>
      </c>
      <c r="D43" s="50"/>
      <c r="E43" s="39"/>
      <c r="F43" s="8"/>
      <c r="G43" s="38"/>
      <c r="H43" s="38"/>
    </row>
    <row r="44" spans="1:17">
      <c r="A44" s="2551"/>
      <c r="B44" s="1988"/>
      <c r="C44" s="86">
        <v>2018</v>
      </c>
      <c r="D44" s="50"/>
      <c r="E44" s="39"/>
      <c r="F44" s="8"/>
      <c r="G44" s="38"/>
      <c r="H44" s="38"/>
    </row>
    <row r="45" spans="1:17">
      <c r="A45" s="2551"/>
      <c r="B45" s="1988"/>
      <c r="C45" s="86">
        <v>2019</v>
      </c>
      <c r="D45" s="50"/>
      <c r="E45" s="39"/>
      <c r="F45" s="8"/>
      <c r="G45" s="38"/>
      <c r="H45" s="38"/>
    </row>
    <row r="46" spans="1:17">
      <c r="A46" s="2551"/>
      <c r="B46" s="1988"/>
      <c r="C46" s="86">
        <v>2020</v>
      </c>
      <c r="D46" s="50"/>
      <c r="E46" s="39"/>
      <c r="F46" s="8"/>
      <c r="G46" s="38"/>
      <c r="H46" s="38"/>
    </row>
    <row r="47" spans="1:17" ht="15.75" thickBot="1">
      <c r="A47" s="1989"/>
      <c r="B47" s="1990"/>
      <c r="C47" s="54" t="s">
        <v>12</v>
      </c>
      <c r="D47" s="55">
        <f>SUM(D40:D46)</f>
        <v>19308</v>
      </c>
      <c r="E47" s="419">
        <f>SUM(E40:E46)</f>
        <v>6630</v>
      </c>
      <c r="F47" s="121"/>
      <c r="G47" s="38"/>
      <c r="H47" s="38"/>
    </row>
    <row r="48" spans="1:17" s="38" customFormat="1" ht="15.75" thickBot="1">
      <c r="A48" s="549"/>
      <c r="B48" s="92"/>
      <c r="C48" s="93"/>
    </row>
    <row r="49" spans="1:15" ht="83.25" customHeight="1">
      <c r="A49" s="550" t="s">
        <v>29</v>
      </c>
      <c r="B49" s="577" t="s">
        <v>7</v>
      </c>
      <c r="C49" s="95" t="s">
        <v>8</v>
      </c>
      <c r="D49" s="546" t="s">
        <v>30</v>
      </c>
      <c r="E49" s="96" t="s">
        <v>31</v>
      </c>
      <c r="F49" s="96" t="s">
        <v>32</v>
      </c>
      <c r="G49" s="96" t="s">
        <v>33</v>
      </c>
      <c r="H49" s="96" t="s">
        <v>34</v>
      </c>
      <c r="I49" s="96" t="s">
        <v>35</v>
      </c>
      <c r="J49" s="96" t="s">
        <v>36</v>
      </c>
      <c r="K49" s="97" t="s">
        <v>37</v>
      </c>
    </row>
    <row r="50" spans="1:15" ht="17.25" customHeight="1">
      <c r="A50" s="2005"/>
      <c r="B50" s="2012"/>
      <c r="C50" s="98" t="s">
        <v>38</v>
      </c>
      <c r="D50" s="33"/>
      <c r="E50" s="34"/>
      <c r="F50" s="34"/>
      <c r="G50" s="34"/>
      <c r="H50" s="34"/>
      <c r="I50" s="34"/>
      <c r="J50" s="34"/>
      <c r="K50" s="37"/>
    </row>
    <row r="51" spans="1:15" ht="15" customHeight="1">
      <c r="A51" s="2550"/>
      <c r="B51" s="2014"/>
      <c r="C51" s="86">
        <v>2014</v>
      </c>
      <c r="D51" s="50"/>
      <c r="E51" s="42"/>
      <c r="F51" s="42"/>
      <c r="G51" s="42"/>
      <c r="H51" s="42"/>
      <c r="I51" s="42"/>
      <c r="J51" s="42"/>
      <c r="K51" s="99"/>
    </row>
    <row r="52" spans="1:15">
      <c r="A52" s="2550"/>
      <c r="B52" s="2014"/>
      <c r="C52" s="86">
        <v>2015</v>
      </c>
      <c r="D52" s="50"/>
      <c r="E52" s="42"/>
      <c r="F52" s="42"/>
      <c r="G52" s="42"/>
      <c r="H52" s="42"/>
      <c r="I52" s="42"/>
      <c r="J52" s="42"/>
      <c r="K52" s="99"/>
    </row>
    <row r="53" spans="1:15">
      <c r="A53" s="2550"/>
      <c r="B53" s="2014"/>
      <c r="C53" s="86">
        <v>2016</v>
      </c>
      <c r="D53" s="50"/>
      <c r="E53" s="42"/>
      <c r="F53" s="42"/>
      <c r="G53" s="42"/>
      <c r="H53" s="42"/>
      <c r="I53" s="42"/>
      <c r="J53" s="42"/>
      <c r="K53" s="99"/>
    </row>
    <row r="54" spans="1:15">
      <c r="A54" s="2550"/>
      <c r="B54" s="2014"/>
      <c r="C54" s="86">
        <v>2017</v>
      </c>
      <c r="D54" s="50"/>
      <c r="E54" s="42"/>
      <c r="F54" s="42"/>
      <c r="G54" s="42"/>
      <c r="H54" s="42"/>
      <c r="I54" s="42"/>
      <c r="J54" s="42"/>
      <c r="K54" s="99"/>
    </row>
    <row r="55" spans="1:15">
      <c r="A55" s="2550"/>
      <c r="B55" s="2014"/>
      <c r="C55" s="86">
        <v>2018</v>
      </c>
      <c r="D55" s="50"/>
      <c r="E55" s="42"/>
      <c r="F55" s="42"/>
      <c r="G55" s="42"/>
      <c r="H55" s="42"/>
      <c r="I55" s="42"/>
      <c r="J55" s="42"/>
      <c r="K55" s="99"/>
    </row>
    <row r="56" spans="1:15">
      <c r="A56" s="2550"/>
      <c r="B56" s="2014"/>
      <c r="C56" s="86">
        <v>2019</v>
      </c>
      <c r="D56" s="50"/>
      <c r="E56" s="42"/>
      <c r="F56" s="42"/>
      <c r="G56" s="42"/>
      <c r="H56" s="42"/>
      <c r="I56" s="42"/>
      <c r="J56" s="42"/>
      <c r="K56" s="99"/>
    </row>
    <row r="57" spans="1:15">
      <c r="A57" s="2550"/>
      <c r="B57" s="2014"/>
      <c r="C57" s="86">
        <v>2020</v>
      </c>
      <c r="D57" s="50"/>
      <c r="E57" s="42"/>
      <c r="F57" s="42"/>
      <c r="G57" s="42"/>
      <c r="H57" s="42"/>
      <c r="I57" s="42"/>
      <c r="J57" s="42"/>
      <c r="K57" s="100"/>
    </row>
    <row r="58" spans="1:15" ht="20.25" customHeight="1" thickBot="1">
      <c r="A58" s="2009"/>
      <c r="B58" s="2016"/>
      <c r="C58" s="54" t="s">
        <v>12</v>
      </c>
      <c r="D58" s="55">
        <f>SUM(D51:D57)</f>
        <v>0</v>
      </c>
      <c r="E58" s="56">
        <f>SUM(E51:E57)</f>
        <v>0</v>
      </c>
      <c r="F58" s="56">
        <f>SUM(F51:F57)</f>
        <v>0</v>
      </c>
      <c r="G58" s="56">
        <f>SUM(G51:G57)</f>
        <v>0</v>
      </c>
      <c r="H58" s="56">
        <f>SUM(H51:H57)</f>
        <v>0</v>
      </c>
      <c r="I58" s="56">
        <f t="shared" ref="I58" si="3">SUM(I51:I57)</f>
        <v>0</v>
      </c>
      <c r="J58" s="56">
        <f>SUM(J51:J57)</f>
        <v>0</v>
      </c>
      <c r="K58" s="60">
        <f>SUM(K50:K56)</f>
        <v>0</v>
      </c>
    </row>
    <row r="59" spans="1:15" ht="15.75" thickBot="1"/>
    <row r="60" spans="1:15" ht="21" customHeight="1">
      <c r="A60" s="2268" t="s">
        <v>39</v>
      </c>
      <c r="B60" s="580"/>
      <c r="C60" s="2269" t="s">
        <v>8</v>
      </c>
      <c r="D60" s="2197" t="s">
        <v>40</v>
      </c>
      <c r="E60" s="102" t="s">
        <v>5</v>
      </c>
      <c r="F60" s="484"/>
      <c r="G60" s="484"/>
      <c r="H60" s="484"/>
      <c r="I60" s="484"/>
      <c r="J60" s="484"/>
      <c r="K60" s="484"/>
      <c r="L60" s="485"/>
    </row>
    <row r="61" spans="1:15" ht="115.5" customHeight="1">
      <c r="A61" s="2100"/>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552" t="s">
        <v>361</v>
      </c>
      <c r="B62" s="2025"/>
      <c r="C62" s="112">
        <v>2014</v>
      </c>
      <c r="D62" s="113"/>
      <c r="E62" s="114"/>
      <c r="F62" s="115"/>
      <c r="G62" s="115"/>
      <c r="H62" s="115"/>
      <c r="I62" s="115"/>
      <c r="J62" s="115"/>
      <c r="K62" s="115"/>
      <c r="L62" s="37"/>
      <c r="M62" s="8"/>
      <c r="N62" s="8"/>
      <c r="O62" s="8"/>
    </row>
    <row r="63" spans="1:15">
      <c r="A63" s="2553"/>
      <c r="B63" s="2025"/>
      <c r="C63" s="116">
        <v>2015</v>
      </c>
      <c r="D63" s="190">
        <v>1</v>
      </c>
      <c r="E63" s="189"/>
      <c r="F63" s="190"/>
      <c r="G63" s="190"/>
      <c r="H63" s="190"/>
      <c r="I63" s="586"/>
      <c r="J63" s="586"/>
      <c r="K63" s="586"/>
      <c r="L63" s="192">
        <v>1</v>
      </c>
      <c r="M63" s="8"/>
      <c r="N63" s="8"/>
      <c r="O63" s="8"/>
    </row>
    <row r="64" spans="1:15">
      <c r="A64" s="2553"/>
      <c r="B64" s="2025"/>
      <c r="C64" s="116">
        <v>2016</v>
      </c>
      <c r="D64" s="190">
        <v>19</v>
      </c>
      <c r="E64" s="189"/>
      <c r="F64" s="190"/>
      <c r="G64" s="190"/>
      <c r="H64" s="190">
        <v>19</v>
      </c>
      <c r="I64" s="586"/>
      <c r="J64" s="586"/>
      <c r="K64" s="586"/>
      <c r="L64" s="595"/>
      <c r="M64" s="8"/>
      <c r="N64" s="8"/>
      <c r="O64" s="8"/>
    </row>
    <row r="65" spans="1:20">
      <c r="A65" s="2553"/>
      <c r="B65" s="2025"/>
      <c r="C65" s="116">
        <v>2017</v>
      </c>
      <c r="D65" s="117"/>
      <c r="E65" s="118"/>
      <c r="F65" s="42"/>
      <c r="G65" s="42"/>
      <c r="H65" s="42"/>
      <c r="I65" s="42"/>
      <c r="J65" s="42"/>
      <c r="K65" s="42"/>
      <c r="L65" s="99"/>
      <c r="M65" s="8"/>
      <c r="N65" s="8"/>
      <c r="O65" s="8"/>
    </row>
    <row r="66" spans="1:20">
      <c r="A66" s="2553"/>
      <c r="B66" s="2025"/>
      <c r="C66" s="116">
        <v>2018</v>
      </c>
      <c r="D66" s="117"/>
      <c r="E66" s="118"/>
      <c r="F66" s="42"/>
      <c r="G66" s="42"/>
      <c r="H66" s="42"/>
      <c r="I66" s="42"/>
      <c r="J66" s="42"/>
      <c r="K66" s="42"/>
      <c r="L66" s="99"/>
      <c r="M66" s="8"/>
      <c r="N66" s="8"/>
      <c r="O66" s="8"/>
    </row>
    <row r="67" spans="1:20" ht="17.25" customHeight="1">
      <c r="A67" s="2553"/>
      <c r="B67" s="2025"/>
      <c r="C67" s="116">
        <v>2019</v>
      </c>
      <c r="D67" s="117"/>
      <c r="E67" s="118"/>
      <c r="F67" s="42"/>
      <c r="G67" s="42"/>
      <c r="H67" s="42"/>
      <c r="I67" s="42"/>
      <c r="J67" s="42"/>
      <c r="K67" s="42"/>
      <c r="L67" s="99"/>
      <c r="M67" s="8"/>
      <c r="N67" s="8"/>
      <c r="O67" s="8"/>
    </row>
    <row r="68" spans="1:20" ht="16.5" customHeight="1">
      <c r="A68" s="2553"/>
      <c r="B68" s="2025"/>
      <c r="C68" s="116">
        <v>2020</v>
      </c>
      <c r="D68" s="117"/>
      <c r="E68" s="118"/>
      <c r="F68" s="42"/>
      <c r="G68" s="42"/>
      <c r="H68" s="42"/>
      <c r="I68" s="42"/>
      <c r="J68" s="42"/>
      <c r="K68" s="42"/>
      <c r="L68" s="99"/>
      <c r="M68" s="121"/>
      <c r="N68" s="121"/>
      <c r="O68" s="121"/>
    </row>
    <row r="69" spans="1:20" ht="18" customHeight="1" thickBot="1">
      <c r="A69" s="2134"/>
      <c r="B69" s="2027"/>
      <c r="C69" s="122" t="s">
        <v>12</v>
      </c>
      <c r="D69" s="123">
        <f>SUM(D62:D68)</f>
        <v>20</v>
      </c>
      <c r="E69" s="124">
        <f>SUM(E62:E68)</f>
        <v>0</v>
      </c>
      <c r="F69" s="125">
        <f t="shared" ref="F69:I69" si="4">SUM(F62:F68)</f>
        <v>0</v>
      </c>
      <c r="G69" s="125">
        <f t="shared" si="4"/>
        <v>0</v>
      </c>
      <c r="H69" s="125">
        <f t="shared" si="4"/>
        <v>19</v>
      </c>
      <c r="I69" s="125">
        <f t="shared" si="4"/>
        <v>0</v>
      </c>
      <c r="J69" s="125"/>
      <c r="K69" s="125">
        <f>SUM(K62:K68)</f>
        <v>0</v>
      </c>
      <c r="L69" s="126">
        <f>SUM(L62:L68)</f>
        <v>1</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576" t="s">
        <v>42</v>
      </c>
      <c r="B71" s="577" t="s">
        <v>7</v>
      </c>
      <c r="C71" s="80" t="s">
        <v>8</v>
      </c>
      <c r="D71" s="132" t="s">
        <v>43</v>
      </c>
      <c r="E71" s="132" t="s">
        <v>44</v>
      </c>
      <c r="F71" s="133" t="s">
        <v>45</v>
      </c>
      <c r="G71" s="488" t="s">
        <v>46</v>
      </c>
      <c r="H71" s="135" t="s">
        <v>13</v>
      </c>
      <c r="I71" s="136" t="s">
        <v>14</v>
      </c>
      <c r="J71" s="137" t="s">
        <v>15</v>
      </c>
      <c r="K71" s="136" t="s">
        <v>16</v>
      </c>
      <c r="L71" s="136" t="s">
        <v>17</v>
      </c>
      <c r="M71" s="138" t="s">
        <v>18</v>
      </c>
      <c r="N71" s="137" t="s">
        <v>19</v>
      </c>
      <c r="O71" s="139" t="s">
        <v>20</v>
      </c>
    </row>
    <row r="72" spans="1:20" ht="15" customHeight="1">
      <c r="A72" s="2550" t="s">
        <v>362</v>
      </c>
      <c r="B72" s="2025"/>
      <c r="C72" s="84">
        <v>2014</v>
      </c>
      <c r="D72" s="140"/>
      <c r="E72" s="140"/>
      <c r="F72" s="140"/>
      <c r="G72" s="141">
        <f>SUM(D72:F72)</f>
        <v>0</v>
      </c>
      <c r="H72" s="33"/>
      <c r="I72" s="142"/>
      <c r="J72" s="115"/>
      <c r="K72" s="115"/>
      <c r="L72" s="115"/>
      <c r="M72" s="115"/>
      <c r="N72" s="115"/>
      <c r="O72" s="143"/>
    </row>
    <row r="73" spans="1:20">
      <c r="A73" s="2551"/>
      <c r="B73" s="2025"/>
      <c r="C73" s="86">
        <v>2015</v>
      </c>
      <c r="D73" s="147"/>
      <c r="E73" s="147">
        <v>2</v>
      </c>
      <c r="F73" s="147"/>
      <c r="G73" s="141">
        <f t="shared" ref="G73:G78" si="5">SUM(D73:F73)</f>
        <v>2</v>
      </c>
      <c r="H73" s="50"/>
      <c r="I73" s="50"/>
      <c r="J73" s="42"/>
      <c r="K73" s="42">
        <v>2</v>
      </c>
      <c r="L73" s="42"/>
      <c r="M73" s="42"/>
      <c r="N73" s="42"/>
      <c r="O73" s="99"/>
    </row>
    <row r="74" spans="1:20">
      <c r="A74" s="2551"/>
      <c r="B74" s="2025"/>
      <c r="C74" s="86">
        <v>2016</v>
      </c>
      <c r="D74" s="468">
        <v>5</v>
      </c>
      <c r="E74" s="468">
        <v>4</v>
      </c>
      <c r="F74" s="468"/>
      <c r="G74" s="1392">
        <f t="shared" si="5"/>
        <v>9</v>
      </c>
      <c r="H74" s="231"/>
      <c r="I74" s="231">
        <v>1</v>
      </c>
      <c r="J74" s="190"/>
      <c r="K74" s="190">
        <v>8</v>
      </c>
      <c r="L74" s="190"/>
      <c r="M74" s="190"/>
      <c r="N74" s="190"/>
      <c r="O74" s="99"/>
    </row>
    <row r="75" spans="1:20">
      <c r="A75" s="2551"/>
      <c r="B75" s="2025"/>
      <c r="C75" s="86">
        <v>2017</v>
      </c>
      <c r="D75" s="468"/>
      <c r="E75" s="468"/>
      <c r="F75" s="468"/>
      <c r="G75" s="1392">
        <f t="shared" si="5"/>
        <v>0</v>
      </c>
      <c r="H75" s="231"/>
      <c r="I75" s="231"/>
      <c r="J75" s="190"/>
      <c r="K75" s="190"/>
      <c r="L75" s="190"/>
      <c r="M75" s="190"/>
      <c r="N75" s="190"/>
      <c r="O75" s="99"/>
    </row>
    <row r="76" spans="1:20">
      <c r="A76" s="2551"/>
      <c r="B76" s="2025"/>
      <c r="C76" s="86">
        <v>2018</v>
      </c>
      <c r="D76" s="404"/>
      <c r="E76" s="404"/>
      <c r="F76" s="404"/>
      <c r="G76" s="1392">
        <f t="shared" si="5"/>
        <v>0</v>
      </c>
      <c r="H76" s="1393"/>
      <c r="I76" s="1393"/>
      <c r="J76" s="586"/>
      <c r="K76" s="586"/>
      <c r="L76" s="42"/>
      <c r="M76" s="42"/>
      <c r="N76" s="42"/>
      <c r="O76" s="99"/>
    </row>
    <row r="77" spans="1:20" ht="15.75" customHeight="1">
      <c r="A77" s="2551"/>
      <c r="B77" s="2025"/>
      <c r="C77" s="86">
        <v>2019</v>
      </c>
      <c r="D77" s="147"/>
      <c r="E77" s="147"/>
      <c r="F77" s="147"/>
      <c r="G77" s="141">
        <f t="shared" si="5"/>
        <v>0</v>
      </c>
      <c r="H77" s="50"/>
      <c r="I77" s="50"/>
      <c r="J77" s="42"/>
      <c r="K77" s="42"/>
      <c r="L77" s="42"/>
      <c r="M77" s="42"/>
      <c r="N77" s="42"/>
      <c r="O77" s="99"/>
    </row>
    <row r="78" spans="1:20" ht="17.25" customHeight="1">
      <c r="A78" s="2551"/>
      <c r="B78" s="2025"/>
      <c r="C78" s="86">
        <v>2020</v>
      </c>
      <c r="D78" s="147"/>
      <c r="E78" s="147"/>
      <c r="F78" s="147"/>
      <c r="G78" s="141">
        <f t="shared" si="5"/>
        <v>0</v>
      </c>
      <c r="H78" s="50"/>
      <c r="I78" s="50"/>
      <c r="J78" s="42"/>
      <c r="K78" s="42"/>
      <c r="L78" s="42"/>
      <c r="M78" s="42"/>
      <c r="N78" s="42"/>
      <c r="O78" s="99"/>
    </row>
    <row r="79" spans="1:20" ht="20.25" customHeight="1" thickBot="1">
      <c r="A79" s="2134"/>
      <c r="B79" s="2027"/>
      <c r="C79" s="148" t="s">
        <v>12</v>
      </c>
      <c r="D79" s="123">
        <f>SUM(D72:D78)</f>
        <v>5</v>
      </c>
      <c r="E79" s="123">
        <f>SUM(E72:E78)</f>
        <v>6</v>
      </c>
      <c r="F79" s="123">
        <f>SUM(F72:F78)</f>
        <v>0</v>
      </c>
      <c r="G79" s="149">
        <f>SUM(G72:G78)</f>
        <v>11</v>
      </c>
      <c r="H79" s="150">
        <v>0</v>
      </c>
      <c r="I79" s="151">
        <f t="shared" ref="I79:O79" si="6">SUM(I72:I78)</f>
        <v>1</v>
      </c>
      <c r="J79" s="125">
        <f t="shared" si="6"/>
        <v>0</v>
      </c>
      <c r="K79" s="125">
        <f t="shared" si="6"/>
        <v>10</v>
      </c>
      <c r="L79" s="125">
        <f t="shared" si="6"/>
        <v>0</v>
      </c>
      <c r="M79" s="125">
        <f t="shared" si="6"/>
        <v>0</v>
      </c>
      <c r="N79" s="125">
        <f t="shared" si="6"/>
        <v>0</v>
      </c>
      <c r="O79" s="126">
        <f t="shared" si="6"/>
        <v>0</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583" t="s">
        <v>49</v>
      </c>
      <c r="B84" s="584" t="s">
        <v>50</v>
      </c>
      <c r="C84" s="161" t="s">
        <v>8</v>
      </c>
      <c r="D84" s="491" t="s">
        <v>51</v>
      </c>
      <c r="E84" s="163" t="s">
        <v>52</v>
      </c>
      <c r="F84" s="164" t="s">
        <v>53</v>
      </c>
      <c r="G84" s="164" t="s">
        <v>54</v>
      </c>
      <c r="H84" s="164" t="s">
        <v>55</v>
      </c>
      <c r="I84" s="164" t="s">
        <v>56</v>
      </c>
      <c r="J84" s="164" t="s">
        <v>57</v>
      </c>
      <c r="K84" s="165" t="s">
        <v>58</v>
      </c>
    </row>
    <row r="85" spans="1:16" ht="15" customHeight="1">
      <c r="A85" s="2567" t="s">
        <v>363</v>
      </c>
      <c r="B85" s="2025"/>
      <c r="C85" s="84">
        <v>2014</v>
      </c>
      <c r="D85" s="166"/>
      <c r="E85" s="167"/>
      <c r="F85" s="34"/>
      <c r="G85" s="34"/>
      <c r="H85" s="34"/>
      <c r="I85" s="34"/>
      <c r="J85" s="34"/>
      <c r="K85" s="37"/>
    </row>
    <row r="86" spans="1:16">
      <c r="A86" s="2555"/>
      <c r="B86" s="2025"/>
      <c r="C86" s="86">
        <v>2015</v>
      </c>
      <c r="D86" s="168">
        <v>30</v>
      </c>
      <c r="E86" s="118"/>
      <c r="F86" s="42"/>
      <c r="G86" s="42"/>
      <c r="H86" s="42"/>
      <c r="I86" s="42"/>
      <c r="J86" s="42"/>
      <c r="K86" s="99">
        <v>30</v>
      </c>
    </row>
    <row r="87" spans="1:16">
      <c r="A87" s="2555"/>
      <c r="B87" s="2025"/>
      <c r="C87" s="1394">
        <v>2016</v>
      </c>
      <c r="D87" s="233"/>
      <c r="E87" s="189"/>
      <c r="F87" s="190"/>
      <c r="G87" s="190"/>
      <c r="H87" s="190"/>
      <c r="I87" s="190"/>
      <c r="J87" s="190"/>
      <c r="K87" s="193"/>
    </row>
    <row r="88" spans="1:16">
      <c r="A88" s="2555"/>
      <c r="B88" s="2025"/>
      <c r="C88" s="86">
        <v>2017</v>
      </c>
      <c r="D88" s="168"/>
      <c r="E88" s="118"/>
      <c r="F88" s="42"/>
      <c r="G88" s="42"/>
      <c r="H88" s="42"/>
      <c r="I88" s="42"/>
      <c r="J88" s="42"/>
      <c r="K88" s="99"/>
    </row>
    <row r="89" spans="1:16">
      <c r="A89" s="2555"/>
      <c r="B89" s="2025"/>
      <c r="C89" s="86">
        <v>2018</v>
      </c>
      <c r="D89" s="168"/>
      <c r="E89" s="118"/>
      <c r="F89" s="42"/>
      <c r="G89" s="42"/>
      <c r="H89" s="42"/>
      <c r="I89" s="42"/>
      <c r="J89" s="42"/>
      <c r="K89" s="99"/>
    </row>
    <row r="90" spans="1:16">
      <c r="A90" s="2555"/>
      <c r="B90" s="2025"/>
      <c r="C90" s="86">
        <v>2019</v>
      </c>
      <c r="D90" s="168"/>
      <c r="E90" s="118"/>
      <c r="F90" s="42"/>
      <c r="G90" s="42"/>
      <c r="H90" s="42"/>
      <c r="I90" s="42"/>
      <c r="J90" s="42"/>
      <c r="K90" s="99"/>
    </row>
    <row r="91" spans="1:16">
      <c r="A91" s="2555"/>
      <c r="B91" s="2025"/>
      <c r="C91" s="86">
        <v>2020</v>
      </c>
      <c r="D91" s="168"/>
      <c r="E91" s="118"/>
      <c r="F91" s="42"/>
      <c r="G91" s="42"/>
      <c r="H91" s="42"/>
      <c r="I91" s="42"/>
      <c r="J91" s="42"/>
      <c r="K91" s="99"/>
    </row>
    <row r="92" spans="1:16" ht="18" customHeight="1" thickBot="1">
      <c r="A92" s="2073"/>
      <c r="B92" s="2027"/>
      <c r="C92" s="148" t="s">
        <v>12</v>
      </c>
      <c r="D92" s="169">
        <f t="shared" ref="D92:I92" si="7">SUM(D85:D91)</f>
        <v>30</v>
      </c>
      <c r="E92" s="124">
        <f t="shared" si="7"/>
        <v>0</v>
      </c>
      <c r="F92" s="125">
        <f t="shared" si="7"/>
        <v>0</v>
      </c>
      <c r="G92" s="125">
        <f t="shared" si="7"/>
        <v>0</v>
      </c>
      <c r="H92" s="125">
        <f t="shared" si="7"/>
        <v>0</v>
      </c>
      <c r="I92" s="125">
        <f t="shared" si="7"/>
        <v>0</v>
      </c>
      <c r="J92" s="125">
        <f>SUM(J85:J91)</f>
        <v>0</v>
      </c>
      <c r="K92" s="126">
        <f>SUM(K85:K91)</f>
        <v>30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270" t="s">
        <v>60</v>
      </c>
      <c r="B96" s="2271" t="s">
        <v>61</v>
      </c>
      <c r="C96" s="2272" t="s">
        <v>8</v>
      </c>
      <c r="D96" s="2207" t="s">
        <v>62</v>
      </c>
      <c r="E96" s="2208"/>
      <c r="F96" s="174" t="s">
        <v>63</v>
      </c>
      <c r="G96" s="493"/>
      <c r="H96" s="493"/>
      <c r="I96" s="493"/>
      <c r="J96" s="493"/>
      <c r="K96" s="493"/>
      <c r="L96" s="493"/>
      <c r="M96" s="494"/>
      <c r="N96" s="177"/>
      <c r="O96" s="177"/>
      <c r="P96" s="177"/>
    </row>
    <row r="97" spans="1:16" ht="100.5" customHeight="1">
      <c r="A97" s="2041"/>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552" t="s">
        <v>364</v>
      </c>
      <c r="B98" s="2025"/>
      <c r="C98" s="112">
        <v>2014</v>
      </c>
      <c r="D98" s="33"/>
      <c r="E98" s="34"/>
      <c r="F98" s="186"/>
      <c r="G98" s="187"/>
      <c r="H98" s="187"/>
      <c r="I98" s="187"/>
      <c r="J98" s="187"/>
      <c r="K98" s="187"/>
      <c r="L98" s="187"/>
      <c r="M98" s="188"/>
      <c r="N98" s="177"/>
      <c r="O98" s="177"/>
      <c r="P98" s="177"/>
    </row>
    <row r="99" spans="1:16" ht="16.5" customHeight="1">
      <c r="A99" s="2553"/>
      <c r="B99" s="2025"/>
      <c r="C99" s="116">
        <v>2015</v>
      </c>
      <c r="D99" s="50">
        <v>1</v>
      </c>
      <c r="E99" s="42">
        <v>2</v>
      </c>
      <c r="F99" s="189"/>
      <c r="G99" s="190"/>
      <c r="H99" s="190"/>
      <c r="I99" s="190"/>
      <c r="J99" s="190"/>
      <c r="K99" s="190"/>
      <c r="L99" s="190"/>
      <c r="M99" s="193">
        <v>1</v>
      </c>
      <c r="N99" s="177"/>
      <c r="O99" s="177"/>
      <c r="P99" s="177"/>
    </row>
    <row r="100" spans="1:16" ht="16.5" customHeight="1">
      <c r="A100" s="2553"/>
      <c r="B100" s="2025"/>
      <c r="C100" s="116">
        <v>2016</v>
      </c>
      <c r="D100" s="231">
        <v>1</v>
      </c>
      <c r="E100" s="190">
        <v>6</v>
      </c>
      <c r="F100" s="189"/>
      <c r="G100" s="190"/>
      <c r="H100" s="190"/>
      <c r="I100" s="190"/>
      <c r="J100" s="190"/>
      <c r="K100" s="190"/>
      <c r="L100" s="190"/>
      <c r="M100" s="193">
        <v>1</v>
      </c>
      <c r="N100" s="177"/>
      <c r="O100" s="177"/>
      <c r="P100" s="177"/>
    </row>
    <row r="101" spans="1:16" ht="16.5" customHeight="1">
      <c r="A101" s="2553"/>
      <c r="B101" s="2025"/>
      <c r="C101" s="116">
        <v>2017</v>
      </c>
      <c r="D101" s="50"/>
      <c r="E101" s="42"/>
      <c r="F101" s="189"/>
      <c r="G101" s="190"/>
      <c r="H101" s="190"/>
      <c r="I101" s="190"/>
      <c r="J101" s="190"/>
      <c r="K101" s="190"/>
      <c r="L101" s="190"/>
      <c r="M101" s="193"/>
      <c r="N101" s="177"/>
      <c r="O101" s="177"/>
      <c r="P101" s="177"/>
    </row>
    <row r="102" spans="1:16" ht="15.75" customHeight="1">
      <c r="A102" s="2553"/>
      <c r="B102" s="2025"/>
      <c r="C102" s="116">
        <v>2018</v>
      </c>
      <c r="D102" s="50"/>
      <c r="E102" s="42"/>
      <c r="F102" s="189"/>
      <c r="G102" s="190"/>
      <c r="H102" s="190"/>
      <c r="I102" s="190"/>
      <c r="J102" s="190"/>
      <c r="K102" s="190"/>
      <c r="L102" s="190"/>
      <c r="M102" s="193"/>
      <c r="N102" s="177"/>
      <c r="O102" s="177"/>
      <c r="P102" s="177"/>
    </row>
    <row r="103" spans="1:16" ht="14.25" customHeight="1">
      <c r="A103" s="2553"/>
      <c r="B103" s="2025"/>
      <c r="C103" s="116">
        <v>2019</v>
      </c>
      <c r="D103" s="50"/>
      <c r="E103" s="42"/>
      <c r="F103" s="189"/>
      <c r="G103" s="190"/>
      <c r="H103" s="190"/>
      <c r="I103" s="190"/>
      <c r="J103" s="190"/>
      <c r="K103" s="190"/>
      <c r="L103" s="190"/>
      <c r="M103" s="193"/>
      <c r="N103" s="177"/>
      <c r="O103" s="177"/>
      <c r="P103" s="177"/>
    </row>
    <row r="104" spans="1:16" ht="14.25" customHeight="1">
      <c r="A104" s="2553"/>
      <c r="B104" s="2025"/>
      <c r="C104" s="116">
        <v>2020</v>
      </c>
      <c r="D104" s="50"/>
      <c r="E104" s="42"/>
      <c r="F104" s="189"/>
      <c r="G104" s="190"/>
      <c r="H104" s="190"/>
      <c r="I104" s="190"/>
      <c r="J104" s="190"/>
      <c r="K104" s="190"/>
      <c r="L104" s="190"/>
      <c r="M104" s="193"/>
      <c r="N104" s="177"/>
      <c r="O104" s="177"/>
      <c r="P104" s="177"/>
    </row>
    <row r="105" spans="1:16" ht="19.5" customHeight="1" thickBot="1">
      <c r="A105" s="2046"/>
      <c r="B105" s="2027"/>
      <c r="C105" s="122" t="s">
        <v>12</v>
      </c>
      <c r="D105" s="151">
        <f>SUM(D98:D104)</f>
        <v>2</v>
      </c>
      <c r="E105" s="125">
        <f t="shared" ref="E105:K105" si="8">SUM(E98:E104)</f>
        <v>8</v>
      </c>
      <c r="F105" s="194">
        <f t="shared" si="8"/>
        <v>0</v>
      </c>
      <c r="G105" s="195">
        <f t="shared" si="8"/>
        <v>0</v>
      </c>
      <c r="H105" s="195">
        <f t="shared" si="8"/>
        <v>0</v>
      </c>
      <c r="I105" s="195">
        <f>SUM(I98:I104)</f>
        <v>0</v>
      </c>
      <c r="J105" s="195">
        <f t="shared" si="8"/>
        <v>0</v>
      </c>
      <c r="K105" s="195">
        <f t="shared" si="8"/>
        <v>0</v>
      </c>
      <c r="L105" s="195">
        <f>SUM(L98:L104)</f>
        <v>0</v>
      </c>
      <c r="M105" s="196">
        <f>SUM(M98:M104)</f>
        <v>2</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270" t="s">
        <v>69</v>
      </c>
      <c r="B107" s="2271" t="s">
        <v>61</v>
      </c>
      <c r="C107" s="2272" t="s">
        <v>8</v>
      </c>
      <c r="D107" s="2210" t="s">
        <v>70</v>
      </c>
      <c r="E107" s="174" t="s">
        <v>71</v>
      </c>
      <c r="F107" s="493"/>
      <c r="G107" s="493"/>
      <c r="H107" s="493"/>
      <c r="I107" s="493"/>
      <c r="J107" s="493"/>
      <c r="K107" s="493"/>
      <c r="L107" s="494"/>
      <c r="M107" s="199"/>
      <c r="N107" s="199"/>
    </row>
    <row r="108" spans="1:16" ht="103.5" customHeight="1">
      <c r="A108" s="2041"/>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552"/>
      <c r="B109" s="2025"/>
      <c r="C109" s="112">
        <v>2014</v>
      </c>
      <c r="D109" s="34"/>
      <c r="E109" s="186"/>
      <c r="F109" s="187"/>
      <c r="G109" s="187"/>
      <c r="H109" s="187"/>
      <c r="I109" s="187"/>
      <c r="J109" s="187"/>
      <c r="K109" s="187"/>
      <c r="L109" s="188"/>
      <c r="M109" s="199"/>
      <c r="N109" s="199"/>
    </row>
    <row r="110" spans="1:16">
      <c r="A110" s="2553"/>
      <c r="B110" s="2025"/>
      <c r="C110" s="116">
        <v>2015</v>
      </c>
      <c r="D110" s="42"/>
      <c r="E110" s="189"/>
      <c r="F110" s="190"/>
      <c r="G110" s="190"/>
      <c r="H110" s="190"/>
      <c r="I110" s="190"/>
      <c r="J110" s="190"/>
      <c r="K110" s="190"/>
      <c r="L110" s="193"/>
      <c r="M110" s="199"/>
      <c r="N110" s="199"/>
    </row>
    <row r="111" spans="1:16">
      <c r="A111" s="2553"/>
      <c r="B111" s="2025"/>
      <c r="C111" s="116">
        <v>2016</v>
      </c>
      <c r="D111" s="42"/>
      <c r="E111" s="189"/>
      <c r="F111" s="190"/>
      <c r="G111" s="190"/>
      <c r="H111" s="190"/>
      <c r="I111" s="190"/>
      <c r="J111" s="190"/>
      <c r="K111" s="190"/>
      <c r="L111" s="193"/>
      <c r="M111" s="199"/>
      <c r="N111" s="199"/>
    </row>
    <row r="112" spans="1:16">
      <c r="A112" s="2553"/>
      <c r="B112" s="2025"/>
      <c r="C112" s="116">
        <v>2017</v>
      </c>
      <c r="D112" s="42"/>
      <c r="E112" s="189"/>
      <c r="F112" s="190"/>
      <c r="G112" s="190"/>
      <c r="H112" s="190"/>
      <c r="I112" s="190"/>
      <c r="J112" s="190"/>
      <c r="K112" s="190"/>
      <c r="L112" s="193"/>
      <c r="M112" s="199"/>
      <c r="N112" s="199"/>
    </row>
    <row r="113" spans="1:14">
      <c r="A113" s="2553"/>
      <c r="B113" s="2025"/>
      <c r="C113" s="116">
        <v>2018</v>
      </c>
      <c r="D113" s="42"/>
      <c r="E113" s="189"/>
      <c r="F113" s="190"/>
      <c r="G113" s="190"/>
      <c r="H113" s="190"/>
      <c r="I113" s="190"/>
      <c r="J113" s="190"/>
      <c r="K113" s="190"/>
      <c r="L113" s="193"/>
      <c r="M113" s="199"/>
      <c r="N113" s="199"/>
    </row>
    <row r="114" spans="1:14">
      <c r="A114" s="2553"/>
      <c r="B114" s="2025"/>
      <c r="C114" s="116">
        <v>2019</v>
      </c>
      <c r="D114" s="42"/>
      <c r="E114" s="189"/>
      <c r="F114" s="190"/>
      <c r="G114" s="190"/>
      <c r="H114" s="190"/>
      <c r="I114" s="190"/>
      <c r="J114" s="190"/>
      <c r="K114" s="190"/>
      <c r="L114" s="193"/>
      <c r="M114" s="199"/>
      <c r="N114" s="199"/>
    </row>
    <row r="115" spans="1:14">
      <c r="A115" s="2553"/>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270" t="s">
        <v>72</v>
      </c>
      <c r="B118" s="2271" t="s">
        <v>61</v>
      </c>
      <c r="C118" s="2272" t="s">
        <v>8</v>
      </c>
      <c r="D118" s="2210" t="s">
        <v>73</v>
      </c>
      <c r="E118" s="174" t="s">
        <v>71</v>
      </c>
      <c r="F118" s="493"/>
      <c r="G118" s="493"/>
      <c r="H118" s="493"/>
      <c r="I118" s="493"/>
      <c r="J118" s="493"/>
      <c r="K118" s="493"/>
      <c r="L118" s="494"/>
      <c r="M118" s="199"/>
      <c r="N118" s="199"/>
    </row>
    <row r="119" spans="1:14" ht="120.75" customHeight="1">
      <c r="A119" s="2041"/>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552"/>
      <c r="B120" s="2025"/>
      <c r="C120" s="112">
        <v>2014</v>
      </c>
      <c r="D120" s="34"/>
      <c r="E120" s="186"/>
      <c r="F120" s="187"/>
      <c r="G120" s="187"/>
      <c r="H120" s="187"/>
      <c r="I120" s="187"/>
      <c r="J120" s="187"/>
      <c r="K120" s="187"/>
      <c r="L120" s="188"/>
      <c r="M120" s="199"/>
      <c r="N120" s="199"/>
    </row>
    <row r="121" spans="1:14">
      <c r="A121" s="2553"/>
      <c r="B121" s="2025"/>
      <c r="C121" s="116">
        <v>2015</v>
      </c>
      <c r="D121" s="42"/>
      <c r="E121" s="189"/>
      <c r="F121" s="190"/>
      <c r="G121" s="190"/>
      <c r="H121" s="190"/>
      <c r="I121" s="190"/>
      <c r="J121" s="190"/>
      <c r="K121" s="190"/>
      <c r="L121" s="193"/>
      <c r="M121" s="199"/>
      <c r="N121" s="199"/>
    </row>
    <row r="122" spans="1:14">
      <c r="A122" s="2553"/>
      <c r="B122" s="2025"/>
      <c r="C122" s="116">
        <v>2016</v>
      </c>
      <c r="D122" s="42"/>
      <c r="E122" s="189"/>
      <c r="F122" s="190"/>
      <c r="G122" s="190"/>
      <c r="H122" s="190"/>
      <c r="I122" s="190"/>
      <c r="J122" s="190"/>
      <c r="K122" s="190"/>
      <c r="L122" s="193"/>
      <c r="M122" s="199"/>
      <c r="N122" s="199"/>
    </row>
    <row r="123" spans="1:14">
      <c r="A123" s="2553"/>
      <c r="B123" s="2025"/>
      <c r="C123" s="116">
        <v>2017</v>
      </c>
      <c r="D123" s="42"/>
      <c r="E123" s="189"/>
      <c r="F123" s="190"/>
      <c r="G123" s="190"/>
      <c r="H123" s="190"/>
      <c r="I123" s="190"/>
      <c r="J123" s="190"/>
      <c r="K123" s="190"/>
      <c r="L123" s="193"/>
      <c r="M123" s="199"/>
      <c r="N123" s="199"/>
    </row>
    <row r="124" spans="1:14">
      <c r="A124" s="2553"/>
      <c r="B124" s="2025"/>
      <c r="C124" s="116">
        <v>2018</v>
      </c>
      <c r="D124" s="42"/>
      <c r="E124" s="189"/>
      <c r="F124" s="190"/>
      <c r="G124" s="190"/>
      <c r="H124" s="190"/>
      <c r="I124" s="190"/>
      <c r="J124" s="190"/>
      <c r="K124" s="190"/>
      <c r="L124" s="193"/>
      <c r="M124" s="199"/>
      <c r="N124" s="199"/>
    </row>
    <row r="125" spans="1:14">
      <c r="A125" s="2553"/>
      <c r="B125" s="2025"/>
      <c r="C125" s="116">
        <v>2019</v>
      </c>
      <c r="D125" s="42"/>
      <c r="E125" s="189"/>
      <c r="F125" s="190"/>
      <c r="G125" s="190"/>
      <c r="H125" s="190"/>
      <c r="I125" s="190"/>
      <c r="J125" s="190"/>
      <c r="K125" s="190"/>
      <c r="L125" s="193"/>
      <c r="M125" s="199"/>
      <c r="N125" s="199"/>
    </row>
    <row r="126" spans="1:14">
      <c r="A126" s="2553"/>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270" t="s">
        <v>74</v>
      </c>
      <c r="B129" s="2271" t="s">
        <v>61</v>
      </c>
      <c r="C129" s="1376" t="s">
        <v>8</v>
      </c>
      <c r="D129" s="496" t="s">
        <v>75</v>
      </c>
      <c r="E129" s="497"/>
      <c r="F129" s="497"/>
      <c r="G129" s="498"/>
      <c r="H129" s="199"/>
      <c r="I129" s="199"/>
      <c r="J129" s="199"/>
      <c r="K129" s="199"/>
      <c r="L129" s="199"/>
      <c r="M129" s="199"/>
      <c r="N129" s="199"/>
    </row>
    <row r="130" spans="1:16" ht="77.25" customHeight="1">
      <c r="A130" s="2041"/>
      <c r="B130" s="2043"/>
      <c r="C130" s="1373"/>
      <c r="D130" s="178" t="s">
        <v>76</v>
      </c>
      <c r="E130" s="207" t="s">
        <v>77</v>
      </c>
      <c r="F130" s="179" t="s">
        <v>78</v>
      </c>
      <c r="G130" s="208" t="s">
        <v>12</v>
      </c>
      <c r="H130" s="199"/>
      <c r="I130" s="199"/>
      <c r="J130" s="199"/>
      <c r="K130" s="199"/>
      <c r="L130" s="199"/>
      <c r="M130" s="199"/>
      <c r="N130" s="199"/>
    </row>
    <row r="131" spans="1:16" ht="15" customHeight="1">
      <c r="A131" s="2550"/>
      <c r="B131" s="1988"/>
      <c r="C131" s="112">
        <v>2015</v>
      </c>
      <c r="D131" s="33">
        <v>35</v>
      </c>
      <c r="E131" s="34"/>
      <c r="F131" s="34"/>
      <c r="G131" s="209">
        <f t="shared" ref="G131:G136" si="11">SUM(D131:F131)</f>
        <v>35</v>
      </c>
      <c r="H131" s="199"/>
      <c r="I131" s="199"/>
      <c r="J131" s="199"/>
      <c r="K131" s="199"/>
      <c r="L131" s="199"/>
      <c r="M131" s="199"/>
      <c r="N131" s="199"/>
    </row>
    <row r="132" spans="1:16">
      <c r="A132" s="2551"/>
      <c r="B132" s="1988"/>
      <c r="C132" s="116">
        <v>2016</v>
      </c>
      <c r="D132" s="50">
        <v>91</v>
      </c>
      <c r="E132" s="42"/>
      <c r="F132" s="42"/>
      <c r="G132" s="209">
        <f t="shared" si="11"/>
        <v>91</v>
      </c>
      <c r="H132" s="199"/>
      <c r="I132" s="199"/>
      <c r="J132" s="199"/>
      <c r="K132" s="199"/>
      <c r="L132" s="199"/>
      <c r="M132" s="199"/>
      <c r="N132" s="199"/>
    </row>
    <row r="133" spans="1:16">
      <c r="A133" s="2551"/>
      <c r="B133" s="1988"/>
      <c r="C133" s="116">
        <v>2017</v>
      </c>
      <c r="D133" s="50"/>
      <c r="E133" s="42"/>
      <c r="F133" s="42"/>
      <c r="G133" s="209">
        <f t="shared" si="11"/>
        <v>0</v>
      </c>
      <c r="H133" s="199"/>
      <c r="I133" s="199"/>
      <c r="J133" s="199"/>
      <c r="K133" s="199"/>
      <c r="L133" s="199"/>
      <c r="M133" s="199"/>
      <c r="N133" s="199"/>
    </row>
    <row r="134" spans="1:16">
      <c r="A134" s="2551"/>
      <c r="B134" s="1988"/>
      <c r="C134" s="116">
        <v>2018</v>
      </c>
      <c r="D134" s="50"/>
      <c r="E134" s="42"/>
      <c r="F134" s="42"/>
      <c r="G134" s="209">
        <f t="shared" si="11"/>
        <v>0</v>
      </c>
      <c r="H134" s="199"/>
      <c r="I134" s="199"/>
      <c r="J134" s="199"/>
      <c r="K134" s="199"/>
      <c r="L134" s="199"/>
      <c r="M134" s="199"/>
      <c r="N134" s="199"/>
    </row>
    <row r="135" spans="1:16">
      <c r="A135" s="2551"/>
      <c r="B135" s="1988"/>
      <c r="C135" s="116">
        <v>2019</v>
      </c>
      <c r="D135" s="50"/>
      <c r="E135" s="42"/>
      <c r="F135" s="42"/>
      <c r="G135" s="209">
        <f t="shared" si="11"/>
        <v>0</v>
      </c>
      <c r="H135" s="199"/>
      <c r="I135" s="199"/>
      <c r="J135" s="199"/>
      <c r="K135" s="199"/>
      <c r="L135" s="199"/>
      <c r="M135" s="199"/>
      <c r="N135" s="199"/>
    </row>
    <row r="136" spans="1:16">
      <c r="A136" s="2551"/>
      <c r="B136" s="1988"/>
      <c r="C136" s="116">
        <v>2020</v>
      </c>
      <c r="D136" s="50"/>
      <c r="E136" s="42"/>
      <c r="F136" s="42"/>
      <c r="G136" s="209">
        <f t="shared" si="11"/>
        <v>0</v>
      </c>
      <c r="H136" s="199"/>
      <c r="I136" s="199"/>
      <c r="J136" s="199"/>
      <c r="K136" s="199"/>
      <c r="L136" s="199"/>
      <c r="M136" s="199"/>
      <c r="N136" s="199"/>
    </row>
    <row r="137" spans="1:16" ht="17.25" customHeight="1" thickBot="1">
      <c r="A137" s="1989"/>
      <c r="B137" s="1990"/>
      <c r="C137" s="122" t="s">
        <v>12</v>
      </c>
      <c r="D137" s="151">
        <f>SUM(D131:D136)</f>
        <v>126</v>
      </c>
      <c r="E137" s="151">
        <f t="shared" ref="E137:F137" si="12">SUM(E131:E136)</f>
        <v>0</v>
      </c>
      <c r="F137" s="151">
        <f t="shared" si="12"/>
        <v>0</v>
      </c>
      <c r="G137" s="210">
        <f>SUM(G131:G136)</f>
        <v>126</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273" t="s">
        <v>80</v>
      </c>
      <c r="B142" s="2274" t="s">
        <v>61</v>
      </c>
      <c r="C142" s="2280" t="s">
        <v>8</v>
      </c>
      <c r="D142" s="590" t="s">
        <v>81</v>
      </c>
      <c r="E142" s="591"/>
      <c r="F142" s="591"/>
      <c r="G142" s="591"/>
      <c r="H142" s="591"/>
      <c r="I142" s="592"/>
      <c r="J142" s="2275" t="s">
        <v>82</v>
      </c>
      <c r="K142" s="2276"/>
      <c r="L142" s="2276"/>
      <c r="M142" s="2276"/>
      <c r="N142" s="2277"/>
      <c r="O142" s="177"/>
      <c r="P142" s="177"/>
    </row>
    <row r="143" spans="1:16" ht="113.25" customHeight="1">
      <c r="A143" s="2045"/>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552"/>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553"/>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553"/>
      <c r="B146" s="2025"/>
      <c r="C146" s="116">
        <v>2016</v>
      </c>
      <c r="D146" s="50"/>
      <c r="E146" s="50"/>
      <c r="F146" s="42"/>
      <c r="G146" s="190"/>
      <c r="H146" s="190"/>
      <c r="I146" s="227">
        <f t="shared" si="13"/>
        <v>0</v>
      </c>
      <c r="J146" s="231"/>
      <c r="K146" s="232"/>
      <c r="L146" s="231"/>
      <c r="M146" s="232"/>
      <c r="N146" s="233"/>
      <c r="O146" s="177"/>
      <c r="P146" s="177"/>
    </row>
    <row r="147" spans="1:16" ht="17.25" customHeight="1">
      <c r="A147" s="2553"/>
      <c r="B147" s="2025"/>
      <c r="C147" s="116">
        <v>2017</v>
      </c>
      <c r="D147" s="50"/>
      <c r="E147" s="50"/>
      <c r="F147" s="42"/>
      <c r="G147" s="190"/>
      <c r="H147" s="190"/>
      <c r="I147" s="227">
        <f t="shared" si="13"/>
        <v>0</v>
      </c>
      <c r="J147" s="231"/>
      <c r="K147" s="232"/>
      <c r="L147" s="231"/>
      <c r="M147" s="232"/>
      <c r="N147" s="233"/>
      <c r="O147" s="177"/>
      <c r="P147" s="177"/>
    </row>
    <row r="148" spans="1:16" ht="19.5" customHeight="1">
      <c r="A148" s="2553"/>
      <c r="B148" s="2025"/>
      <c r="C148" s="116">
        <v>2018</v>
      </c>
      <c r="D148" s="50"/>
      <c r="E148" s="50"/>
      <c r="F148" s="42"/>
      <c r="G148" s="190"/>
      <c r="H148" s="190"/>
      <c r="I148" s="227">
        <f t="shared" si="13"/>
        <v>0</v>
      </c>
      <c r="J148" s="231"/>
      <c r="K148" s="232"/>
      <c r="L148" s="231"/>
      <c r="M148" s="232"/>
      <c r="N148" s="233"/>
      <c r="O148" s="177"/>
      <c r="P148" s="177"/>
    </row>
    <row r="149" spans="1:16" ht="19.5" customHeight="1">
      <c r="A149" s="2553"/>
      <c r="B149" s="2025"/>
      <c r="C149" s="116">
        <v>2019</v>
      </c>
      <c r="D149" s="50"/>
      <c r="E149" s="50"/>
      <c r="F149" s="42"/>
      <c r="G149" s="190"/>
      <c r="H149" s="190"/>
      <c r="I149" s="227">
        <f t="shared" si="13"/>
        <v>0</v>
      </c>
      <c r="J149" s="231"/>
      <c r="K149" s="232"/>
      <c r="L149" s="231"/>
      <c r="M149" s="232"/>
      <c r="N149" s="233"/>
      <c r="O149" s="177"/>
      <c r="P149" s="177"/>
    </row>
    <row r="150" spans="1:16" ht="18.75" customHeight="1">
      <c r="A150" s="2553"/>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278" t="s">
        <v>93</v>
      </c>
      <c r="B153" s="2274" t="s">
        <v>61</v>
      </c>
      <c r="C153" s="2279" t="s">
        <v>8</v>
      </c>
      <c r="D153" s="502" t="s">
        <v>94</v>
      </c>
      <c r="E153" s="502"/>
      <c r="F153" s="503"/>
      <c r="G153" s="503"/>
      <c r="H153" s="502" t="s">
        <v>95</v>
      </c>
      <c r="I153" s="502"/>
      <c r="J153" s="504"/>
      <c r="K153" s="31"/>
      <c r="L153" s="31"/>
      <c r="M153" s="31"/>
      <c r="N153" s="31"/>
      <c r="O153" s="177"/>
      <c r="P153" s="177"/>
    </row>
    <row r="154" spans="1:16" ht="49.5" customHeight="1">
      <c r="A154" s="2556"/>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552"/>
      <c r="B155" s="2025"/>
      <c r="C155" s="247">
        <v>2014</v>
      </c>
      <c r="D155" s="228"/>
      <c r="E155" s="187"/>
      <c r="F155" s="229"/>
      <c r="G155" s="227">
        <f>SUM(D155:F155)</f>
        <v>0</v>
      </c>
      <c r="H155" s="228"/>
      <c r="I155" s="187"/>
      <c r="J155" s="188"/>
      <c r="O155" s="177"/>
      <c r="P155" s="177"/>
    </row>
    <row r="156" spans="1:16" ht="19.5" customHeight="1">
      <c r="A156" s="2553"/>
      <c r="B156" s="2025"/>
      <c r="C156" s="248">
        <v>2015</v>
      </c>
      <c r="D156" s="231"/>
      <c r="E156" s="190"/>
      <c r="F156" s="232"/>
      <c r="G156" s="227">
        <f t="shared" ref="G156:G161" si="15">SUM(D156:F156)</f>
        <v>0</v>
      </c>
      <c r="H156" s="231"/>
      <c r="I156" s="190"/>
      <c r="J156" s="193"/>
      <c r="O156" s="177"/>
      <c r="P156" s="177"/>
    </row>
    <row r="157" spans="1:16" ht="17.25" customHeight="1">
      <c r="A157" s="2553"/>
      <c r="B157" s="2025"/>
      <c r="C157" s="248">
        <v>2016</v>
      </c>
      <c r="D157" s="231"/>
      <c r="E157" s="190"/>
      <c r="F157" s="232"/>
      <c r="G157" s="227">
        <f t="shared" si="15"/>
        <v>0</v>
      </c>
      <c r="H157" s="231"/>
      <c r="I157" s="190"/>
      <c r="J157" s="193"/>
      <c r="O157" s="177"/>
      <c r="P157" s="177"/>
    </row>
    <row r="158" spans="1:16" ht="15" customHeight="1">
      <c r="A158" s="2553"/>
      <c r="B158" s="2025"/>
      <c r="C158" s="248">
        <v>2017</v>
      </c>
      <c r="D158" s="231"/>
      <c r="E158" s="190"/>
      <c r="F158" s="232"/>
      <c r="G158" s="227">
        <f t="shared" si="15"/>
        <v>0</v>
      </c>
      <c r="H158" s="231"/>
      <c r="I158" s="190"/>
      <c r="J158" s="193"/>
      <c r="O158" s="177"/>
      <c r="P158" s="177"/>
    </row>
    <row r="159" spans="1:16" ht="19.5" customHeight="1">
      <c r="A159" s="2553"/>
      <c r="B159" s="2025"/>
      <c r="C159" s="248">
        <v>2018</v>
      </c>
      <c r="D159" s="231"/>
      <c r="E159" s="190"/>
      <c r="F159" s="232"/>
      <c r="G159" s="227">
        <f t="shared" si="15"/>
        <v>0</v>
      </c>
      <c r="H159" s="231"/>
      <c r="I159" s="190"/>
      <c r="J159" s="193"/>
      <c r="O159" s="177"/>
      <c r="P159" s="177"/>
    </row>
    <row r="160" spans="1:16" ht="15" customHeight="1">
      <c r="A160" s="2553"/>
      <c r="B160" s="2025"/>
      <c r="C160" s="248">
        <v>2019</v>
      </c>
      <c r="D160" s="231"/>
      <c r="E160" s="190"/>
      <c r="F160" s="232"/>
      <c r="G160" s="227">
        <f t="shared" si="15"/>
        <v>0</v>
      </c>
      <c r="H160" s="231"/>
      <c r="I160" s="190"/>
      <c r="J160" s="193"/>
      <c r="O160" s="177"/>
      <c r="P160" s="177"/>
    </row>
    <row r="161" spans="1:18" ht="17.25" customHeight="1">
      <c r="A161" s="2553"/>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505"/>
      <c r="F163" s="177"/>
      <c r="G163" s="177"/>
      <c r="H163" s="177"/>
      <c r="I163" s="177"/>
      <c r="J163" s="255"/>
      <c r="K163" s="256"/>
    </row>
    <row r="164" spans="1:18" ht="95.25" customHeight="1">
      <c r="A164" s="506" t="s">
        <v>102</v>
      </c>
      <c r="B164" s="258" t="s">
        <v>103</v>
      </c>
      <c r="C164" s="1395" t="s">
        <v>8</v>
      </c>
      <c r="D164" s="260" t="s">
        <v>104</v>
      </c>
      <c r="E164" s="260" t="s">
        <v>105</v>
      </c>
      <c r="F164" s="508" t="s">
        <v>106</v>
      </c>
      <c r="G164" s="260" t="s">
        <v>107</v>
      </c>
      <c r="H164" s="260" t="s">
        <v>108</v>
      </c>
      <c r="I164" s="262" t="s">
        <v>109</v>
      </c>
      <c r="J164" s="509" t="s">
        <v>110</v>
      </c>
      <c r="K164" s="509" t="s">
        <v>111</v>
      </c>
      <c r="L164" s="1371"/>
    </row>
    <row r="165" spans="1:18" ht="15.75" customHeight="1">
      <c r="A165" s="2011"/>
      <c r="B165" s="2012"/>
      <c r="C165" s="265">
        <v>2014</v>
      </c>
      <c r="D165" s="187"/>
      <c r="E165" s="187"/>
      <c r="F165" s="187"/>
      <c r="G165" s="187"/>
      <c r="H165" s="187"/>
      <c r="I165" s="188"/>
      <c r="J165" s="266">
        <f>SUM(D165,F165,H165)</f>
        <v>0</v>
      </c>
      <c r="K165" s="267">
        <f>SUM(E165,G165,I165)</f>
        <v>0</v>
      </c>
      <c r="L165" s="1371"/>
    </row>
    <row r="166" spans="1:18">
      <c r="A166" s="2013"/>
      <c r="B166" s="2014"/>
      <c r="C166" s="268">
        <v>2015</v>
      </c>
      <c r="D166" s="269"/>
      <c r="E166" s="269"/>
      <c r="F166" s="269"/>
      <c r="G166" s="269"/>
      <c r="H166" s="269"/>
      <c r="I166" s="270"/>
      <c r="J166" s="271">
        <f t="shared" ref="J166:K171" si="17">SUM(D166,F166,H166)</f>
        <v>0</v>
      </c>
      <c r="K166" s="272">
        <f t="shared" si="17"/>
        <v>0</v>
      </c>
      <c r="L166" s="1371"/>
    </row>
    <row r="167" spans="1:18">
      <c r="A167" s="2013"/>
      <c r="B167" s="2014"/>
      <c r="C167" s="268">
        <v>2016</v>
      </c>
      <c r="D167" s="269"/>
      <c r="E167" s="269"/>
      <c r="F167" s="269"/>
      <c r="G167" s="269"/>
      <c r="H167" s="269"/>
      <c r="I167" s="270"/>
      <c r="J167" s="271">
        <f t="shared" si="17"/>
        <v>0</v>
      </c>
      <c r="K167" s="272">
        <f t="shared" si="17"/>
        <v>0</v>
      </c>
    </row>
    <row r="168" spans="1:18">
      <c r="A168" s="2013"/>
      <c r="B168" s="2014"/>
      <c r="C168" s="268">
        <v>2017</v>
      </c>
      <c r="D168" s="269"/>
      <c r="E168" s="177"/>
      <c r="F168" s="269"/>
      <c r="G168" s="269"/>
      <c r="H168" s="269"/>
      <c r="I168" s="270"/>
      <c r="J168" s="271">
        <f t="shared" si="17"/>
        <v>0</v>
      </c>
      <c r="K168" s="272">
        <f t="shared" si="17"/>
        <v>0</v>
      </c>
    </row>
    <row r="169" spans="1:18">
      <c r="A169" s="2013"/>
      <c r="B169" s="2014"/>
      <c r="C169" s="273">
        <v>2018</v>
      </c>
      <c r="D169" s="269"/>
      <c r="E169" s="269"/>
      <c r="F169" s="269"/>
      <c r="G169" s="274"/>
      <c r="H169" s="269"/>
      <c r="I169" s="270"/>
      <c r="J169" s="271">
        <f t="shared" si="17"/>
        <v>0</v>
      </c>
      <c r="K169" s="272">
        <f t="shared" si="17"/>
        <v>0</v>
      </c>
      <c r="L169" s="1371"/>
    </row>
    <row r="170" spans="1:18">
      <c r="A170" s="2013"/>
      <c r="B170" s="2014"/>
      <c r="C170" s="268">
        <v>2019</v>
      </c>
      <c r="D170" s="177"/>
      <c r="E170" s="269"/>
      <c r="F170" s="269"/>
      <c r="G170" s="269"/>
      <c r="H170" s="274"/>
      <c r="I170" s="270"/>
      <c r="J170" s="271">
        <f t="shared" si="17"/>
        <v>0</v>
      </c>
      <c r="K170" s="272">
        <f t="shared" si="17"/>
        <v>0</v>
      </c>
      <c r="L170" s="1371"/>
    </row>
    <row r="171" spans="1:18">
      <c r="A171" s="2013"/>
      <c r="B171" s="2014"/>
      <c r="C171" s="273">
        <v>2020</v>
      </c>
      <c r="D171" s="269"/>
      <c r="E171" s="269"/>
      <c r="F171" s="269"/>
      <c r="G171" s="269"/>
      <c r="H171" s="269"/>
      <c r="I171" s="270"/>
      <c r="J171" s="271">
        <f t="shared" si="17"/>
        <v>0</v>
      </c>
      <c r="K171" s="272">
        <f t="shared" si="17"/>
        <v>0</v>
      </c>
      <c r="L171" s="1371"/>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1371"/>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284" t="s">
        <v>113</v>
      </c>
      <c r="B176" s="2285" t="s">
        <v>114</v>
      </c>
      <c r="C176" s="2286" t="s">
        <v>8</v>
      </c>
      <c r="D176" s="510" t="s">
        <v>115</v>
      </c>
      <c r="E176" s="511"/>
      <c r="F176" s="511"/>
      <c r="G176" s="512"/>
      <c r="H176" s="513"/>
      <c r="I176" s="2021" t="s">
        <v>116</v>
      </c>
      <c r="J176" s="2232"/>
      <c r="K176" s="2232"/>
      <c r="L176" s="2232"/>
      <c r="M176" s="2232"/>
      <c r="N176" s="2232"/>
      <c r="O176" s="2233"/>
    </row>
    <row r="177" spans="1:15" s="31" customFormat="1" ht="129.75" customHeight="1">
      <c r="A177" s="2018"/>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552" t="s">
        <v>365</v>
      </c>
      <c r="B178" s="2025"/>
      <c r="C178" s="112">
        <v>2014</v>
      </c>
      <c r="D178" s="33"/>
      <c r="E178" s="34"/>
      <c r="F178" s="34"/>
      <c r="G178" s="293">
        <f>SUM(D178:F178)</f>
        <v>0</v>
      </c>
      <c r="H178" s="167"/>
      <c r="I178" s="167"/>
      <c r="J178" s="34"/>
      <c r="K178" s="34"/>
      <c r="L178" s="34"/>
      <c r="M178" s="34"/>
      <c r="N178" s="34"/>
      <c r="O178" s="37"/>
    </row>
    <row r="179" spans="1:15">
      <c r="A179" s="2553"/>
      <c r="B179" s="2025"/>
      <c r="C179" s="116">
        <v>2015</v>
      </c>
      <c r="D179" s="50">
        <v>9</v>
      </c>
      <c r="E179" s="42"/>
      <c r="F179" s="42"/>
      <c r="G179" s="293">
        <f t="shared" ref="G179:G184" si="19">SUM(D179:F179)</f>
        <v>9</v>
      </c>
      <c r="H179" s="294"/>
      <c r="I179" s="118"/>
      <c r="J179" s="42"/>
      <c r="K179" s="42"/>
      <c r="L179" s="42">
        <v>6</v>
      </c>
      <c r="M179" s="42">
        <v>3</v>
      </c>
      <c r="N179" s="42"/>
      <c r="O179" s="99"/>
    </row>
    <row r="180" spans="1:15">
      <c r="A180" s="2553"/>
      <c r="B180" s="2025"/>
      <c r="C180" s="116">
        <v>2016</v>
      </c>
      <c r="D180" s="231">
        <v>52</v>
      </c>
      <c r="E180" s="190">
        <v>2</v>
      </c>
      <c r="F180" s="190"/>
      <c r="G180" s="227">
        <f t="shared" si="19"/>
        <v>54</v>
      </c>
      <c r="H180" s="1396"/>
      <c r="I180" s="189"/>
      <c r="J180" s="190"/>
      <c r="K180" s="190"/>
      <c r="L180" s="190">
        <v>30</v>
      </c>
      <c r="M180" s="190">
        <v>18</v>
      </c>
      <c r="N180" s="190"/>
      <c r="O180" s="193">
        <v>6</v>
      </c>
    </row>
    <row r="181" spans="1:15">
      <c r="A181" s="2553"/>
      <c r="B181" s="2025"/>
      <c r="C181" s="116">
        <v>2017</v>
      </c>
      <c r="D181" s="50"/>
      <c r="E181" s="42"/>
      <c r="F181" s="42"/>
      <c r="G181" s="293">
        <f t="shared" si="19"/>
        <v>0</v>
      </c>
      <c r="H181" s="294"/>
      <c r="I181" s="118"/>
      <c r="J181" s="42"/>
      <c r="K181" s="42"/>
      <c r="L181" s="42"/>
      <c r="M181" s="42"/>
      <c r="N181" s="42"/>
      <c r="O181" s="99"/>
    </row>
    <row r="182" spans="1:15">
      <c r="A182" s="2553"/>
      <c r="B182" s="2025"/>
      <c r="C182" s="116">
        <v>2018</v>
      </c>
      <c r="D182" s="50"/>
      <c r="E182" s="42"/>
      <c r="F182" s="42"/>
      <c r="G182" s="293">
        <f t="shared" si="19"/>
        <v>0</v>
      </c>
      <c r="H182" s="294"/>
      <c r="I182" s="118"/>
      <c r="J182" s="42"/>
      <c r="K182" s="42"/>
      <c r="L182" s="42"/>
      <c r="M182" s="42"/>
      <c r="N182" s="42"/>
      <c r="O182" s="99"/>
    </row>
    <row r="183" spans="1:15">
      <c r="A183" s="2553"/>
      <c r="B183" s="2025"/>
      <c r="C183" s="116">
        <v>2019</v>
      </c>
      <c r="D183" s="50"/>
      <c r="E183" s="42"/>
      <c r="F183" s="42"/>
      <c r="G183" s="293">
        <f t="shared" si="19"/>
        <v>0</v>
      </c>
      <c r="H183" s="294"/>
      <c r="I183" s="118"/>
      <c r="J183" s="42"/>
      <c r="K183" s="42"/>
      <c r="L183" s="42"/>
      <c r="M183" s="42"/>
      <c r="N183" s="42"/>
      <c r="O183" s="99"/>
    </row>
    <row r="184" spans="1:15">
      <c r="A184" s="2553"/>
      <c r="B184" s="2025"/>
      <c r="C184" s="116">
        <v>2020</v>
      </c>
      <c r="D184" s="50"/>
      <c r="E184" s="42"/>
      <c r="F184" s="42"/>
      <c r="G184" s="293">
        <f t="shared" si="19"/>
        <v>0</v>
      </c>
      <c r="H184" s="294"/>
      <c r="I184" s="118"/>
      <c r="J184" s="42"/>
      <c r="K184" s="42"/>
      <c r="L184" s="42"/>
      <c r="M184" s="42"/>
      <c r="N184" s="42"/>
      <c r="O184" s="99"/>
    </row>
    <row r="185" spans="1:15" ht="45" customHeight="1" thickBot="1">
      <c r="A185" s="2026"/>
      <c r="B185" s="2027"/>
      <c r="C185" s="122" t="s">
        <v>12</v>
      </c>
      <c r="D185" s="151">
        <f>SUM(D178:D184)</f>
        <v>61</v>
      </c>
      <c r="E185" s="125">
        <f>SUM(E178:E184)</f>
        <v>2</v>
      </c>
      <c r="F185" s="125">
        <f>SUM(F178:F184)</f>
        <v>0</v>
      </c>
      <c r="G185" s="234">
        <f t="shared" ref="G185:O185" si="20">SUM(G178:G184)</f>
        <v>63</v>
      </c>
      <c r="H185" s="295">
        <f t="shared" si="20"/>
        <v>0</v>
      </c>
      <c r="I185" s="124">
        <f t="shared" si="20"/>
        <v>0</v>
      </c>
      <c r="J185" s="125">
        <f t="shared" si="20"/>
        <v>0</v>
      </c>
      <c r="K185" s="125">
        <f t="shared" si="20"/>
        <v>0</v>
      </c>
      <c r="L185" s="125">
        <f t="shared" si="20"/>
        <v>36</v>
      </c>
      <c r="M185" s="125">
        <f t="shared" si="20"/>
        <v>21</v>
      </c>
      <c r="N185" s="125">
        <f t="shared" si="20"/>
        <v>0</v>
      </c>
      <c r="O185" s="126">
        <f t="shared" si="20"/>
        <v>6</v>
      </c>
    </row>
    <row r="186" spans="1:15" ht="33" customHeight="1" thickBot="1"/>
    <row r="187" spans="1:15" ht="19.5" customHeight="1">
      <c r="A187" s="2235" t="s">
        <v>122</v>
      </c>
      <c r="B187" s="2285" t="s">
        <v>114</v>
      </c>
      <c r="C187" s="1998" t="s">
        <v>8</v>
      </c>
      <c r="D187" s="2000" t="s">
        <v>123</v>
      </c>
      <c r="E187" s="2219"/>
      <c r="F187" s="2219"/>
      <c r="G187" s="2220"/>
      <c r="H187" s="2221"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005" t="s">
        <v>366</v>
      </c>
      <c r="B189" s="2112"/>
      <c r="C189" s="392">
        <v>2014</v>
      </c>
      <c r="D189" s="142"/>
      <c r="E189" s="115"/>
      <c r="F189" s="115"/>
      <c r="G189" s="301">
        <f>SUM(D189:F189)</f>
        <v>0</v>
      </c>
      <c r="H189" s="114"/>
      <c r="I189" s="115"/>
      <c r="J189" s="115"/>
      <c r="K189" s="115"/>
      <c r="L189" s="143"/>
    </row>
    <row r="190" spans="1:15">
      <c r="A190" s="2557"/>
      <c r="B190" s="1988"/>
      <c r="C190" s="86">
        <v>2015</v>
      </c>
      <c r="D190" s="50">
        <v>539</v>
      </c>
      <c r="E190" s="42"/>
      <c r="F190" s="42"/>
      <c r="G190" s="301">
        <f t="shared" ref="G190:G195" si="21">SUM(D190:F190)</f>
        <v>539</v>
      </c>
      <c r="H190" s="118"/>
      <c r="I190" s="42"/>
      <c r="J190" s="42"/>
      <c r="K190" s="42"/>
      <c r="L190" s="99">
        <f>G190</f>
        <v>539</v>
      </c>
    </row>
    <row r="191" spans="1:15">
      <c r="A191" s="2557"/>
      <c r="B191" s="1988"/>
      <c r="C191" s="86">
        <v>2016</v>
      </c>
      <c r="D191" s="50">
        <v>5299</v>
      </c>
      <c r="E191" s="42">
        <v>56</v>
      </c>
      <c r="F191" s="42"/>
      <c r="G191" s="301">
        <f t="shared" si="21"/>
        <v>5355</v>
      </c>
      <c r="H191" s="118"/>
      <c r="I191" s="42"/>
      <c r="J191" s="42"/>
      <c r="K191" s="42"/>
      <c r="L191" s="99">
        <f>G191</f>
        <v>5355</v>
      </c>
    </row>
    <row r="192" spans="1:15">
      <c r="A192" s="2557"/>
      <c r="B192" s="1988"/>
      <c r="C192" s="86">
        <v>2017</v>
      </c>
      <c r="D192" s="50"/>
      <c r="E192" s="42"/>
      <c r="F192" s="42"/>
      <c r="G192" s="301">
        <f t="shared" si="21"/>
        <v>0</v>
      </c>
      <c r="H192" s="118"/>
      <c r="I192" s="42"/>
      <c r="J192" s="42"/>
      <c r="K192" s="42"/>
      <c r="L192" s="99"/>
    </row>
    <row r="193" spans="1:14">
      <c r="A193" s="2557"/>
      <c r="B193" s="1988"/>
      <c r="C193" s="86">
        <v>2018</v>
      </c>
      <c r="D193" s="50"/>
      <c r="E193" s="42"/>
      <c r="F193" s="42"/>
      <c r="G193" s="301">
        <f t="shared" si="21"/>
        <v>0</v>
      </c>
      <c r="H193" s="118"/>
      <c r="I193" s="42"/>
      <c r="J193" s="42"/>
      <c r="K193" s="42"/>
      <c r="L193" s="99"/>
    </row>
    <row r="194" spans="1:14">
      <c r="A194" s="2557"/>
      <c r="B194" s="1988"/>
      <c r="C194" s="86">
        <v>2019</v>
      </c>
      <c r="D194" s="50"/>
      <c r="E194" s="42"/>
      <c r="F194" s="42"/>
      <c r="G194" s="301">
        <f t="shared" si="21"/>
        <v>0</v>
      </c>
      <c r="H194" s="118"/>
      <c r="I194" s="42"/>
      <c r="J194" s="42"/>
      <c r="K194" s="42"/>
      <c r="L194" s="99"/>
    </row>
    <row r="195" spans="1:14">
      <c r="A195" s="2557"/>
      <c r="B195" s="1988"/>
      <c r="C195" s="86">
        <v>2020</v>
      </c>
      <c r="D195" s="50"/>
      <c r="E195" s="42"/>
      <c r="F195" s="42"/>
      <c r="G195" s="301">
        <f t="shared" si="21"/>
        <v>0</v>
      </c>
      <c r="H195" s="118"/>
      <c r="I195" s="42"/>
      <c r="J195" s="42"/>
      <c r="K195" s="42"/>
      <c r="L195" s="99"/>
    </row>
    <row r="196" spans="1:14" ht="15.75" thickBot="1">
      <c r="A196" s="2114"/>
      <c r="B196" s="1990"/>
      <c r="C196" s="148" t="s">
        <v>12</v>
      </c>
      <c r="D196" s="151">
        <f t="shared" ref="D196:L196" si="22">SUM(D189:D195)</f>
        <v>5838</v>
      </c>
      <c r="E196" s="125">
        <f t="shared" si="22"/>
        <v>56</v>
      </c>
      <c r="F196" s="125">
        <f t="shared" si="22"/>
        <v>0</v>
      </c>
      <c r="G196" s="304">
        <f t="shared" si="22"/>
        <v>5894</v>
      </c>
      <c r="H196" s="124">
        <f t="shared" si="22"/>
        <v>0</v>
      </c>
      <c r="I196" s="125">
        <f t="shared" si="22"/>
        <v>0</v>
      </c>
      <c r="J196" s="125">
        <f t="shared" si="22"/>
        <v>0</v>
      </c>
      <c r="K196" s="125">
        <f t="shared" si="22"/>
        <v>0</v>
      </c>
      <c r="L196" s="126">
        <f t="shared" si="22"/>
        <v>5894</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596" t="s">
        <v>135</v>
      </c>
      <c r="B201" s="309" t="s">
        <v>114</v>
      </c>
      <c r="C201" s="310" t="s">
        <v>8</v>
      </c>
      <c r="D201" s="515" t="s">
        <v>136</v>
      </c>
      <c r="E201" s="312" t="s">
        <v>137</v>
      </c>
      <c r="F201" s="312" t="s">
        <v>138</v>
      </c>
      <c r="G201" s="310" t="s">
        <v>139</v>
      </c>
      <c r="H201" s="516" t="s">
        <v>140</v>
      </c>
      <c r="I201" s="517" t="s">
        <v>141</v>
      </c>
      <c r="J201" s="518" t="s">
        <v>142</v>
      </c>
      <c r="K201" s="312" t="s">
        <v>143</v>
      </c>
      <c r="L201" s="316" t="s">
        <v>144</v>
      </c>
    </row>
    <row r="202" spans="1:14" ht="15" customHeight="1">
      <c r="A202" s="2551"/>
      <c r="B202" s="1988"/>
      <c r="C202" s="84">
        <v>2014</v>
      </c>
      <c r="D202" s="33"/>
      <c r="E202" s="34"/>
      <c r="F202" s="34"/>
      <c r="G202" s="32"/>
      <c r="H202" s="317"/>
      <c r="I202" s="318"/>
      <c r="J202" s="319"/>
      <c r="K202" s="34"/>
      <c r="L202" s="37"/>
    </row>
    <row r="203" spans="1:14">
      <c r="A203" s="2551"/>
      <c r="B203" s="1988"/>
      <c r="C203" s="86">
        <v>2015</v>
      </c>
      <c r="D203" s="50"/>
      <c r="E203" s="42"/>
      <c r="F203" s="42"/>
      <c r="G203" s="39"/>
      <c r="H203" s="320"/>
      <c r="I203" s="321"/>
      <c r="J203" s="322"/>
      <c r="K203" s="42"/>
      <c r="L203" s="99"/>
    </row>
    <row r="204" spans="1:14">
      <c r="A204" s="2551"/>
      <c r="B204" s="1988"/>
      <c r="C204" s="86">
        <v>2016</v>
      </c>
      <c r="D204" s="50"/>
      <c r="E204" s="42"/>
      <c r="F204" s="42"/>
      <c r="G204" s="39"/>
      <c r="H204" s="320"/>
      <c r="I204" s="321"/>
      <c r="J204" s="322"/>
      <c r="K204" s="42"/>
      <c r="L204" s="99"/>
    </row>
    <row r="205" spans="1:14">
      <c r="A205" s="2551"/>
      <c r="B205" s="1988"/>
      <c r="C205" s="86">
        <v>2017</v>
      </c>
      <c r="D205" s="50"/>
      <c r="E205" s="42"/>
      <c r="F205" s="42"/>
      <c r="G205" s="39"/>
      <c r="H205" s="320"/>
      <c r="I205" s="321"/>
      <c r="J205" s="322"/>
      <c r="K205" s="42"/>
      <c r="L205" s="99"/>
    </row>
    <row r="206" spans="1:14">
      <c r="A206" s="2551"/>
      <c r="B206" s="1988"/>
      <c r="C206" s="86">
        <v>2018</v>
      </c>
      <c r="D206" s="50"/>
      <c r="E206" s="42"/>
      <c r="F206" s="42"/>
      <c r="G206" s="39"/>
      <c r="H206" s="320"/>
      <c r="I206" s="321"/>
      <c r="J206" s="322"/>
      <c r="K206" s="42"/>
      <c r="L206" s="99"/>
    </row>
    <row r="207" spans="1:14">
      <c r="A207" s="2551"/>
      <c r="B207" s="1988"/>
      <c r="C207" s="86">
        <v>2019</v>
      </c>
      <c r="D207" s="50"/>
      <c r="E207" s="42"/>
      <c r="F207" s="42"/>
      <c r="G207" s="39"/>
      <c r="H207" s="320"/>
      <c r="I207" s="321"/>
      <c r="J207" s="322"/>
      <c r="K207" s="42"/>
      <c r="L207" s="99"/>
    </row>
    <row r="208" spans="1:14">
      <c r="A208" s="2551"/>
      <c r="B208" s="1988"/>
      <c r="C208" s="86">
        <v>2020</v>
      </c>
      <c r="D208" s="1375"/>
      <c r="E208" s="324"/>
      <c r="F208" s="324"/>
      <c r="G208" s="325"/>
      <c r="H208" s="326"/>
      <c r="I208" s="327"/>
      <c r="J208" s="328"/>
      <c r="K208" s="324"/>
      <c r="L208" s="329"/>
    </row>
    <row r="209" spans="1:12" ht="20.25" customHeight="1" thickBot="1">
      <c r="A209" s="1989"/>
      <c r="B209" s="1990"/>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597" t="s">
        <v>145</v>
      </c>
      <c r="B212" s="331" t="s">
        <v>146</v>
      </c>
      <c r="C212" s="332">
        <v>2014</v>
      </c>
      <c r="D212" s="333">
        <v>2015</v>
      </c>
      <c r="E212" s="333">
        <v>2016</v>
      </c>
      <c r="F212" s="333">
        <v>2017</v>
      </c>
      <c r="G212" s="333">
        <v>2018</v>
      </c>
      <c r="H212" s="333">
        <v>2019</v>
      </c>
      <c r="I212" s="334">
        <v>2020</v>
      </c>
    </row>
    <row r="213" spans="1:12" ht="15" customHeight="1">
      <c r="A213" t="s">
        <v>147</v>
      </c>
      <c r="B213" s="2196" t="s">
        <v>367</v>
      </c>
      <c r="C213" s="84"/>
      <c r="D213" s="1397">
        <f>SUM(D214:D217)</f>
        <v>314306.32</v>
      </c>
      <c r="E213" s="1398">
        <f>SUM(E214:E217)</f>
        <v>1191641.1400000001</v>
      </c>
      <c r="F213" s="147"/>
      <c r="G213" s="147"/>
      <c r="H213" s="147"/>
      <c r="I213" s="335"/>
    </row>
    <row r="214" spans="1:12">
      <c r="A214" t="s">
        <v>149</v>
      </c>
      <c r="B214" s="2168"/>
      <c r="C214" s="84"/>
      <c r="D214" s="1399">
        <v>256830.2</v>
      </c>
      <c r="E214" s="403">
        <v>739871.27</v>
      </c>
      <c r="F214" s="147"/>
      <c r="G214" s="147"/>
      <c r="H214" s="147"/>
      <c r="I214" s="335"/>
    </row>
    <row r="215" spans="1:12">
      <c r="A215" t="s">
        <v>150</v>
      </c>
      <c r="B215" s="2168"/>
      <c r="C215" s="84"/>
      <c r="D215" s="403">
        <v>0</v>
      </c>
      <c r="E215" s="403">
        <v>615</v>
      </c>
      <c r="F215" s="147"/>
      <c r="G215" s="147"/>
      <c r="H215" s="147"/>
      <c r="I215" s="335"/>
    </row>
    <row r="216" spans="1:12">
      <c r="A216" t="s">
        <v>151</v>
      </c>
      <c r="B216" s="2168"/>
      <c r="C216" s="84"/>
      <c r="D216" s="403">
        <v>23958</v>
      </c>
      <c r="E216" s="147">
        <v>175111.8</v>
      </c>
      <c r="F216" s="147"/>
      <c r="G216" s="147"/>
      <c r="H216" s="147"/>
      <c r="I216" s="335"/>
    </row>
    <row r="217" spans="1:12">
      <c r="A217" t="s">
        <v>152</v>
      </c>
      <c r="B217" s="2168"/>
      <c r="C217" s="84"/>
      <c r="D217" s="403">
        <v>33518.120000000003</v>
      </c>
      <c r="E217" s="403">
        <v>276043.07</v>
      </c>
      <c r="F217" s="147"/>
      <c r="G217" s="147"/>
      <c r="H217" s="147"/>
      <c r="I217" s="335"/>
    </row>
    <row r="218" spans="1:12" ht="30">
      <c r="A218" s="31" t="s">
        <v>153</v>
      </c>
      <c r="B218" s="2168"/>
      <c r="C218" s="84"/>
      <c r="D218" s="403">
        <v>104830.71</v>
      </c>
      <c r="E218" s="403">
        <v>184212.33</v>
      </c>
      <c r="F218" s="147"/>
      <c r="G218" s="147"/>
      <c r="H218" s="147"/>
      <c r="I218" s="335"/>
    </row>
    <row r="219" spans="1:12" ht="15.75" thickBot="1">
      <c r="A219" s="1374"/>
      <c r="B219" s="2169"/>
      <c r="C219" s="54" t="s">
        <v>12</v>
      </c>
      <c r="D219" s="1400">
        <f t="shared" ref="D219:I219" si="24">SUM(D214:D218)</f>
        <v>419137.03</v>
      </c>
      <c r="E219" s="1401">
        <f t="shared" si="24"/>
        <v>1375853.4700000002</v>
      </c>
      <c r="F219" s="337">
        <f t="shared" si="24"/>
        <v>0</v>
      </c>
      <c r="G219" s="337">
        <f t="shared" si="24"/>
        <v>0</v>
      </c>
      <c r="H219" s="337">
        <f t="shared" si="24"/>
        <v>0</v>
      </c>
      <c r="I219" s="337">
        <f t="shared" si="24"/>
        <v>0</v>
      </c>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Y227"/>
  <sheetViews>
    <sheetView topLeftCell="E118" workbookViewId="0">
      <selection activeCell="P19" sqref="P19"/>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373</v>
      </c>
      <c r="C1" s="2077"/>
      <c r="D1" s="2077"/>
      <c r="E1" s="2077"/>
      <c r="F1" s="2077"/>
    </row>
    <row r="2" spans="1:25" s="2" customFormat="1" ht="20.100000000000001" customHeight="1" thickBot="1"/>
    <row r="3" spans="1:25" s="5" customFormat="1" ht="20.100000000000001" customHeight="1">
      <c r="A3" s="1402" t="s">
        <v>1</v>
      </c>
      <c r="B3" s="1403"/>
      <c r="C3" s="1403"/>
      <c r="D3" s="1403"/>
      <c r="E3" s="1403"/>
      <c r="F3" s="2569"/>
      <c r="G3" s="2569"/>
      <c r="H3" s="2569"/>
      <c r="I3" s="2569"/>
      <c r="J3" s="2569"/>
      <c r="K3" s="2569"/>
      <c r="L3" s="2569"/>
      <c r="M3" s="2569"/>
      <c r="N3" s="2569"/>
      <c r="O3" s="2570"/>
    </row>
    <row r="4" spans="1:25" s="5" customFormat="1" ht="20.100000000000001" customHeight="1">
      <c r="A4" s="2566" t="s">
        <v>2</v>
      </c>
      <c r="B4" s="2081"/>
      <c r="C4" s="2081"/>
      <c r="D4" s="2081"/>
      <c r="E4" s="2081"/>
      <c r="F4" s="2081"/>
      <c r="G4" s="2081"/>
      <c r="H4" s="2081"/>
      <c r="I4" s="2081"/>
      <c r="J4" s="2081"/>
      <c r="K4" s="2081"/>
      <c r="L4" s="2081"/>
      <c r="M4" s="2081"/>
      <c r="N4" s="2081"/>
      <c r="O4" s="2082"/>
    </row>
    <row r="5" spans="1:25" s="5" customFormat="1" ht="20.100000000000001" customHeight="1">
      <c r="A5" s="2566"/>
      <c r="B5" s="2081"/>
      <c r="C5" s="2081"/>
      <c r="D5" s="2081"/>
      <c r="E5" s="2081"/>
      <c r="F5" s="2081"/>
      <c r="G5" s="2081"/>
      <c r="H5" s="2081"/>
      <c r="I5" s="2081"/>
      <c r="J5" s="2081"/>
      <c r="K5" s="2081"/>
      <c r="L5" s="2081"/>
      <c r="M5" s="2081"/>
      <c r="N5" s="2081"/>
      <c r="O5" s="2082"/>
    </row>
    <row r="6" spans="1:25" s="5" customFormat="1" ht="20.100000000000001" customHeight="1">
      <c r="A6" s="2566"/>
      <c r="B6" s="2081"/>
      <c r="C6" s="2081"/>
      <c r="D6" s="2081"/>
      <c r="E6" s="2081"/>
      <c r="F6" s="2081"/>
      <c r="G6" s="2081"/>
      <c r="H6" s="2081"/>
      <c r="I6" s="2081"/>
      <c r="J6" s="2081"/>
      <c r="K6" s="2081"/>
      <c r="L6" s="2081"/>
      <c r="M6" s="2081"/>
      <c r="N6" s="2081"/>
      <c r="O6" s="2082"/>
    </row>
    <row r="7" spans="1:25" s="5" customFormat="1" ht="20.100000000000001" customHeight="1">
      <c r="A7" s="2566"/>
      <c r="B7" s="2081"/>
      <c r="C7" s="2081"/>
      <c r="D7" s="2081"/>
      <c r="E7" s="2081"/>
      <c r="F7" s="2081"/>
      <c r="G7" s="2081"/>
      <c r="H7" s="2081"/>
      <c r="I7" s="2081"/>
      <c r="J7" s="2081"/>
      <c r="K7" s="2081"/>
      <c r="L7" s="2081"/>
      <c r="M7" s="2081"/>
      <c r="N7" s="2081"/>
      <c r="O7" s="2082"/>
    </row>
    <row r="8" spans="1:25" s="5" customFormat="1" ht="20.100000000000001" customHeight="1">
      <c r="A8" s="2566"/>
      <c r="B8" s="2081"/>
      <c r="C8" s="2081"/>
      <c r="D8" s="2081"/>
      <c r="E8" s="2081"/>
      <c r="F8" s="2081"/>
      <c r="G8" s="2081"/>
      <c r="H8" s="2081"/>
      <c r="I8" s="2081"/>
      <c r="J8" s="2081"/>
      <c r="K8" s="2081"/>
      <c r="L8" s="2081"/>
      <c r="M8" s="2081"/>
      <c r="N8" s="2081"/>
      <c r="O8" s="2082"/>
    </row>
    <row r="9" spans="1:25" s="5" customFormat="1" ht="20.100000000000001" customHeight="1">
      <c r="A9" s="2566"/>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570"/>
      <c r="B15" s="571"/>
      <c r="C15" s="11"/>
      <c r="D15" s="2238" t="s">
        <v>4</v>
      </c>
      <c r="E15" s="2239"/>
      <c r="F15" s="2239"/>
      <c r="G15" s="2239"/>
      <c r="H15" s="526"/>
      <c r="I15" s="13" t="s">
        <v>5</v>
      </c>
      <c r="J15" s="14"/>
      <c r="K15" s="14"/>
      <c r="L15" s="14"/>
      <c r="M15" s="14"/>
      <c r="N15" s="14"/>
      <c r="O15" s="15"/>
      <c r="P15" s="16"/>
      <c r="Q15" s="17"/>
      <c r="R15" s="18"/>
      <c r="S15" s="18"/>
      <c r="T15" s="18"/>
      <c r="U15" s="18"/>
      <c r="V15" s="18"/>
      <c r="W15" s="16"/>
      <c r="X15" s="16"/>
      <c r="Y15" s="17"/>
    </row>
    <row r="16" spans="1:25" s="31" customFormat="1" ht="129" customHeight="1">
      <c r="A16" s="20"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550"/>
      <c r="B17" s="19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551"/>
      <c r="B18" s="1988"/>
      <c r="C18" s="39">
        <v>2015</v>
      </c>
      <c r="D18" s="50">
        <v>15</v>
      </c>
      <c r="E18" s="42">
        <v>1</v>
      </c>
      <c r="F18" s="42"/>
      <c r="G18" s="35">
        <f>SUM(D18:F18)</f>
        <v>16</v>
      </c>
      <c r="H18" s="51"/>
      <c r="I18" s="42">
        <v>1</v>
      </c>
      <c r="J18" s="42"/>
      <c r="K18" s="42">
        <v>6</v>
      </c>
      <c r="L18" s="42">
        <v>9</v>
      </c>
      <c r="M18" s="42"/>
      <c r="N18" s="42"/>
      <c r="O18" s="52"/>
      <c r="P18" s="38"/>
      <c r="Q18" s="38"/>
      <c r="R18" s="38"/>
      <c r="S18" s="38"/>
      <c r="T18" s="38"/>
      <c r="U18" s="38"/>
      <c r="V18" s="38"/>
      <c r="W18" s="38"/>
      <c r="X18" s="38"/>
      <c r="Y18" s="38"/>
    </row>
    <row r="19" spans="1:25">
      <c r="A19" s="2551"/>
      <c r="B19" s="1988"/>
      <c r="C19" s="39">
        <v>2016</v>
      </c>
      <c r="D19" s="50">
        <v>76</v>
      </c>
      <c r="E19" s="42">
        <v>3</v>
      </c>
      <c r="F19" s="42">
        <v>1</v>
      </c>
      <c r="G19" s="35">
        <f t="shared" si="0"/>
        <v>80</v>
      </c>
      <c r="H19" s="51"/>
      <c r="I19" s="42">
        <v>18</v>
      </c>
      <c r="J19" s="42">
        <v>2</v>
      </c>
      <c r="K19" s="42">
        <v>53</v>
      </c>
      <c r="L19" s="42">
        <v>6</v>
      </c>
      <c r="M19" s="42"/>
      <c r="N19" s="42"/>
      <c r="O19" s="52">
        <v>1</v>
      </c>
      <c r="P19" s="38"/>
      <c r="Q19" s="38"/>
      <c r="R19" s="38"/>
      <c r="S19" s="38"/>
      <c r="T19" s="38"/>
      <c r="U19" s="38"/>
      <c r="V19" s="38"/>
      <c r="W19" s="38"/>
      <c r="X19" s="38"/>
      <c r="Y19" s="38"/>
    </row>
    <row r="20" spans="1:25">
      <c r="A20" s="2551"/>
      <c r="B20" s="1988"/>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2551"/>
      <c r="B21" s="1988"/>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2551"/>
      <c r="B22" s="1988"/>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2551"/>
      <c r="B23" s="1988"/>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19.5" customHeight="1" thickBot="1">
      <c r="A24" s="1989"/>
      <c r="B24" s="1990"/>
      <c r="C24" s="54" t="s">
        <v>12</v>
      </c>
      <c r="D24" s="55">
        <f>SUM(D17:D23)</f>
        <v>91</v>
      </c>
      <c r="E24" s="56">
        <f>SUM(E17:E23)</f>
        <v>4</v>
      </c>
      <c r="F24" s="56">
        <f>SUM(F17:F23)</f>
        <v>1</v>
      </c>
      <c r="G24" s="57">
        <f>SUM(D24:F24)</f>
        <v>96</v>
      </c>
      <c r="H24" s="58">
        <f>SUM(H17:H23)</f>
        <v>0</v>
      </c>
      <c r="I24" s="59">
        <f>SUM(I17:I23)</f>
        <v>19</v>
      </c>
      <c r="J24" s="59">
        <f t="shared" ref="J24:N24" si="1">SUM(J17:J23)</f>
        <v>2</v>
      </c>
      <c r="K24" s="59">
        <f t="shared" si="1"/>
        <v>59</v>
      </c>
      <c r="L24" s="59">
        <f t="shared" si="1"/>
        <v>15</v>
      </c>
      <c r="M24" s="59">
        <f t="shared" si="1"/>
        <v>0</v>
      </c>
      <c r="N24" s="59">
        <f t="shared" si="1"/>
        <v>0</v>
      </c>
      <c r="O24" s="60">
        <f>SUM(O17:O23)</f>
        <v>1</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570"/>
      <c r="B26" s="571"/>
      <c r="C26" s="63"/>
      <c r="D26" s="2244" t="s">
        <v>4</v>
      </c>
      <c r="E26" s="2245"/>
      <c r="F26" s="2245"/>
      <c r="G26" s="2246"/>
      <c r="H26" s="16"/>
      <c r="I26" s="17"/>
      <c r="J26" s="18"/>
      <c r="K26" s="18"/>
      <c r="L26" s="18"/>
      <c r="M26" s="18"/>
      <c r="N26" s="18"/>
      <c r="O26" s="16"/>
      <c r="P26" s="16"/>
    </row>
    <row r="27" spans="1:25" s="31" customFormat="1" ht="93" customHeight="1">
      <c r="A27" s="1364"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550" t="s">
        <v>368</v>
      </c>
      <c r="B28" s="1988"/>
      <c r="C28" s="68">
        <v>2014</v>
      </c>
      <c r="D28" s="36"/>
      <c r="E28" s="34"/>
      <c r="F28" s="34"/>
      <c r="G28" s="69">
        <f>SUM(D28:F28)</f>
        <v>0</v>
      </c>
      <c r="H28" s="38"/>
      <c r="I28" s="38"/>
      <c r="J28" s="38"/>
      <c r="K28" s="38"/>
      <c r="L28" s="38"/>
      <c r="M28" s="38"/>
      <c r="N28" s="38"/>
      <c r="O28" s="38"/>
      <c r="P28" s="38"/>
      <c r="Q28" s="8"/>
    </row>
    <row r="29" spans="1:25">
      <c r="A29" s="2551"/>
      <c r="B29" s="1988"/>
      <c r="C29" s="70">
        <v>2015</v>
      </c>
      <c r="D29" s="51">
        <v>766</v>
      </c>
      <c r="E29" s="42">
        <v>5</v>
      </c>
      <c r="F29" s="42"/>
      <c r="G29" s="69">
        <f t="shared" ref="G29:G35" si="2">SUM(D29:F29)</f>
        <v>771</v>
      </c>
      <c r="H29" s="38"/>
      <c r="I29" s="38"/>
      <c r="J29" s="38"/>
      <c r="K29" s="38"/>
      <c r="L29" s="38"/>
      <c r="M29" s="38"/>
      <c r="N29" s="38"/>
      <c r="O29" s="38"/>
      <c r="P29" s="38"/>
      <c r="Q29" s="8"/>
    </row>
    <row r="30" spans="1:25">
      <c r="A30" s="2551"/>
      <c r="B30" s="1988"/>
      <c r="C30" s="70">
        <v>2016</v>
      </c>
      <c r="D30" s="51">
        <v>104378</v>
      </c>
      <c r="E30" s="42">
        <v>20</v>
      </c>
      <c r="F30" s="42">
        <v>9</v>
      </c>
      <c r="G30" s="69">
        <f t="shared" si="2"/>
        <v>104407</v>
      </c>
      <c r="H30" s="38"/>
      <c r="I30" s="38"/>
      <c r="J30" s="38"/>
      <c r="K30" s="38"/>
      <c r="L30" s="38"/>
      <c r="M30" s="38"/>
      <c r="N30" s="38"/>
      <c r="O30" s="38"/>
      <c r="P30" s="38"/>
      <c r="Q30" s="8"/>
    </row>
    <row r="31" spans="1:25">
      <c r="A31" s="2551"/>
      <c r="B31" s="1988"/>
      <c r="C31" s="70">
        <v>2017</v>
      </c>
      <c r="D31" s="51"/>
      <c r="E31" s="42"/>
      <c r="F31" s="42"/>
      <c r="G31" s="69">
        <f t="shared" si="2"/>
        <v>0</v>
      </c>
      <c r="H31" s="38"/>
      <c r="I31" s="38"/>
      <c r="J31" s="38"/>
      <c r="K31" s="38"/>
      <c r="L31" s="38"/>
      <c r="M31" s="38"/>
      <c r="N31" s="38"/>
      <c r="O31" s="38"/>
      <c r="P31" s="38"/>
      <c r="Q31" s="8"/>
    </row>
    <row r="32" spans="1:25">
      <c r="A32" s="2551"/>
      <c r="B32" s="1988"/>
      <c r="C32" s="70">
        <v>2018</v>
      </c>
      <c r="D32" s="51"/>
      <c r="E32" s="42"/>
      <c r="F32" s="42"/>
      <c r="G32" s="69">
        <f>SUM(D32:F32)</f>
        <v>0</v>
      </c>
      <c r="H32" s="38"/>
      <c r="I32" s="38"/>
      <c r="J32" s="38"/>
      <c r="K32" s="38"/>
      <c r="L32" s="38"/>
      <c r="M32" s="38"/>
      <c r="N32" s="38"/>
      <c r="O32" s="38"/>
      <c r="P32" s="38"/>
      <c r="Q32" s="8"/>
    </row>
    <row r="33" spans="1:17">
      <c r="A33" s="2551"/>
      <c r="B33" s="1988"/>
      <c r="C33" s="72">
        <v>2019</v>
      </c>
      <c r="D33" s="51"/>
      <c r="E33" s="42"/>
      <c r="F33" s="42"/>
      <c r="G33" s="69">
        <f t="shared" si="2"/>
        <v>0</v>
      </c>
      <c r="H33" s="38"/>
      <c r="I33" s="38"/>
      <c r="J33" s="38"/>
      <c r="K33" s="38"/>
      <c r="L33" s="38"/>
      <c r="M33" s="38"/>
      <c r="N33" s="38"/>
      <c r="O33" s="38"/>
      <c r="P33" s="38"/>
      <c r="Q33" s="8"/>
    </row>
    <row r="34" spans="1:17">
      <c r="A34" s="2551"/>
      <c r="B34" s="1988"/>
      <c r="C34" s="70">
        <v>2020</v>
      </c>
      <c r="D34" s="51"/>
      <c r="E34" s="42"/>
      <c r="F34" s="42"/>
      <c r="G34" s="69">
        <f t="shared" si="2"/>
        <v>0</v>
      </c>
      <c r="H34" s="38"/>
      <c r="I34" s="38"/>
      <c r="J34" s="38"/>
      <c r="K34" s="38"/>
      <c r="L34" s="38"/>
      <c r="M34" s="38"/>
      <c r="N34" s="38"/>
      <c r="O34" s="38"/>
      <c r="P34" s="38"/>
      <c r="Q34" s="8"/>
    </row>
    <row r="35" spans="1:17" ht="20.25" customHeight="1" thickBot="1">
      <c r="A35" s="1989"/>
      <c r="B35" s="1990"/>
      <c r="C35" s="73" t="s">
        <v>12</v>
      </c>
      <c r="D35" s="58">
        <f>SUM(D28:D34)</f>
        <v>105144</v>
      </c>
      <c r="E35" s="56">
        <f>SUM(E28:E34)</f>
        <v>25</v>
      </c>
      <c r="F35" s="56">
        <f>SUM(F28:F34)</f>
        <v>9</v>
      </c>
      <c r="G35" s="60">
        <f t="shared" si="2"/>
        <v>105178</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576" t="s">
        <v>25</v>
      </c>
      <c r="B39" s="577" t="s">
        <v>7</v>
      </c>
      <c r="C39" s="80" t="s">
        <v>8</v>
      </c>
      <c r="D39" s="546" t="s">
        <v>26</v>
      </c>
      <c r="E39" s="352" t="s">
        <v>27</v>
      </c>
      <c r="F39" s="353"/>
      <c r="G39" s="30"/>
      <c r="H39" s="30"/>
    </row>
    <row r="40" spans="1:17">
      <c r="A40" s="2550"/>
      <c r="B40" s="1988"/>
      <c r="C40" s="84">
        <v>2014</v>
      </c>
      <c r="D40" s="33"/>
      <c r="E40" s="32"/>
      <c r="F40" s="8"/>
      <c r="G40" s="38"/>
      <c r="H40" s="38"/>
    </row>
    <row r="41" spans="1:17">
      <c r="A41" s="2551"/>
      <c r="B41" s="1988"/>
      <c r="C41" s="86">
        <v>2015</v>
      </c>
      <c r="D41" s="50">
        <v>8913</v>
      </c>
      <c r="E41" s="39">
        <v>2936</v>
      </c>
      <c r="F41" s="8"/>
      <c r="G41" s="38"/>
      <c r="H41" s="38"/>
    </row>
    <row r="42" spans="1:17">
      <c r="A42" s="2551"/>
      <c r="B42" s="1988"/>
      <c r="C42" s="86">
        <v>2016</v>
      </c>
      <c r="D42" s="50">
        <v>70083</v>
      </c>
      <c r="E42" s="39">
        <v>29606</v>
      </c>
      <c r="F42" s="8"/>
      <c r="G42" s="38"/>
      <c r="H42" s="38"/>
    </row>
    <row r="43" spans="1:17">
      <c r="A43" s="2551"/>
      <c r="B43" s="1988"/>
      <c r="C43" s="86">
        <v>2017</v>
      </c>
      <c r="D43" s="50"/>
      <c r="E43" s="39"/>
      <c r="F43" s="8"/>
      <c r="G43" s="38"/>
      <c r="H43" s="38"/>
    </row>
    <row r="44" spans="1:17">
      <c r="A44" s="2551"/>
      <c r="B44" s="1988"/>
      <c r="C44" s="86">
        <v>2018</v>
      </c>
      <c r="D44" s="50"/>
      <c r="E44" s="39"/>
      <c r="F44" s="8"/>
      <c r="G44" s="38"/>
      <c r="H44" s="38"/>
    </row>
    <row r="45" spans="1:17">
      <c r="A45" s="2551"/>
      <c r="B45" s="1988"/>
      <c r="C45" s="86">
        <v>2019</v>
      </c>
      <c r="D45" s="50"/>
      <c r="E45" s="39"/>
      <c r="F45" s="8"/>
      <c r="G45" s="38"/>
      <c r="H45" s="38"/>
    </row>
    <row r="46" spans="1:17">
      <c r="A46" s="2551"/>
      <c r="B46" s="1988"/>
      <c r="C46" s="86">
        <v>2020</v>
      </c>
      <c r="D46" s="50"/>
      <c r="E46" s="39"/>
      <c r="F46" s="8"/>
      <c r="G46" s="38"/>
      <c r="H46" s="38"/>
    </row>
    <row r="47" spans="1:17" ht="15.75" thickBot="1">
      <c r="A47" s="1989"/>
      <c r="B47" s="1990"/>
      <c r="C47" s="54" t="s">
        <v>12</v>
      </c>
      <c r="D47" s="55">
        <f>SUM(D40:D46)</f>
        <v>78996</v>
      </c>
      <c r="E47" s="419">
        <f>SUM(E40:E46)</f>
        <v>32542</v>
      </c>
      <c r="F47" s="121"/>
      <c r="G47" s="38"/>
      <c r="H47" s="38"/>
    </row>
    <row r="48" spans="1:17" s="38" customFormat="1" ht="15.75" thickBot="1">
      <c r="A48" s="549"/>
      <c r="B48" s="92"/>
      <c r="C48" s="93"/>
    </row>
    <row r="49" spans="1:15" ht="83.25" customHeight="1">
      <c r="A49" s="550" t="s">
        <v>29</v>
      </c>
      <c r="B49" s="577" t="s">
        <v>7</v>
      </c>
      <c r="C49" s="95" t="s">
        <v>8</v>
      </c>
      <c r="D49" s="546" t="s">
        <v>30</v>
      </c>
      <c r="E49" s="96" t="s">
        <v>31</v>
      </c>
      <c r="F49" s="96" t="s">
        <v>32</v>
      </c>
      <c r="G49" s="96" t="s">
        <v>33</v>
      </c>
      <c r="H49" s="96" t="s">
        <v>34</v>
      </c>
      <c r="I49" s="96" t="s">
        <v>35</v>
      </c>
      <c r="J49" s="96" t="s">
        <v>36</v>
      </c>
      <c r="K49" s="97" t="s">
        <v>37</v>
      </c>
    </row>
    <row r="50" spans="1:15" ht="17.25" customHeight="1">
      <c r="A50" s="2005"/>
      <c r="B50" s="2012"/>
      <c r="C50" s="98" t="s">
        <v>38</v>
      </c>
      <c r="D50" s="33"/>
      <c r="E50" s="34"/>
      <c r="F50" s="34"/>
      <c r="G50" s="34"/>
      <c r="H50" s="34"/>
      <c r="I50" s="34"/>
      <c r="J50" s="34"/>
      <c r="K50" s="37"/>
    </row>
    <row r="51" spans="1:15" ht="15" customHeight="1">
      <c r="A51" s="2550"/>
      <c r="B51" s="2014"/>
      <c r="C51" s="86">
        <v>2014</v>
      </c>
      <c r="D51" s="50"/>
      <c r="E51" s="42"/>
      <c r="F51" s="42"/>
      <c r="G51" s="42"/>
      <c r="H51" s="42"/>
      <c r="I51" s="42"/>
      <c r="J51" s="42"/>
      <c r="K51" s="99"/>
    </row>
    <row r="52" spans="1:15">
      <c r="A52" s="2550"/>
      <c r="B52" s="2014"/>
      <c r="C52" s="86">
        <v>2015</v>
      </c>
      <c r="D52" s="50"/>
      <c r="E52" s="42"/>
      <c r="F52" s="42"/>
      <c r="G52" s="42"/>
      <c r="H52" s="42"/>
      <c r="I52" s="42"/>
      <c r="J52" s="42"/>
      <c r="K52" s="99"/>
    </row>
    <row r="53" spans="1:15">
      <c r="A53" s="2550"/>
      <c r="B53" s="2014"/>
      <c r="C53" s="86">
        <v>2016</v>
      </c>
      <c r="D53" s="50"/>
      <c r="E53" s="42"/>
      <c r="F53" s="42"/>
      <c r="G53" s="42"/>
      <c r="H53" s="42"/>
      <c r="I53" s="42"/>
      <c r="J53" s="42"/>
      <c r="K53" s="99"/>
    </row>
    <row r="54" spans="1:15">
      <c r="A54" s="2550"/>
      <c r="B54" s="2014"/>
      <c r="C54" s="86">
        <v>2017</v>
      </c>
      <c r="D54" s="50"/>
      <c r="E54" s="42"/>
      <c r="F54" s="42"/>
      <c r="G54" s="42"/>
      <c r="H54" s="42"/>
      <c r="I54" s="42"/>
      <c r="J54" s="42"/>
      <c r="K54" s="99"/>
    </row>
    <row r="55" spans="1:15">
      <c r="A55" s="2550"/>
      <c r="B55" s="2014"/>
      <c r="C55" s="86">
        <v>2018</v>
      </c>
      <c r="D55" s="50"/>
      <c r="E55" s="42"/>
      <c r="F55" s="42"/>
      <c r="G55" s="42"/>
      <c r="H55" s="42"/>
      <c r="I55" s="42"/>
      <c r="J55" s="42"/>
      <c r="K55" s="99"/>
    </row>
    <row r="56" spans="1:15">
      <c r="A56" s="2550"/>
      <c r="B56" s="2014"/>
      <c r="C56" s="86">
        <v>2019</v>
      </c>
      <c r="D56" s="50"/>
      <c r="E56" s="42"/>
      <c r="F56" s="42"/>
      <c r="G56" s="42"/>
      <c r="H56" s="42"/>
      <c r="I56" s="42"/>
      <c r="J56" s="42"/>
      <c r="K56" s="99"/>
    </row>
    <row r="57" spans="1:15">
      <c r="A57" s="2550"/>
      <c r="B57" s="2014"/>
      <c r="C57" s="86">
        <v>2020</v>
      </c>
      <c r="D57" s="50"/>
      <c r="E57" s="42"/>
      <c r="F57" s="42"/>
      <c r="G57" s="42"/>
      <c r="H57" s="42"/>
      <c r="I57" s="42"/>
      <c r="J57" s="42"/>
      <c r="K57" s="100"/>
    </row>
    <row r="58" spans="1:15" ht="20.25" customHeight="1" thickBot="1">
      <c r="A58" s="2009"/>
      <c r="B58" s="2016"/>
      <c r="C58" s="54" t="s">
        <v>12</v>
      </c>
      <c r="D58" s="55">
        <f>SUM(D51:D57)</f>
        <v>0</v>
      </c>
      <c r="E58" s="56">
        <f>SUM(E51:E57)</f>
        <v>0</v>
      </c>
      <c r="F58" s="56">
        <f>SUM(F51:F57)</f>
        <v>0</v>
      </c>
      <c r="G58" s="56">
        <f>SUM(G51:G57)</f>
        <v>0</v>
      </c>
      <c r="H58" s="56">
        <f>SUM(H51:H57)</f>
        <v>0</v>
      </c>
      <c r="I58" s="56">
        <f t="shared" ref="I58" si="3">SUM(I51:I57)</f>
        <v>0</v>
      </c>
      <c r="J58" s="56">
        <f>SUM(J51:J57)</f>
        <v>0</v>
      </c>
      <c r="K58" s="60">
        <f>SUM(K50:K56)</f>
        <v>0</v>
      </c>
    </row>
    <row r="59" spans="1:15" ht="15.75" thickBot="1"/>
    <row r="60" spans="1:15" ht="21" customHeight="1">
      <c r="A60" s="2268" t="s">
        <v>39</v>
      </c>
      <c r="B60" s="580"/>
      <c r="C60" s="2269" t="s">
        <v>8</v>
      </c>
      <c r="D60" s="2568" t="s">
        <v>40</v>
      </c>
      <c r="E60" s="1404" t="s">
        <v>5</v>
      </c>
      <c r="F60" s="1405"/>
      <c r="G60" s="1405"/>
      <c r="H60" s="1405"/>
      <c r="I60" s="1405"/>
      <c r="J60" s="1405"/>
      <c r="K60" s="1405"/>
      <c r="L60" s="1406"/>
    </row>
    <row r="61" spans="1:15" ht="115.5" customHeight="1">
      <c r="A61" s="2100"/>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552" t="s">
        <v>369</v>
      </c>
      <c r="B62" s="2025"/>
      <c r="C62" s="112">
        <v>2014</v>
      </c>
      <c r="D62" s="113"/>
      <c r="E62" s="114"/>
      <c r="F62" s="115"/>
      <c r="G62" s="115"/>
      <c r="H62" s="115"/>
      <c r="I62" s="115"/>
      <c r="J62" s="115"/>
      <c r="K62" s="115"/>
      <c r="L62" s="37"/>
      <c r="M62" s="8"/>
      <c r="N62" s="8"/>
      <c r="O62" s="8"/>
    </row>
    <row r="63" spans="1:15">
      <c r="A63" s="2553"/>
      <c r="B63" s="2025"/>
      <c r="C63" s="116">
        <v>2015</v>
      </c>
      <c r="D63" s="117">
        <v>3</v>
      </c>
      <c r="E63" s="118"/>
      <c r="F63" s="42"/>
      <c r="G63" s="42"/>
      <c r="H63" s="42"/>
      <c r="I63" s="42"/>
      <c r="J63" s="42"/>
      <c r="K63" s="42"/>
      <c r="L63" s="99">
        <v>3</v>
      </c>
      <c r="M63" s="8"/>
      <c r="N63" s="8"/>
      <c r="O63" s="8"/>
    </row>
    <row r="64" spans="1:15">
      <c r="A64" s="2553"/>
      <c r="B64" s="2025"/>
      <c r="C64" s="116">
        <v>2016</v>
      </c>
      <c r="D64" s="117">
        <v>8</v>
      </c>
      <c r="E64" s="118"/>
      <c r="F64" s="42">
        <v>2</v>
      </c>
      <c r="G64" s="42"/>
      <c r="H64" s="42">
        <v>3</v>
      </c>
      <c r="I64" s="42"/>
      <c r="J64" s="42"/>
      <c r="K64" s="42"/>
      <c r="L64" s="99">
        <v>3</v>
      </c>
      <c r="M64" s="8"/>
      <c r="N64" s="8"/>
      <c r="O64" s="8"/>
    </row>
    <row r="65" spans="1:20">
      <c r="A65" s="2553"/>
      <c r="B65" s="2025"/>
      <c r="C65" s="116">
        <v>2017</v>
      </c>
      <c r="D65" s="117"/>
      <c r="E65" s="118"/>
      <c r="F65" s="42"/>
      <c r="G65" s="42"/>
      <c r="H65" s="42"/>
      <c r="I65" s="42"/>
      <c r="J65" s="42"/>
      <c r="K65" s="42"/>
      <c r="L65" s="99"/>
      <c r="M65" s="8"/>
      <c r="N65" s="8"/>
      <c r="O65" s="8"/>
    </row>
    <row r="66" spans="1:20">
      <c r="A66" s="2553"/>
      <c r="B66" s="2025"/>
      <c r="C66" s="116">
        <v>2018</v>
      </c>
      <c r="D66" s="117"/>
      <c r="E66" s="118"/>
      <c r="F66" s="42"/>
      <c r="G66" s="42"/>
      <c r="H66" s="42"/>
      <c r="I66" s="42"/>
      <c r="J66" s="42"/>
      <c r="K66" s="42"/>
      <c r="L66" s="99"/>
      <c r="M66" s="8"/>
      <c r="N66" s="8"/>
      <c r="O66" s="8"/>
    </row>
    <row r="67" spans="1:20" ht="17.25" customHeight="1">
      <c r="A67" s="2553"/>
      <c r="B67" s="2025"/>
      <c r="C67" s="116">
        <v>2019</v>
      </c>
      <c r="D67" s="117"/>
      <c r="E67" s="118"/>
      <c r="F67" s="42"/>
      <c r="G67" s="42"/>
      <c r="H67" s="42"/>
      <c r="I67" s="42"/>
      <c r="J67" s="42"/>
      <c r="K67" s="42"/>
      <c r="L67" s="99"/>
      <c r="M67" s="8"/>
      <c r="N67" s="8"/>
      <c r="O67" s="8"/>
    </row>
    <row r="68" spans="1:20" ht="16.5" customHeight="1">
      <c r="A68" s="2553"/>
      <c r="B68" s="2025"/>
      <c r="C68" s="116">
        <v>2020</v>
      </c>
      <c r="D68" s="117"/>
      <c r="E68" s="118"/>
      <c r="F68" s="42"/>
      <c r="G68" s="42"/>
      <c r="H68" s="42"/>
      <c r="I68" s="42"/>
      <c r="J68" s="42"/>
      <c r="K68" s="42"/>
      <c r="L68" s="99"/>
      <c r="M68" s="121"/>
      <c r="N68" s="121"/>
      <c r="O68" s="121"/>
    </row>
    <row r="69" spans="1:20" ht="18" customHeight="1" thickBot="1">
      <c r="A69" s="2134"/>
      <c r="B69" s="2027"/>
      <c r="C69" s="122" t="s">
        <v>12</v>
      </c>
      <c r="D69" s="123">
        <f>SUM(D62:D68)</f>
        <v>11</v>
      </c>
      <c r="E69" s="124">
        <f>SUM(E62:E68)</f>
        <v>0</v>
      </c>
      <c r="F69" s="125">
        <f t="shared" ref="F69:I69" si="4">SUM(F62:F68)</f>
        <v>2</v>
      </c>
      <c r="G69" s="125">
        <f t="shared" si="4"/>
        <v>0</v>
      </c>
      <c r="H69" s="125">
        <f t="shared" si="4"/>
        <v>3</v>
      </c>
      <c r="I69" s="125">
        <f t="shared" si="4"/>
        <v>0</v>
      </c>
      <c r="J69" s="125"/>
      <c r="K69" s="125">
        <f>SUM(K62:K68)</f>
        <v>0</v>
      </c>
      <c r="L69" s="126">
        <f>SUM(L62:L68)</f>
        <v>6</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1407" t="s">
        <v>42</v>
      </c>
      <c r="B71" s="1408" t="s">
        <v>7</v>
      </c>
      <c r="C71" s="80" t="s">
        <v>8</v>
      </c>
      <c r="D71" s="132" t="s">
        <v>43</v>
      </c>
      <c r="E71" s="132" t="s">
        <v>44</v>
      </c>
      <c r="F71" s="133" t="s">
        <v>45</v>
      </c>
      <c r="G71" s="488" t="s">
        <v>46</v>
      </c>
      <c r="H71" s="135" t="s">
        <v>13</v>
      </c>
      <c r="I71" s="136" t="s">
        <v>14</v>
      </c>
      <c r="J71" s="137" t="s">
        <v>15</v>
      </c>
      <c r="K71" s="136" t="s">
        <v>16</v>
      </c>
      <c r="L71" s="136" t="s">
        <v>17</v>
      </c>
      <c r="M71" s="138" t="s">
        <v>18</v>
      </c>
      <c r="N71" s="137" t="s">
        <v>19</v>
      </c>
      <c r="O71" s="139" t="s">
        <v>20</v>
      </c>
    </row>
    <row r="72" spans="1:20" ht="15" customHeight="1">
      <c r="A72" s="2550"/>
      <c r="B72" s="2025"/>
      <c r="C72" s="84">
        <v>2014</v>
      </c>
      <c r="D72" s="140"/>
      <c r="E72" s="140"/>
      <c r="F72" s="140"/>
      <c r="G72" s="141">
        <f>SUM(D72:F72)</f>
        <v>0</v>
      </c>
      <c r="H72" s="33"/>
      <c r="I72" s="142"/>
      <c r="J72" s="115"/>
      <c r="K72" s="115"/>
      <c r="L72" s="115"/>
      <c r="M72" s="115"/>
      <c r="N72" s="115"/>
      <c r="O72" s="143"/>
    </row>
    <row r="73" spans="1:20">
      <c r="A73" s="2551"/>
      <c r="B73" s="2025"/>
      <c r="C73" s="86">
        <v>2015</v>
      </c>
      <c r="D73" s="147"/>
      <c r="E73" s="147"/>
      <c r="F73" s="147"/>
      <c r="G73" s="141">
        <f t="shared" ref="G73:G78" si="5">SUM(D73:F73)</f>
        <v>0</v>
      </c>
      <c r="H73" s="50"/>
      <c r="I73" s="50"/>
      <c r="J73" s="42"/>
      <c r="K73" s="42"/>
      <c r="L73" s="42"/>
      <c r="M73" s="42"/>
      <c r="N73" s="42"/>
      <c r="O73" s="99"/>
    </row>
    <row r="74" spans="1:20">
      <c r="A74" s="2551"/>
      <c r="B74" s="2025"/>
      <c r="C74" s="86">
        <v>2016</v>
      </c>
      <c r="D74" s="147"/>
      <c r="E74" s="147"/>
      <c r="F74" s="147"/>
      <c r="G74" s="141">
        <f t="shared" si="5"/>
        <v>0</v>
      </c>
      <c r="H74" s="50"/>
      <c r="I74" s="50"/>
      <c r="J74" s="42"/>
      <c r="K74" s="42"/>
      <c r="L74" s="42"/>
      <c r="M74" s="42"/>
      <c r="N74" s="42"/>
      <c r="O74" s="99"/>
    </row>
    <row r="75" spans="1:20">
      <c r="A75" s="2551"/>
      <c r="B75" s="2025"/>
      <c r="C75" s="86">
        <v>2017</v>
      </c>
      <c r="D75" s="147"/>
      <c r="E75" s="147"/>
      <c r="F75" s="147"/>
      <c r="G75" s="141">
        <f t="shared" si="5"/>
        <v>0</v>
      </c>
      <c r="H75" s="50"/>
      <c r="I75" s="50"/>
      <c r="J75" s="42"/>
      <c r="K75" s="42"/>
      <c r="L75" s="42"/>
      <c r="M75" s="42"/>
      <c r="N75" s="42"/>
      <c r="O75" s="99"/>
    </row>
    <row r="76" spans="1:20">
      <c r="A76" s="2551"/>
      <c r="B76" s="2025"/>
      <c r="C76" s="86">
        <v>2018</v>
      </c>
      <c r="D76" s="147"/>
      <c r="E76" s="147"/>
      <c r="F76" s="147"/>
      <c r="G76" s="141">
        <f t="shared" si="5"/>
        <v>0</v>
      </c>
      <c r="H76" s="50"/>
      <c r="I76" s="50"/>
      <c r="J76" s="42"/>
      <c r="K76" s="42"/>
      <c r="L76" s="42"/>
      <c r="M76" s="42"/>
      <c r="N76" s="42"/>
      <c r="O76" s="99"/>
    </row>
    <row r="77" spans="1:20" ht="15.75" customHeight="1">
      <c r="A77" s="2551"/>
      <c r="B77" s="2025"/>
      <c r="C77" s="86">
        <v>2019</v>
      </c>
      <c r="D77" s="147"/>
      <c r="E77" s="147"/>
      <c r="F77" s="147"/>
      <c r="G77" s="141">
        <f t="shared" si="5"/>
        <v>0</v>
      </c>
      <c r="H77" s="50"/>
      <c r="I77" s="50"/>
      <c r="J77" s="42"/>
      <c r="K77" s="42"/>
      <c r="L77" s="42"/>
      <c r="M77" s="42"/>
      <c r="N77" s="42"/>
      <c r="O77" s="99"/>
    </row>
    <row r="78" spans="1:20" ht="17.25" customHeight="1">
      <c r="A78" s="2551"/>
      <c r="B78" s="2025"/>
      <c r="C78" s="86">
        <v>2020</v>
      </c>
      <c r="D78" s="147"/>
      <c r="E78" s="147"/>
      <c r="F78" s="147"/>
      <c r="G78" s="141">
        <f t="shared" si="5"/>
        <v>0</v>
      </c>
      <c r="H78" s="50"/>
      <c r="I78" s="50"/>
      <c r="J78" s="42"/>
      <c r="K78" s="42"/>
      <c r="L78" s="42"/>
      <c r="M78" s="42"/>
      <c r="N78" s="42"/>
      <c r="O78" s="99"/>
    </row>
    <row r="79" spans="1:20" ht="20.25" customHeight="1" thickBot="1">
      <c r="A79" s="2134"/>
      <c r="B79" s="2027"/>
      <c r="C79" s="148" t="s">
        <v>12</v>
      </c>
      <c r="D79" s="123">
        <f>SUM(D72:D78)</f>
        <v>0</v>
      </c>
      <c r="E79" s="123">
        <f>SUM(E72:E78)</f>
        <v>0</v>
      </c>
      <c r="F79" s="123">
        <f>SUM(F72:F78)</f>
        <v>0</v>
      </c>
      <c r="G79" s="149">
        <f>SUM(G72:G78)</f>
        <v>0</v>
      </c>
      <c r="H79" s="150">
        <v>0</v>
      </c>
      <c r="I79" s="151">
        <f t="shared" ref="I79:O79" si="6">SUM(I72:I78)</f>
        <v>0</v>
      </c>
      <c r="J79" s="125">
        <f t="shared" si="6"/>
        <v>0</v>
      </c>
      <c r="K79" s="125">
        <f t="shared" si="6"/>
        <v>0</v>
      </c>
      <c r="L79" s="125">
        <f t="shared" si="6"/>
        <v>0</v>
      </c>
      <c r="M79" s="125">
        <f t="shared" si="6"/>
        <v>0</v>
      </c>
      <c r="N79" s="125">
        <f t="shared" si="6"/>
        <v>0</v>
      </c>
      <c r="O79" s="126">
        <f t="shared" si="6"/>
        <v>0</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1409" t="s">
        <v>49</v>
      </c>
      <c r="B84" s="1410" t="s">
        <v>50</v>
      </c>
      <c r="C84" s="161" t="s">
        <v>8</v>
      </c>
      <c r="D84" s="491" t="s">
        <v>51</v>
      </c>
      <c r="E84" s="163" t="s">
        <v>52</v>
      </c>
      <c r="F84" s="164" t="s">
        <v>53</v>
      </c>
      <c r="G84" s="164" t="s">
        <v>54</v>
      </c>
      <c r="H84" s="164" t="s">
        <v>55</v>
      </c>
      <c r="I84" s="164" t="s">
        <v>56</v>
      </c>
      <c r="J84" s="164" t="s">
        <v>57</v>
      </c>
      <c r="K84" s="165" t="s">
        <v>58</v>
      </c>
    </row>
    <row r="85" spans="1:16" ht="15" customHeight="1">
      <c r="A85" s="2554"/>
      <c r="B85" s="2025"/>
      <c r="C85" s="84">
        <v>2014</v>
      </c>
      <c r="D85" s="166"/>
      <c r="E85" s="167"/>
      <c r="F85" s="34"/>
      <c r="G85" s="34"/>
      <c r="H85" s="34"/>
      <c r="I85" s="34"/>
      <c r="J85" s="34"/>
      <c r="K85" s="37"/>
    </row>
    <row r="86" spans="1:16">
      <c r="A86" s="2555"/>
      <c r="B86" s="2025"/>
      <c r="C86" s="86">
        <v>2015</v>
      </c>
      <c r="D86" s="168"/>
      <c r="E86" s="118"/>
      <c r="F86" s="42"/>
      <c r="G86" s="42"/>
      <c r="H86" s="42"/>
      <c r="I86" s="42"/>
      <c r="J86" s="42"/>
      <c r="K86" s="99"/>
    </row>
    <row r="87" spans="1:16">
      <c r="A87" s="2555"/>
      <c r="B87" s="2025"/>
      <c r="C87" s="86">
        <v>2016</v>
      </c>
      <c r="D87" s="168"/>
      <c r="E87" s="118"/>
      <c r="F87" s="42"/>
      <c r="G87" s="42"/>
      <c r="H87" s="42"/>
      <c r="I87" s="42"/>
      <c r="J87" s="42"/>
      <c r="K87" s="99"/>
    </row>
    <row r="88" spans="1:16">
      <c r="A88" s="2555"/>
      <c r="B88" s="2025"/>
      <c r="C88" s="86">
        <v>2017</v>
      </c>
      <c r="D88" s="168"/>
      <c r="E88" s="118"/>
      <c r="F88" s="42"/>
      <c r="G88" s="42"/>
      <c r="H88" s="42"/>
      <c r="I88" s="42"/>
      <c r="J88" s="42"/>
      <c r="K88" s="99"/>
    </row>
    <row r="89" spans="1:16">
      <c r="A89" s="2555"/>
      <c r="B89" s="2025"/>
      <c r="C89" s="86">
        <v>2018</v>
      </c>
      <c r="D89" s="168"/>
      <c r="E89" s="118"/>
      <c r="F89" s="42"/>
      <c r="G89" s="42"/>
      <c r="H89" s="42"/>
      <c r="I89" s="42"/>
      <c r="J89" s="42"/>
      <c r="K89" s="99"/>
    </row>
    <row r="90" spans="1:16">
      <c r="A90" s="2555"/>
      <c r="B90" s="2025"/>
      <c r="C90" s="86">
        <v>2019</v>
      </c>
      <c r="D90" s="168"/>
      <c r="E90" s="118"/>
      <c r="F90" s="42"/>
      <c r="G90" s="42"/>
      <c r="H90" s="42"/>
      <c r="I90" s="42"/>
      <c r="J90" s="42"/>
      <c r="K90" s="99"/>
    </row>
    <row r="91" spans="1:16">
      <c r="A91" s="2555"/>
      <c r="B91" s="2025"/>
      <c r="C91" s="86">
        <v>2020</v>
      </c>
      <c r="D91" s="168"/>
      <c r="E91" s="118"/>
      <c r="F91" s="42"/>
      <c r="G91" s="42"/>
      <c r="H91" s="42"/>
      <c r="I91" s="42"/>
      <c r="J91" s="42"/>
      <c r="K91" s="99"/>
    </row>
    <row r="92" spans="1:16" ht="18" customHeight="1" thickBot="1">
      <c r="A92" s="2073"/>
      <c r="B92" s="2027"/>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571" t="s">
        <v>60</v>
      </c>
      <c r="B96" s="2572" t="s">
        <v>61</v>
      </c>
      <c r="C96" s="2573" t="s">
        <v>8</v>
      </c>
      <c r="D96" s="2207" t="s">
        <v>62</v>
      </c>
      <c r="E96" s="2208"/>
      <c r="F96" s="174" t="s">
        <v>63</v>
      </c>
      <c r="G96" s="1411"/>
      <c r="H96" s="1411"/>
      <c r="I96" s="1411"/>
      <c r="J96" s="1411"/>
      <c r="K96" s="1411"/>
      <c r="L96" s="1411"/>
      <c r="M96" s="494"/>
      <c r="N96" s="177"/>
      <c r="O96" s="177"/>
      <c r="P96" s="177"/>
    </row>
    <row r="97" spans="1:16" ht="100.5" customHeight="1">
      <c r="A97" s="2041"/>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552" t="s">
        <v>370</v>
      </c>
      <c r="B98" s="2025"/>
      <c r="C98" s="112">
        <v>2014</v>
      </c>
      <c r="D98" s="33"/>
      <c r="E98" s="34"/>
      <c r="F98" s="186"/>
      <c r="G98" s="187"/>
      <c r="H98" s="187"/>
      <c r="I98" s="187"/>
      <c r="J98" s="187"/>
      <c r="K98" s="187"/>
      <c r="L98" s="187"/>
      <c r="M98" s="188"/>
      <c r="N98" s="177"/>
      <c r="O98" s="177"/>
      <c r="P98" s="177"/>
    </row>
    <row r="99" spans="1:16" ht="16.5" customHeight="1">
      <c r="A99" s="2553"/>
      <c r="B99" s="2025"/>
      <c r="C99" s="116">
        <v>2015</v>
      </c>
      <c r="D99" s="50">
        <v>1</v>
      </c>
      <c r="E99" s="42">
        <v>2</v>
      </c>
      <c r="F99" s="189"/>
      <c r="G99" s="190"/>
      <c r="H99" s="190"/>
      <c r="I99" s="190"/>
      <c r="J99" s="190"/>
      <c r="K99" s="190"/>
      <c r="L99" s="190"/>
      <c r="M99" s="193">
        <v>1</v>
      </c>
      <c r="N99" s="177"/>
      <c r="O99" s="177"/>
      <c r="P99" s="177"/>
    </row>
    <row r="100" spans="1:16" ht="16.5" customHeight="1">
      <c r="A100" s="2553"/>
      <c r="B100" s="2025"/>
      <c r="C100" s="116">
        <v>2016</v>
      </c>
      <c r="D100" s="50">
        <v>1</v>
      </c>
      <c r="E100" s="42">
        <v>7</v>
      </c>
      <c r="F100" s="189"/>
      <c r="G100" s="190"/>
      <c r="H100" s="190"/>
      <c r="I100" s="190"/>
      <c r="J100" s="190"/>
      <c r="K100" s="190"/>
      <c r="L100" s="190"/>
      <c r="M100" s="193">
        <v>1</v>
      </c>
      <c r="N100" s="177"/>
      <c r="O100" s="177"/>
      <c r="P100" s="177"/>
    </row>
    <row r="101" spans="1:16" ht="16.5" customHeight="1">
      <c r="A101" s="2553"/>
      <c r="B101" s="2025"/>
      <c r="C101" s="116">
        <v>2017</v>
      </c>
      <c r="D101" s="50"/>
      <c r="E101" s="42"/>
      <c r="F101" s="189"/>
      <c r="G101" s="190"/>
      <c r="H101" s="190"/>
      <c r="I101" s="190"/>
      <c r="J101" s="190"/>
      <c r="K101" s="190"/>
      <c r="L101" s="190"/>
      <c r="M101" s="193"/>
      <c r="N101" s="177"/>
      <c r="O101" s="177"/>
      <c r="P101" s="177"/>
    </row>
    <row r="102" spans="1:16" ht="15.75" customHeight="1">
      <c r="A102" s="2553"/>
      <c r="B102" s="2025"/>
      <c r="C102" s="116">
        <v>2018</v>
      </c>
      <c r="D102" s="50"/>
      <c r="E102" s="42"/>
      <c r="F102" s="189"/>
      <c r="G102" s="190"/>
      <c r="H102" s="190"/>
      <c r="I102" s="190"/>
      <c r="J102" s="190"/>
      <c r="K102" s="190"/>
      <c r="L102" s="190"/>
      <c r="M102" s="193"/>
      <c r="N102" s="177"/>
      <c r="O102" s="177"/>
      <c r="P102" s="177"/>
    </row>
    <row r="103" spans="1:16" ht="14.25" customHeight="1">
      <c r="A103" s="2553"/>
      <c r="B103" s="2025"/>
      <c r="C103" s="116">
        <v>2019</v>
      </c>
      <c r="D103" s="50"/>
      <c r="E103" s="42"/>
      <c r="F103" s="189"/>
      <c r="G103" s="190"/>
      <c r="H103" s="190"/>
      <c r="I103" s="190"/>
      <c r="J103" s="190"/>
      <c r="K103" s="190"/>
      <c r="L103" s="190"/>
      <c r="M103" s="193"/>
      <c r="N103" s="177"/>
      <c r="O103" s="177"/>
      <c r="P103" s="177"/>
    </row>
    <row r="104" spans="1:16" ht="14.25" customHeight="1">
      <c r="A104" s="2553"/>
      <c r="B104" s="2025"/>
      <c r="C104" s="116">
        <v>2020</v>
      </c>
      <c r="D104" s="50"/>
      <c r="E104" s="42"/>
      <c r="F104" s="189"/>
      <c r="G104" s="190"/>
      <c r="H104" s="190"/>
      <c r="I104" s="190"/>
      <c r="J104" s="190"/>
      <c r="K104" s="190"/>
      <c r="L104" s="190"/>
      <c r="M104" s="193"/>
      <c r="N104" s="177"/>
      <c r="O104" s="177"/>
      <c r="P104" s="177"/>
    </row>
    <row r="105" spans="1:16" ht="19.5" customHeight="1" thickBot="1">
      <c r="A105" s="2046"/>
      <c r="B105" s="2027"/>
      <c r="C105" s="122" t="s">
        <v>12</v>
      </c>
      <c r="D105" s="151">
        <f>SUM(D98:D104)</f>
        <v>2</v>
      </c>
      <c r="E105" s="125">
        <f t="shared" ref="E105:K105" si="8">SUM(E98:E104)</f>
        <v>9</v>
      </c>
      <c r="F105" s="194">
        <f t="shared" si="8"/>
        <v>0</v>
      </c>
      <c r="G105" s="195">
        <f t="shared" si="8"/>
        <v>0</v>
      </c>
      <c r="H105" s="195">
        <f t="shared" si="8"/>
        <v>0</v>
      </c>
      <c r="I105" s="195">
        <f>SUM(I98:I104)</f>
        <v>0</v>
      </c>
      <c r="J105" s="195">
        <f t="shared" si="8"/>
        <v>0</v>
      </c>
      <c r="K105" s="195">
        <f t="shared" si="8"/>
        <v>0</v>
      </c>
      <c r="L105" s="195">
        <f>SUM(L98:L104)</f>
        <v>0</v>
      </c>
      <c r="M105" s="196">
        <f>SUM(M98:M104)</f>
        <v>2</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571" t="s">
        <v>69</v>
      </c>
      <c r="B107" s="2572" t="s">
        <v>61</v>
      </c>
      <c r="C107" s="2573" t="s">
        <v>8</v>
      </c>
      <c r="D107" s="2574" t="s">
        <v>70</v>
      </c>
      <c r="E107" s="174" t="s">
        <v>71</v>
      </c>
      <c r="F107" s="1411"/>
      <c r="G107" s="1411"/>
      <c r="H107" s="1411"/>
      <c r="I107" s="1411"/>
      <c r="J107" s="1411"/>
      <c r="K107" s="1411"/>
      <c r="L107" s="494"/>
      <c r="M107" s="199"/>
      <c r="N107" s="199"/>
    </row>
    <row r="108" spans="1:16" ht="103.5" customHeight="1">
      <c r="A108" s="2041"/>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552"/>
      <c r="B109" s="2025"/>
      <c r="C109" s="112">
        <v>2014</v>
      </c>
      <c r="D109" s="34"/>
      <c r="E109" s="186"/>
      <c r="F109" s="187"/>
      <c r="G109" s="187"/>
      <c r="H109" s="187"/>
      <c r="I109" s="187"/>
      <c r="J109" s="187"/>
      <c r="K109" s="187"/>
      <c r="L109" s="188"/>
      <c r="M109" s="199"/>
      <c r="N109" s="199"/>
    </row>
    <row r="110" spans="1:16">
      <c r="A110" s="2553"/>
      <c r="B110" s="2025"/>
      <c r="C110" s="116">
        <v>2015</v>
      </c>
      <c r="D110" s="42"/>
      <c r="E110" s="189"/>
      <c r="F110" s="190"/>
      <c r="G110" s="190"/>
      <c r="H110" s="190"/>
      <c r="I110" s="190"/>
      <c r="J110" s="190"/>
      <c r="K110" s="190"/>
      <c r="L110" s="193"/>
      <c r="M110" s="199"/>
      <c r="N110" s="199"/>
    </row>
    <row r="111" spans="1:16">
      <c r="A111" s="2553"/>
      <c r="B111" s="2025"/>
      <c r="C111" s="116">
        <v>2016</v>
      </c>
      <c r="D111" s="42"/>
      <c r="E111" s="189"/>
      <c r="F111" s="190"/>
      <c r="G111" s="190"/>
      <c r="H111" s="190"/>
      <c r="I111" s="190"/>
      <c r="J111" s="190"/>
      <c r="K111" s="190"/>
      <c r="L111" s="193"/>
      <c r="M111" s="199"/>
      <c r="N111" s="199"/>
    </row>
    <row r="112" spans="1:16">
      <c r="A112" s="2553"/>
      <c r="B112" s="2025"/>
      <c r="C112" s="116">
        <v>2017</v>
      </c>
      <c r="D112" s="42"/>
      <c r="E112" s="189"/>
      <c r="F112" s="190"/>
      <c r="G112" s="190"/>
      <c r="H112" s="190"/>
      <c r="I112" s="190"/>
      <c r="J112" s="190"/>
      <c r="K112" s="190"/>
      <c r="L112" s="193"/>
      <c r="M112" s="199"/>
      <c r="N112" s="199"/>
    </row>
    <row r="113" spans="1:14">
      <c r="A113" s="2553"/>
      <c r="B113" s="2025"/>
      <c r="C113" s="116">
        <v>2018</v>
      </c>
      <c r="D113" s="42"/>
      <c r="E113" s="189"/>
      <c r="F113" s="190"/>
      <c r="G113" s="190"/>
      <c r="H113" s="190"/>
      <c r="I113" s="190"/>
      <c r="J113" s="190"/>
      <c r="K113" s="190"/>
      <c r="L113" s="193"/>
      <c r="M113" s="199"/>
      <c r="N113" s="199"/>
    </row>
    <row r="114" spans="1:14">
      <c r="A114" s="2553"/>
      <c r="B114" s="2025"/>
      <c r="C114" s="116">
        <v>2019</v>
      </c>
      <c r="D114" s="42"/>
      <c r="E114" s="189"/>
      <c r="F114" s="190"/>
      <c r="G114" s="190"/>
      <c r="H114" s="190"/>
      <c r="I114" s="190"/>
      <c r="J114" s="190"/>
      <c r="K114" s="190"/>
      <c r="L114" s="193"/>
      <c r="M114" s="199"/>
      <c r="N114" s="199"/>
    </row>
    <row r="115" spans="1:14">
      <c r="A115" s="2553"/>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571" t="s">
        <v>72</v>
      </c>
      <c r="B118" s="2572" t="s">
        <v>61</v>
      </c>
      <c r="C118" s="2573" t="s">
        <v>8</v>
      </c>
      <c r="D118" s="2574" t="s">
        <v>73</v>
      </c>
      <c r="E118" s="174" t="s">
        <v>71</v>
      </c>
      <c r="F118" s="1411"/>
      <c r="G118" s="1411"/>
      <c r="H118" s="1411"/>
      <c r="I118" s="1411"/>
      <c r="J118" s="1411"/>
      <c r="K118" s="1411"/>
      <c r="L118" s="494"/>
      <c r="M118" s="199"/>
      <c r="N118" s="199"/>
    </row>
    <row r="119" spans="1:14" ht="120.75" customHeight="1">
      <c r="A119" s="2041"/>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552"/>
      <c r="B120" s="2025"/>
      <c r="C120" s="112">
        <v>2014</v>
      </c>
      <c r="D120" s="34"/>
      <c r="E120" s="186"/>
      <c r="F120" s="187"/>
      <c r="G120" s="187"/>
      <c r="H120" s="187"/>
      <c r="I120" s="187"/>
      <c r="J120" s="187"/>
      <c r="K120" s="187"/>
      <c r="L120" s="188"/>
      <c r="M120" s="199"/>
      <c r="N120" s="199"/>
    </row>
    <row r="121" spans="1:14">
      <c r="A121" s="2553"/>
      <c r="B121" s="2025"/>
      <c r="C121" s="116">
        <v>2015</v>
      </c>
      <c r="D121" s="42"/>
      <c r="E121" s="189"/>
      <c r="F121" s="190"/>
      <c r="G121" s="190"/>
      <c r="H121" s="190"/>
      <c r="I121" s="190"/>
      <c r="J121" s="190"/>
      <c r="K121" s="190"/>
      <c r="L121" s="193"/>
      <c r="M121" s="199"/>
      <c r="N121" s="199"/>
    </row>
    <row r="122" spans="1:14">
      <c r="A122" s="2553"/>
      <c r="B122" s="2025"/>
      <c r="C122" s="116">
        <v>2016</v>
      </c>
      <c r="D122" s="42"/>
      <c r="E122" s="189"/>
      <c r="F122" s="190"/>
      <c r="G122" s="190"/>
      <c r="H122" s="190"/>
      <c r="I122" s="190"/>
      <c r="J122" s="190"/>
      <c r="K122" s="190"/>
      <c r="L122" s="193"/>
      <c r="M122" s="199"/>
      <c r="N122" s="199"/>
    </row>
    <row r="123" spans="1:14">
      <c r="A123" s="2553"/>
      <c r="B123" s="2025"/>
      <c r="C123" s="116">
        <v>2017</v>
      </c>
      <c r="D123" s="42"/>
      <c r="E123" s="189"/>
      <c r="F123" s="190"/>
      <c r="G123" s="190"/>
      <c r="H123" s="190"/>
      <c r="I123" s="190"/>
      <c r="J123" s="190"/>
      <c r="K123" s="190"/>
      <c r="L123" s="193"/>
      <c r="M123" s="199"/>
      <c r="N123" s="199"/>
    </row>
    <row r="124" spans="1:14">
      <c r="A124" s="2553"/>
      <c r="B124" s="2025"/>
      <c r="C124" s="116">
        <v>2018</v>
      </c>
      <c r="D124" s="42"/>
      <c r="E124" s="189"/>
      <c r="F124" s="190"/>
      <c r="G124" s="190"/>
      <c r="H124" s="190"/>
      <c r="I124" s="190"/>
      <c r="J124" s="190"/>
      <c r="K124" s="190"/>
      <c r="L124" s="193"/>
      <c r="M124" s="199"/>
      <c r="N124" s="199"/>
    </row>
    <row r="125" spans="1:14">
      <c r="A125" s="2553"/>
      <c r="B125" s="2025"/>
      <c r="C125" s="116">
        <v>2019</v>
      </c>
      <c r="D125" s="42"/>
      <c r="E125" s="189"/>
      <c r="F125" s="190"/>
      <c r="G125" s="190"/>
      <c r="H125" s="190"/>
      <c r="I125" s="190"/>
      <c r="J125" s="190"/>
      <c r="K125" s="190"/>
      <c r="L125" s="193"/>
      <c r="M125" s="199"/>
      <c r="N125" s="199"/>
    </row>
    <row r="126" spans="1:14">
      <c r="A126" s="2553"/>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571" t="s">
        <v>74</v>
      </c>
      <c r="B129" s="2572" t="s">
        <v>61</v>
      </c>
      <c r="C129" s="1412" t="s">
        <v>8</v>
      </c>
      <c r="D129" s="496" t="s">
        <v>75</v>
      </c>
      <c r="E129" s="1413"/>
      <c r="F129" s="1413"/>
      <c r="G129" s="498"/>
      <c r="H129" s="199"/>
      <c r="I129" s="199"/>
      <c r="J129" s="199"/>
      <c r="K129" s="199"/>
      <c r="L129" s="199"/>
      <c r="M129" s="199"/>
      <c r="N129" s="199"/>
    </row>
    <row r="130" spans="1:16" ht="77.25" customHeight="1">
      <c r="A130" s="2041"/>
      <c r="B130" s="2043"/>
      <c r="C130" s="1373"/>
      <c r="D130" s="178" t="s">
        <v>76</v>
      </c>
      <c r="E130" s="207" t="s">
        <v>77</v>
      </c>
      <c r="F130" s="179" t="s">
        <v>78</v>
      </c>
      <c r="G130" s="208" t="s">
        <v>12</v>
      </c>
      <c r="H130" s="199"/>
      <c r="I130" s="199"/>
      <c r="J130" s="199"/>
      <c r="K130" s="199"/>
      <c r="L130" s="199"/>
      <c r="M130" s="199"/>
      <c r="N130" s="199"/>
    </row>
    <row r="131" spans="1:16" ht="15" customHeight="1">
      <c r="A131" s="2550"/>
      <c r="B131" s="1988"/>
      <c r="C131" s="112">
        <v>2015</v>
      </c>
      <c r="D131" s="33">
        <v>15</v>
      </c>
      <c r="E131" s="34"/>
      <c r="F131" s="34"/>
      <c r="G131" s="209">
        <f t="shared" ref="G131:G136" si="11">SUM(D131:F131)</f>
        <v>15</v>
      </c>
      <c r="H131" s="199"/>
      <c r="I131" s="199"/>
      <c r="J131" s="199"/>
      <c r="K131" s="199"/>
      <c r="L131" s="199"/>
      <c r="M131" s="199"/>
      <c r="N131" s="199"/>
    </row>
    <row r="132" spans="1:16">
      <c r="A132" s="2551"/>
      <c r="B132" s="1988"/>
      <c r="C132" s="116">
        <v>2016</v>
      </c>
      <c r="D132" s="50">
        <v>74</v>
      </c>
      <c r="E132" s="42"/>
      <c r="F132" s="42"/>
      <c r="G132" s="209">
        <f t="shared" si="11"/>
        <v>74</v>
      </c>
      <c r="H132" s="199"/>
      <c r="I132" s="199"/>
      <c r="J132" s="199"/>
      <c r="K132" s="199"/>
      <c r="L132" s="199"/>
      <c r="M132" s="199"/>
      <c r="N132" s="199"/>
    </row>
    <row r="133" spans="1:16">
      <c r="A133" s="2551"/>
      <c r="B133" s="1988"/>
      <c r="C133" s="116">
        <v>2017</v>
      </c>
      <c r="D133" s="50"/>
      <c r="E133" s="42"/>
      <c r="F133" s="42"/>
      <c r="G133" s="209">
        <f t="shared" si="11"/>
        <v>0</v>
      </c>
      <c r="H133" s="199"/>
      <c r="I133" s="199"/>
      <c r="J133" s="199"/>
      <c r="K133" s="199"/>
      <c r="L133" s="199"/>
      <c r="M133" s="199"/>
      <c r="N133" s="199"/>
    </row>
    <row r="134" spans="1:16">
      <c r="A134" s="2551"/>
      <c r="B134" s="1988"/>
      <c r="C134" s="116">
        <v>2018</v>
      </c>
      <c r="D134" s="50"/>
      <c r="E134" s="42"/>
      <c r="F134" s="42"/>
      <c r="G134" s="209">
        <f t="shared" si="11"/>
        <v>0</v>
      </c>
      <c r="H134" s="199"/>
      <c r="I134" s="199"/>
      <c r="J134" s="199"/>
      <c r="K134" s="199"/>
      <c r="L134" s="199"/>
      <c r="M134" s="199"/>
      <c r="N134" s="199"/>
    </row>
    <row r="135" spans="1:16">
      <c r="A135" s="2551"/>
      <c r="B135" s="1988"/>
      <c r="C135" s="116">
        <v>2019</v>
      </c>
      <c r="D135" s="50"/>
      <c r="E135" s="42"/>
      <c r="F135" s="42"/>
      <c r="G135" s="209">
        <f t="shared" si="11"/>
        <v>0</v>
      </c>
      <c r="H135" s="199"/>
      <c r="I135" s="199"/>
      <c r="J135" s="199"/>
      <c r="K135" s="199"/>
      <c r="L135" s="199"/>
      <c r="M135" s="199"/>
      <c r="N135" s="199"/>
    </row>
    <row r="136" spans="1:16">
      <c r="A136" s="2551"/>
      <c r="B136" s="1988"/>
      <c r="C136" s="116">
        <v>2020</v>
      </c>
      <c r="D136" s="50"/>
      <c r="E136" s="42"/>
      <c r="F136" s="42"/>
      <c r="G136" s="209">
        <f t="shared" si="11"/>
        <v>0</v>
      </c>
      <c r="H136" s="199"/>
      <c r="I136" s="199"/>
      <c r="J136" s="199"/>
      <c r="K136" s="199"/>
      <c r="L136" s="199"/>
      <c r="M136" s="199"/>
      <c r="N136" s="199"/>
    </row>
    <row r="137" spans="1:16" ht="17.25" customHeight="1" thickBot="1">
      <c r="A137" s="1989"/>
      <c r="B137" s="1990"/>
      <c r="C137" s="122" t="s">
        <v>12</v>
      </c>
      <c r="D137" s="151">
        <f>SUM(D131:D136)</f>
        <v>89</v>
      </c>
      <c r="E137" s="151">
        <f t="shared" ref="E137:F137" si="12">SUM(E131:E136)</f>
        <v>0</v>
      </c>
      <c r="F137" s="151">
        <f t="shared" si="12"/>
        <v>0</v>
      </c>
      <c r="G137" s="210">
        <f>SUM(G131:G136)</f>
        <v>89</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575" t="s">
        <v>80</v>
      </c>
      <c r="B142" s="2576" t="s">
        <v>61</v>
      </c>
      <c r="C142" s="2582" t="s">
        <v>8</v>
      </c>
      <c r="D142" s="1414" t="s">
        <v>81</v>
      </c>
      <c r="E142" s="1415"/>
      <c r="F142" s="1415"/>
      <c r="G142" s="1415"/>
      <c r="H142" s="1415"/>
      <c r="I142" s="1416"/>
      <c r="J142" s="2577" t="s">
        <v>82</v>
      </c>
      <c r="K142" s="2578"/>
      <c r="L142" s="2578"/>
      <c r="M142" s="2578"/>
      <c r="N142" s="2579"/>
      <c r="O142" s="177"/>
      <c r="P142" s="177"/>
    </row>
    <row r="143" spans="1:16" ht="113.25" customHeight="1">
      <c r="A143" s="2045"/>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552"/>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553"/>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553"/>
      <c r="B146" s="2025"/>
      <c r="C146" s="116">
        <v>2016</v>
      </c>
      <c r="D146" s="50"/>
      <c r="E146" s="50"/>
      <c r="F146" s="42"/>
      <c r="G146" s="190"/>
      <c r="H146" s="190"/>
      <c r="I146" s="227">
        <f t="shared" si="13"/>
        <v>0</v>
      </c>
      <c r="J146" s="231"/>
      <c r="K146" s="232"/>
      <c r="L146" s="231"/>
      <c r="M146" s="232"/>
      <c r="N146" s="233"/>
      <c r="O146" s="177"/>
      <c r="P146" s="177"/>
    </row>
    <row r="147" spans="1:16" ht="17.25" customHeight="1">
      <c r="A147" s="2553"/>
      <c r="B147" s="2025"/>
      <c r="C147" s="116">
        <v>2017</v>
      </c>
      <c r="D147" s="50"/>
      <c r="E147" s="50"/>
      <c r="F147" s="42"/>
      <c r="G147" s="190"/>
      <c r="H147" s="190"/>
      <c r="I147" s="227">
        <f t="shared" si="13"/>
        <v>0</v>
      </c>
      <c r="J147" s="231"/>
      <c r="K147" s="232"/>
      <c r="L147" s="231"/>
      <c r="M147" s="232"/>
      <c r="N147" s="233"/>
      <c r="O147" s="177"/>
      <c r="P147" s="177"/>
    </row>
    <row r="148" spans="1:16" ht="19.5" customHeight="1">
      <c r="A148" s="2553"/>
      <c r="B148" s="2025"/>
      <c r="C148" s="116">
        <v>2018</v>
      </c>
      <c r="D148" s="50"/>
      <c r="E148" s="50"/>
      <c r="F148" s="42"/>
      <c r="G148" s="190"/>
      <c r="H148" s="190"/>
      <c r="I148" s="227">
        <f t="shared" si="13"/>
        <v>0</v>
      </c>
      <c r="J148" s="231"/>
      <c r="K148" s="232"/>
      <c r="L148" s="231"/>
      <c r="M148" s="232"/>
      <c r="N148" s="233"/>
      <c r="O148" s="177"/>
      <c r="P148" s="177"/>
    </row>
    <row r="149" spans="1:16" ht="19.5" customHeight="1">
      <c r="A149" s="2553"/>
      <c r="B149" s="2025"/>
      <c r="C149" s="116">
        <v>2019</v>
      </c>
      <c r="D149" s="50"/>
      <c r="E149" s="50"/>
      <c r="F149" s="42"/>
      <c r="G149" s="190"/>
      <c r="H149" s="190"/>
      <c r="I149" s="227">
        <f t="shared" si="13"/>
        <v>0</v>
      </c>
      <c r="J149" s="231"/>
      <c r="K149" s="232"/>
      <c r="L149" s="231"/>
      <c r="M149" s="232"/>
      <c r="N149" s="233"/>
      <c r="O149" s="177"/>
      <c r="P149" s="177"/>
    </row>
    <row r="150" spans="1:16" ht="18.75" customHeight="1">
      <c r="A150" s="2553"/>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580" t="s">
        <v>93</v>
      </c>
      <c r="B153" s="2576" t="s">
        <v>61</v>
      </c>
      <c r="C153" s="2581" t="s">
        <v>8</v>
      </c>
      <c r="D153" s="1417" t="s">
        <v>94</v>
      </c>
      <c r="E153" s="1417"/>
      <c r="F153" s="503"/>
      <c r="G153" s="503"/>
      <c r="H153" s="1417" t="s">
        <v>95</v>
      </c>
      <c r="I153" s="1417"/>
      <c r="J153" s="504"/>
      <c r="K153" s="31"/>
      <c r="L153" s="31"/>
      <c r="M153" s="31"/>
      <c r="N153" s="31"/>
      <c r="O153" s="177"/>
      <c r="P153" s="177"/>
    </row>
    <row r="154" spans="1:16" ht="49.5" customHeight="1">
      <c r="A154" s="2556"/>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552"/>
      <c r="B155" s="2025"/>
      <c r="C155" s="247">
        <v>2014</v>
      </c>
      <c r="D155" s="228"/>
      <c r="E155" s="187"/>
      <c r="F155" s="229"/>
      <c r="G155" s="227">
        <f>SUM(D155:F155)</f>
        <v>0</v>
      </c>
      <c r="H155" s="228"/>
      <c r="I155" s="187"/>
      <c r="J155" s="188"/>
      <c r="O155" s="177"/>
      <c r="P155" s="177"/>
    </row>
    <row r="156" spans="1:16" ht="19.5" customHeight="1">
      <c r="A156" s="2553"/>
      <c r="B156" s="2025"/>
      <c r="C156" s="248">
        <v>2015</v>
      </c>
      <c r="D156" s="231"/>
      <c r="E156" s="190"/>
      <c r="F156" s="232"/>
      <c r="G156" s="227">
        <f t="shared" ref="G156:G161" si="15">SUM(D156:F156)</f>
        <v>0</v>
      </c>
      <c r="H156" s="231"/>
      <c r="I156" s="190"/>
      <c r="J156" s="193"/>
      <c r="O156" s="177"/>
      <c r="P156" s="177"/>
    </row>
    <row r="157" spans="1:16" ht="17.25" customHeight="1">
      <c r="A157" s="2553"/>
      <c r="B157" s="2025"/>
      <c r="C157" s="248">
        <v>2016</v>
      </c>
      <c r="D157" s="231"/>
      <c r="E157" s="190"/>
      <c r="F157" s="232"/>
      <c r="G157" s="227">
        <f t="shared" si="15"/>
        <v>0</v>
      </c>
      <c r="H157" s="231"/>
      <c r="I157" s="190"/>
      <c r="J157" s="193"/>
      <c r="O157" s="177"/>
      <c r="P157" s="177"/>
    </row>
    <row r="158" spans="1:16" ht="15" customHeight="1">
      <c r="A158" s="2553"/>
      <c r="B158" s="2025"/>
      <c r="C158" s="248">
        <v>2017</v>
      </c>
      <c r="D158" s="231"/>
      <c r="E158" s="190"/>
      <c r="F158" s="232"/>
      <c r="G158" s="227">
        <f t="shared" si="15"/>
        <v>0</v>
      </c>
      <c r="H158" s="231"/>
      <c r="I158" s="190"/>
      <c r="J158" s="193"/>
      <c r="O158" s="177"/>
      <c r="P158" s="177"/>
    </row>
    <row r="159" spans="1:16" ht="19.5" customHeight="1">
      <c r="A159" s="2553"/>
      <c r="B159" s="2025"/>
      <c r="C159" s="248">
        <v>2018</v>
      </c>
      <c r="D159" s="231"/>
      <c r="E159" s="190"/>
      <c r="F159" s="232"/>
      <c r="G159" s="227">
        <f t="shared" si="15"/>
        <v>0</v>
      </c>
      <c r="H159" s="231"/>
      <c r="I159" s="190"/>
      <c r="J159" s="193"/>
      <c r="O159" s="177"/>
      <c r="P159" s="177"/>
    </row>
    <row r="160" spans="1:16" ht="15" customHeight="1">
      <c r="A160" s="2553"/>
      <c r="B160" s="2025"/>
      <c r="C160" s="248">
        <v>2019</v>
      </c>
      <c r="D160" s="231"/>
      <c r="E160" s="190"/>
      <c r="F160" s="232"/>
      <c r="G160" s="227">
        <f t="shared" si="15"/>
        <v>0</v>
      </c>
      <c r="H160" s="231"/>
      <c r="I160" s="190"/>
      <c r="J160" s="193"/>
      <c r="O160" s="177"/>
      <c r="P160" s="177"/>
    </row>
    <row r="161" spans="1:18" ht="17.25" customHeight="1">
      <c r="A161" s="2553"/>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1418"/>
      <c r="F163" s="177"/>
      <c r="G163" s="177"/>
      <c r="H163" s="177"/>
      <c r="I163" s="177"/>
      <c r="J163" s="255"/>
      <c r="K163" s="256"/>
    </row>
    <row r="164" spans="1:18" ht="95.25" customHeight="1">
      <c r="A164" s="506" t="s">
        <v>102</v>
      </c>
      <c r="B164" s="258" t="s">
        <v>103</v>
      </c>
      <c r="C164" s="1419" t="s">
        <v>8</v>
      </c>
      <c r="D164" s="260" t="s">
        <v>104</v>
      </c>
      <c r="E164" s="260" t="s">
        <v>105</v>
      </c>
      <c r="F164" s="1420" t="s">
        <v>106</v>
      </c>
      <c r="G164" s="260" t="s">
        <v>107</v>
      </c>
      <c r="H164" s="260" t="s">
        <v>108</v>
      </c>
      <c r="I164" s="262" t="s">
        <v>109</v>
      </c>
      <c r="J164" s="509" t="s">
        <v>110</v>
      </c>
      <c r="K164" s="509" t="s">
        <v>111</v>
      </c>
      <c r="L164" s="1371"/>
    </row>
    <row r="165" spans="1:18" ht="15.75" customHeight="1">
      <c r="A165" s="2011"/>
      <c r="B165" s="2012"/>
      <c r="C165" s="265">
        <v>2014</v>
      </c>
      <c r="D165" s="187"/>
      <c r="E165" s="187"/>
      <c r="F165" s="187"/>
      <c r="G165" s="187"/>
      <c r="H165" s="187"/>
      <c r="I165" s="188"/>
      <c r="J165" s="266">
        <f>SUM(D165,F165,H165)</f>
        <v>0</v>
      </c>
      <c r="K165" s="267">
        <f>SUM(E165,G165,I165)</f>
        <v>0</v>
      </c>
      <c r="L165" s="1371"/>
    </row>
    <row r="166" spans="1:18">
      <c r="A166" s="2013"/>
      <c r="B166" s="2014"/>
      <c r="C166" s="268">
        <v>2015</v>
      </c>
      <c r="D166" s="269"/>
      <c r="E166" s="269"/>
      <c r="F166" s="269"/>
      <c r="G166" s="269"/>
      <c r="H166" s="269"/>
      <c r="I166" s="270"/>
      <c r="J166" s="271">
        <f t="shared" ref="J166:K171" si="17">SUM(D166,F166,H166)</f>
        <v>0</v>
      </c>
      <c r="K166" s="272">
        <f t="shared" si="17"/>
        <v>0</v>
      </c>
      <c r="L166" s="1371"/>
    </row>
    <row r="167" spans="1:18">
      <c r="A167" s="2013"/>
      <c r="B167" s="2014"/>
      <c r="C167" s="268">
        <v>2016</v>
      </c>
      <c r="D167" s="269"/>
      <c r="E167" s="269"/>
      <c r="F167" s="269"/>
      <c r="G167" s="269"/>
      <c r="H167" s="269"/>
      <c r="I167" s="270"/>
      <c r="J167" s="271">
        <f t="shared" si="17"/>
        <v>0</v>
      </c>
      <c r="K167" s="272">
        <f t="shared" si="17"/>
        <v>0</v>
      </c>
    </row>
    <row r="168" spans="1:18">
      <c r="A168" s="2013"/>
      <c r="B168" s="2014"/>
      <c r="C168" s="268">
        <v>2017</v>
      </c>
      <c r="D168" s="269"/>
      <c r="E168" s="177"/>
      <c r="F168" s="269"/>
      <c r="G168" s="269"/>
      <c r="H168" s="269"/>
      <c r="I168" s="270"/>
      <c r="J168" s="271">
        <f t="shared" si="17"/>
        <v>0</v>
      </c>
      <c r="K168" s="272">
        <f t="shared" si="17"/>
        <v>0</v>
      </c>
    </row>
    <row r="169" spans="1:18">
      <c r="A169" s="2013"/>
      <c r="B169" s="2014"/>
      <c r="C169" s="273">
        <v>2018</v>
      </c>
      <c r="D169" s="269"/>
      <c r="E169" s="269"/>
      <c r="F169" s="269"/>
      <c r="G169" s="274"/>
      <c r="H169" s="269"/>
      <c r="I169" s="270"/>
      <c r="J169" s="271">
        <f t="shared" si="17"/>
        <v>0</v>
      </c>
      <c r="K169" s="272">
        <f t="shared" si="17"/>
        <v>0</v>
      </c>
      <c r="L169" s="1371"/>
    </row>
    <row r="170" spans="1:18">
      <c r="A170" s="2013"/>
      <c r="B170" s="2014"/>
      <c r="C170" s="268">
        <v>2019</v>
      </c>
      <c r="D170" s="177"/>
      <c r="E170" s="269"/>
      <c r="F170" s="269"/>
      <c r="G170" s="269"/>
      <c r="H170" s="274"/>
      <c r="I170" s="270"/>
      <c r="J170" s="271">
        <f t="shared" si="17"/>
        <v>0</v>
      </c>
      <c r="K170" s="272">
        <f t="shared" si="17"/>
        <v>0</v>
      </c>
      <c r="L170" s="1371"/>
    </row>
    <row r="171" spans="1:18">
      <c r="A171" s="2013"/>
      <c r="B171" s="2014"/>
      <c r="C171" s="273">
        <v>2020</v>
      </c>
      <c r="D171" s="269"/>
      <c r="E171" s="269"/>
      <c r="F171" s="269"/>
      <c r="G171" s="269"/>
      <c r="H171" s="269"/>
      <c r="I171" s="270"/>
      <c r="J171" s="271">
        <f t="shared" si="17"/>
        <v>0</v>
      </c>
      <c r="K171" s="272">
        <f t="shared" si="17"/>
        <v>0</v>
      </c>
      <c r="L171" s="1371"/>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1371"/>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584" t="s">
        <v>113</v>
      </c>
      <c r="B176" s="2585" t="s">
        <v>114</v>
      </c>
      <c r="C176" s="2586" t="s">
        <v>8</v>
      </c>
      <c r="D176" s="510" t="s">
        <v>115</v>
      </c>
      <c r="E176" s="1421"/>
      <c r="F176" s="1421"/>
      <c r="G176" s="512"/>
      <c r="H176" s="513"/>
      <c r="I176" s="2021" t="s">
        <v>116</v>
      </c>
      <c r="J176" s="2587"/>
      <c r="K176" s="2587"/>
      <c r="L176" s="2587"/>
      <c r="M176" s="2587"/>
      <c r="N176" s="2587"/>
      <c r="O176" s="2233"/>
    </row>
    <row r="177" spans="1:15" s="31" customFormat="1" ht="129.75" customHeight="1">
      <c r="A177" s="2018"/>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553"/>
      <c r="B178" s="2025"/>
      <c r="C178" s="112">
        <v>2014</v>
      </c>
      <c r="D178" s="33"/>
      <c r="E178" s="34"/>
      <c r="F178" s="34"/>
      <c r="G178" s="293">
        <f>SUM(D178:F178)</f>
        <v>0</v>
      </c>
      <c r="H178" s="167"/>
      <c r="I178" s="167"/>
      <c r="J178" s="34"/>
      <c r="K178" s="34"/>
      <c r="L178" s="34"/>
      <c r="M178" s="34"/>
      <c r="N178" s="34"/>
      <c r="O178" s="37"/>
    </row>
    <row r="179" spans="1:15">
      <c r="A179" s="2553"/>
      <c r="B179" s="2025"/>
      <c r="C179" s="116">
        <v>2015</v>
      </c>
      <c r="D179" s="50">
        <v>10</v>
      </c>
      <c r="E179" s="42"/>
      <c r="F179" s="42"/>
      <c r="G179" s="293">
        <f t="shared" ref="G179:G184" si="19">SUM(D179:F179)</f>
        <v>10</v>
      </c>
      <c r="H179" s="294">
        <v>10</v>
      </c>
      <c r="I179" s="118"/>
      <c r="J179" s="42"/>
      <c r="K179" s="42"/>
      <c r="L179" s="42">
        <v>8</v>
      </c>
      <c r="M179" s="42">
        <v>2</v>
      </c>
      <c r="N179" s="42"/>
      <c r="O179" s="99"/>
    </row>
    <row r="180" spans="1:15">
      <c r="A180" s="2553"/>
      <c r="B180" s="2025"/>
      <c r="C180" s="116">
        <v>2016</v>
      </c>
      <c r="D180" s="50">
        <v>35</v>
      </c>
      <c r="E180" s="42">
        <v>1</v>
      </c>
      <c r="F180" s="42"/>
      <c r="G180" s="293">
        <f t="shared" si="19"/>
        <v>36</v>
      </c>
      <c r="H180" s="294">
        <v>38</v>
      </c>
      <c r="I180" s="118"/>
      <c r="J180" s="42">
        <v>6</v>
      </c>
      <c r="K180" s="42"/>
      <c r="L180" s="42">
        <v>25</v>
      </c>
      <c r="M180" s="42">
        <v>5</v>
      </c>
      <c r="N180" s="42"/>
      <c r="O180" s="99"/>
    </row>
    <row r="181" spans="1:15">
      <c r="A181" s="2553"/>
      <c r="B181" s="2025"/>
      <c r="C181" s="116">
        <v>2017</v>
      </c>
      <c r="D181" s="50"/>
      <c r="E181" s="42"/>
      <c r="F181" s="42"/>
      <c r="G181" s="293">
        <f t="shared" si="19"/>
        <v>0</v>
      </c>
      <c r="H181" s="294"/>
      <c r="I181" s="118"/>
      <c r="J181" s="42"/>
      <c r="K181" s="42"/>
      <c r="L181" s="42"/>
      <c r="M181" s="42"/>
      <c r="N181" s="42"/>
      <c r="O181" s="99"/>
    </row>
    <row r="182" spans="1:15">
      <c r="A182" s="2553"/>
      <c r="B182" s="2025"/>
      <c r="C182" s="116">
        <v>2018</v>
      </c>
      <c r="D182" s="50"/>
      <c r="E182" s="42"/>
      <c r="F182" s="42"/>
      <c r="G182" s="293">
        <f t="shared" si="19"/>
        <v>0</v>
      </c>
      <c r="H182" s="294"/>
      <c r="I182" s="118"/>
      <c r="J182" s="42"/>
      <c r="K182" s="42"/>
      <c r="L182" s="42"/>
      <c r="M182" s="42"/>
      <c r="N182" s="42"/>
      <c r="O182" s="99"/>
    </row>
    <row r="183" spans="1:15">
      <c r="A183" s="2553"/>
      <c r="B183" s="2025"/>
      <c r="C183" s="116">
        <v>2019</v>
      </c>
      <c r="D183" s="50"/>
      <c r="E183" s="42"/>
      <c r="F183" s="42"/>
      <c r="G183" s="293">
        <f t="shared" si="19"/>
        <v>0</v>
      </c>
      <c r="H183" s="294"/>
      <c r="I183" s="118"/>
      <c r="J183" s="42"/>
      <c r="K183" s="42"/>
      <c r="L183" s="42"/>
      <c r="M183" s="42"/>
      <c r="N183" s="42"/>
      <c r="O183" s="99"/>
    </row>
    <row r="184" spans="1:15">
      <c r="A184" s="2553"/>
      <c r="B184" s="2025"/>
      <c r="C184" s="116">
        <v>2020</v>
      </c>
      <c r="D184" s="50"/>
      <c r="E184" s="42"/>
      <c r="F184" s="42"/>
      <c r="G184" s="293">
        <f t="shared" si="19"/>
        <v>0</v>
      </c>
      <c r="H184" s="294"/>
      <c r="I184" s="118"/>
      <c r="J184" s="42"/>
      <c r="K184" s="42"/>
      <c r="L184" s="42"/>
      <c r="M184" s="42"/>
      <c r="N184" s="42"/>
      <c r="O184" s="99"/>
    </row>
    <row r="185" spans="1:15" ht="45" customHeight="1" thickBot="1">
      <c r="A185" s="2026"/>
      <c r="B185" s="2027"/>
      <c r="C185" s="122" t="s">
        <v>12</v>
      </c>
      <c r="D185" s="151">
        <f>SUM(D178:D184)</f>
        <v>45</v>
      </c>
      <c r="E185" s="125">
        <f>SUM(E178:E184)</f>
        <v>1</v>
      </c>
      <c r="F185" s="125">
        <f>SUM(F178:F184)</f>
        <v>0</v>
      </c>
      <c r="G185" s="234">
        <f t="shared" ref="G185:O185" si="20">SUM(G178:G184)</f>
        <v>46</v>
      </c>
      <c r="H185" s="295">
        <f t="shared" si="20"/>
        <v>48</v>
      </c>
      <c r="I185" s="124">
        <f t="shared" si="20"/>
        <v>0</v>
      </c>
      <c r="J185" s="125">
        <f t="shared" si="20"/>
        <v>6</v>
      </c>
      <c r="K185" s="125">
        <f t="shared" si="20"/>
        <v>0</v>
      </c>
      <c r="L185" s="125">
        <f t="shared" si="20"/>
        <v>33</v>
      </c>
      <c r="M185" s="125">
        <f t="shared" si="20"/>
        <v>7</v>
      </c>
      <c r="N185" s="125">
        <f t="shared" si="20"/>
        <v>0</v>
      </c>
      <c r="O185" s="126">
        <f t="shared" si="20"/>
        <v>0</v>
      </c>
    </row>
    <row r="186" spans="1:15" ht="33" customHeight="1" thickBot="1"/>
    <row r="187" spans="1:15" ht="19.5" customHeight="1">
      <c r="A187" s="2235" t="s">
        <v>122</v>
      </c>
      <c r="B187" s="2585" t="s">
        <v>114</v>
      </c>
      <c r="C187" s="1998" t="s">
        <v>8</v>
      </c>
      <c r="D187" s="2000" t="s">
        <v>123</v>
      </c>
      <c r="E187" s="2583"/>
      <c r="F187" s="2583"/>
      <c r="G187" s="2220"/>
      <c r="H187" s="2221"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111"/>
      <c r="B189" s="2112"/>
      <c r="C189" s="392">
        <v>2014</v>
      </c>
      <c r="D189" s="142"/>
      <c r="E189" s="115"/>
      <c r="F189" s="115"/>
      <c r="G189" s="301">
        <f>SUM(D189:F189)</f>
        <v>0</v>
      </c>
      <c r="H189" s="114"/>
      <c r="I189" s="115"/>
      <c r="J189" s="115"/>
      <c r="K189" s="115"/>
      <c r="L189" s="143"/>
    </row>
    <row r="190" spans="1:15">
      <c r="A190" s="2557"/>
      <c r="B190" s="1988"/>
      <c r="C190" s="86">
        <v>2015</v>
      </c>
      <c r="D190" s="50">
        <v>523</v>
      </c>
      <c r="E190" s="42"/>
      <c r="F190" s="42"/>
      <c r="G190" s="301">
        <f t="shared" ref="G190:G195" si="21">SUM(D190:F190)</f>
        <v>523</v>
      </c>
      <c r="H190" s="118"/>
      <c r="I190" s="42">
        <v>51</v>
      </c>
      <c r="J190" s="42"/>
      <c r="K190" s="42"/>
      <c r="L190" s="99">
        <v>472</v>
      </c>
      <c r="M190">
        <f>SUM(H190:L190)</f>
        <v>523</v>
      </c>
    </row>
    <row r="191" spans="1:15">
      <c r="A191" s="2557"/>
      <c r="B191" s="1988"/>
      <c r="C191" s="86">
        <v>2016</v>
      </c>
      <c r="D191" s="50">
        <v>1440</v>
      </c>
      <c r="E191" s="42">
        <v>20</v>
      </c>
      <c r="F191" s="42"/>
      <c r="G191" s="301">
        <f t="shared" si="21"/>
        <v>1460</v>
      </c>
      <c r="H191" s="118"/>
      <c r="I191" s="42">
        <v>155</v>
      </c>
      <c r="J191" s="42"/>
      <c r="K191" s="42">
        <v>829</v>
      </c>
      <c r="L191" s="99">
        <v>476</v>
      </c>
      <c r="M191">
        <f>SUM(H191:L191)</f>
        <v>1460</v>
      </c>
    </row>
    <row r="192" spans="1:15">
      <c r="A192" s="2557"/>
      <c r="B192" s="1988"/>
      <c r="C192" s="86">
        <v>2017</v>
      </c>
      <c r="D192" s="50"/>
      <c r="E192" s="42"/>
      <c r="F192" s="42"/>
      <c r="G192" s="301">
        <f t="shared" si="21"/>
        <v>0</v>
      </c>
      <c r="H192" s="118"/>
      <c r="I192" s="42"/>
      <c r="J192" s="42"/>
      <c r="K192" s="42"/>
      <c r="L192" s="99"/>
    </row>
    <row r="193" spans="1:14">
      <c r="A193" s="2557"/>
      <c r="B193" s="1988"/>
      <c r="C193" s="86">
        <v>2018</v>
      </c>
      <c r="D193" s="50"/>
      <c r="E193" s="42"/>
      <c r="F193" s="42"/>
      <c r="G193" s="301">
        <f t="shared" si="21"/>
        <v>0</v>
      </c>
      <c r="H193" s="118"/>
      <c r="I193" s="42"/>
      <c r="J193" s="42"/>
      <c r="K193" s="42"/>
      <c r="L193" s="99"/>
    </row>
    <row r="194" spans="1:14">
      <c r="A194" s="2557"/>
      <c r="B194" s="1988"/>
      <c r="C194" s="86">
        <v>2019</v>
      </c>
      <c r="D194" s="50"/>
      <c r="E194" s="42"/>
      <c r="F194" s="42"/>
      <c r="G194" s="301">
        <f t="shared" si="21"/>
        <v>0</v>
      </c>
      <c r="H194" s="118"/>
      <c r="I194" s="42"/>
      <c r="J194" s="42"/>
      <c r="K194" s="42"/>
      <c r="L194" s="99"/>
    </row>
    <row r="195" spans="1:14">
      <c r="A195" s="2557"/>
      <c r="B195" s="1988"/>
      <c r="C195" s="86">
        <v>2020</v>
      </c>
      <c r="D195" s="50"/>
      <c r="E195" s="42"/>
      <c r="F195" s="42"/>
      <c r="G195" s="301">
        <f t="shared" si="21"/>
        <v>0</v>
      </c>
      <c r="H195" s="118"/>
      <c r="I195" s="42"/>
      <c r="J195" s="42"/>
      <c r="K195" s="42"/>
      <c r="L195" s="99"/>
    </row>
    <row r="196" spans="1:14" ht="15.75" thickBot="1">
      <c r="A196" s="2114"/>
      <c r="B196" s="1990"/>
      <c r="C196" s="148" t="s">
        <v>12</v>
      </c>
      <c r="D196" s="151">
        <f t="shared" ref="D196:L196" si="22">SUM(D189:D195)</f>
        <v>1963</v>
      </c>
      <c r="E196" s="125">
        <f t="shared" si="22"/>
        <v>20</v>
      </c>
      <c r="F196" s="125">
        <f t="shared" si="22"/>
        <v>0</v>
      </c>
      <c r="G196" s="304">
        <f t="shared" si="22"/>
        <v>1983</v>
      </c>
      <c r="H196" s="124">
        <f t="shared" si="22"/>
        <v>0</v>
      </c>
      <c r="I196" s="125">
        <f t="shared" si="22"/>
        <v>206</v>
      </c>
      <c r="J196" s="125">
        <f t="shared" si="22"/>
        <v>0</v>
      </c>
      <c r="K196" s="125">
        <f t="shared" si="22"/>
        <v>829</v>
      </c>
      <c r="L196" s="126">
        <f t="shared" si="22"/>
        <v>948</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1422" t="s">
        <v>135</v>
      </c>
      <c r="B201" s="309" t="s">
        <v>114</v>
      </c>
      <c r="C201" s="310" t="s">
        <v>8</v>
      </c>
      <c r="D201" s="515" t="s">
        <v>136</v>
      </c>
      <c r="E201" s="312" t="s">
        <v>137</v>
      </c>
      <c r="F201" s="312" t="s">
        <v>138</v>
      </c>
      <c r="G201" s="310" t="s">
        <v>139</v>
      </c>
      <c r="H201" s="1423" t="s">
        <v>140</v>
      </c>
      <c r="I201" s="517" t="s">
        <v>141</v>
      </c>
      <c r="J201" s="518" t="s">
        <v>142</v>
      </c>
      <c r="K201" s="312" t="s">
        <v>143</v>
      </c>
      <c r="L201" s="316" t="s">
        <v>144</v>
      </c>
    </row>
    <row r="202" spans="1:14" ht="15" customHeight="1">
      <c r="A202" s="2551"/>
      <c r="B202" s="1988"/>
      <c r="C202" s="84">
        <v>2014</v>
      </c>
      <c r="D202" s="33"/>
      <c r="E202" s="34"/>
      <c r="F202" s="34"/>
      <c r="G202" s="32"/>
      <c r="H202" s="317"/>
      <c r="I202" s="318"/>
      <c r="J202" s="319"/>
      <c r="K202" s="34"/>
      <c r="L202" s="37"/>
    </row>
    <row r="203" spans="1:14">
      <c r="A203" s="2551"/>
      <c r="B203" s="1988"/>
      <c r="C203" s="86">
        <v>2015</v>
      </c>
      <c r="D203" s="50"/>
      <c r="E203" s="42"/>
      <c r="F203" s="42"/>
      <c r="G203" s="39"/>
      <c r="H203" s="320"/>
      <c r="I203" s="321"/>
      <c r="J203" s="322"/>
      <c r="K203" s="42"/>
      <c r="L203" s="99"/>
    </row>
    <row r="204" spans="1:14">
      <c r="A204" s="2551"/>
      <c r="B204" s="1988"/>
      <c r="C204" s="86">
        <v>2016</v>
      </c>
      <c r="D204" s="50">
        <v>1</v>
      </c>
      <c r="E204" s="42">
        <v>45</v>
      </c>
      <c r="F204" s="42"/>
      <c r="G204" s="39"/>
      <c r="H204" s="320"/>
      <c r="I204" s="321"/>
      <c r="J204" s="322"/>
      <c r="K204" s="42"/>
      <c r="L204" s="99"/>
    </row>
    <row r="205" spans="1:14">
      <c r="A205" s="2551"/>
      <c r="B205" s="1988"/>
      <c r="C205" s="86">
        <v>2017</v>
      </c>
      <c r="D205" s="50"/>
      <c r="E205" s="42"/>
      <c r="F205" s="42"/>
      <c r="G205" s="39"/>
      <c r="H205" s="320"/>
      <c r="I205" s="321"/>
      <c r="J205" s="322"/>
      <c r="K205" s="42"/>
      <c r="L205" s="99"/>
    </row>
    <row r="206" spans="1:14">
      <c r="A206" s="2551"/>
      <c r="B206" s="1988"/>
      <c r="C206" s="86">
        <v>2018</v>
      </c>
      <c r="D206" s="50"/>
      <c r="E206" s="42"/>
      <c r="F206" s="42"/>
      <c r="G206" s="39"/>
      <c r="H206" s="320"/>
      <c r="I206" s="321"/>
      <c r="J206" s="322"/>
      <c r="K206" s="42"/>
      <c r="L206" s="99"/>
    </row>
    <row r="207" spans="1:14">
      <c r="A207" s="2551"/>
      <c r="B207" s="1988"/>
      <c r="C207" s="86">
        <v>2019</v>
      </c>
      <c r="D207" s="50"/>
      <c r="E207" s="42"/>
      <c r="F207" s="42"/>
      <c r="G207" s="39"/>
      <c r="H207" s="320"/>
      <c r="I207" s="321"/>
      <c r="J207" s="322"/>
      <c r="K207" s="42"/>
      <c r="L207" s="99"/>
    </row>
    <row r="208" spans="1:14">
      <c r="A208" s="2551"/>
      <c r="B208" s="1988"/>
      <c r="C208" s="86">
        <v>2020</v>
      </c>
      <c r="D208" s="1375"/>
      <c r="E208" s="324"/>
      <c r="F208" s="324"/>
      <c r="G208" s="325"/>
      <c r="H208" s="326"/>
      <c r="I208" s="327"/>
      <c r="J208" s="328"/>
      <c r="K208" s="324"/>
      <c r="L208" s="329"/>
    </row>
    <row r="209" spans="1:12" ht="20.25" customHeight="1" thickBot="1">
      <c r="A209" s="1989"/>
      <c r="B209" s="1990"/>
      <c r="C209" s="148" t="s">
        <v>12</v>
      </c>
      <c r="D209" s="151">
        <f>SUM(D202:D208)</f>
        <v>1</v>
      </c>
      <c r="E209" s="151">
        <f t="shared" ref="E209:L209" si="23">SUM(E202:E208)</f>
        <v>45</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1424" t="s">
        <v>145</v>
      </c>
      <c r="B212" s="331" t="s">
        <v>146</v>
      </c>
      <c r="C212" s="332">
        <v>2014</v>
      </c>
      <c r="D212" s="333">
        <v>2015</v>
      </c>
      <c r="E212" s="333">
        <v>2016</v>
      </c>
      <c r="F212" s="333">
        <v>2017</v>
      </c>
      <c r="G212" s="333">
        <v>2018</v>
      </c>
      <c r="H212" s="333">
        <v>2019</v>
      </c>
      <c r="I212" s="334">
        <v>2020</v>
      </c>
    </row>
    <row r="213" spans="1:12" ht="15" customHeight="1">
      <c r="A213" t="s">
        <v>147</v>
      </c>
      <c r="B213" s="2196" t="s">
        <v>371</v>
      </c>
      <c r="C213" s="84"/>
      <c r="D213" s="147">
        <v>67223.72</v>
      </c>
      <c r="E213" s="147">
        <v>801112.14</v>
      </c>
      <c r="F213" s="147"/>
      <c r="G213" s="147"/>
      <c r="H213" s="147"/>
      <c r="I213" s="335"/>
    </row>
    <row r="214" spans="1:12">
      <c r="A214" t="s">
        <v>149</v>
      </c>
      <c r="B214" s="2168"/>
      <c r="C214" s="84"/>
      <c r="D214" s="147">
        <v>63763.72</v>
      </c>
      <c r="E214" s="147">
        <v>686497.78</v>
      </c>
      <c r="F214" s="147"/>
      <c r="G214" s="147"/>
      <c r="H214" s="147"/>
      <c r="I214" s="335"/>
    </row>
    <row r="215" spans="1:12">
      <c r="A215" t="s">
        <v>150</v>
      </c>
      <c r="B215" s="2168"/>
      <c r="C215" s="84"/>
      <c r="D215" s="147"/>
      <c r="E215" s="147"/>
      <c r="F215" s="147"/>
      <c r="G215" s="147"/>
      <c r="H215" s="147"/>
      <c r="I215" s="335"/>
    </row>
    <row r="216" spans="1:12">
      <c r="A216" t="s">
        <v>151</v>
      </c>
      <c r="B216" s="2168"/>
      <c r="C216" s="84"/>
      <c r="D216" s="147">
        <v>3460</v>
      </c>
      <c r="E216" s="147">
        <v>114614.36</v>
      </c>
      <c r="F216" s="147"/>
      <c r="G216" s="147"/>
      <c r="H216" s="147"/>
      <c r="I216" s="335"/>
    </row>
    <row r="217" spans="1:12">
      <c r="A217" t="s">
        <v>152</v>
      </c>
      <c r="B217" s="2168"/>
      <c r="C217" s="84"/>
      <c r="D217" s="147"/>
      <c r="E217" s="1425">
        <v>0</v>
      </c>
      <c r="F217" s="147"/>
      <c r="G217" s="147"/>
      <c r="H217" s="147"/>
      <c r="I217" s="335"/>
    </row>
    <row r="218" spans="1:12" ht="27" customHeight="1">
      <c r="A218" s="31" t="s">
        <v>153</v>
      </c>
      <c r="B218" s="2168"/>
      <c r="C218" s="84"/>
      <c r="D218" s="1426">
        <v>157339.37</v>
      </c>
      <c r="E218" s="147">
        <v>209766.89</v>
      </c>
      <c r="F218" s="147"/>
      <c r="G218" s="147"/>
      <c r="H218" s="147"/>
      <c r="I218" s="335"/>
    </row>
    <row r="219" spans="1:12" ht="36.75" customHeight="1" thickBot="1">
      <c r="A219" s="1374"/>
      <c r="B219" s="2169"/>
      <c r="C219" s="54" t="s">
        <v>12</v>
      </c>
      <c r="D219" s="337">
        <f>SUM(D214:D218)</f>
        <v>224563.09</v>
      </c>
      <c r="E219" s="337">
        <f>SUM(E214:E218)</f>
        <v>1010879.03</v>
      </c>
      <c r="F219" s="337">
        <f t="shared" ref="F219:I219" si="24">SUM(F214:F218)</f>
        <v>0</v>
      </c>
      <c r="G219" s="337">
        <f t="shared" si="24"/>
        <v>0</v>
      </c>
      <c r="H219" s="337">
        <f t="shared" si="24"/>
        <v>0</v>
      </c>
      <c r="I219" s="337">
        <f t="shared" si="24"/>
        <v>0</v>
      </c>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Y227"/>
  <sheetViews>
    <sheetView workbookViewId="0">
      <selection activeCell="E223" sqref="E223"/>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404</v>
      </c>
      <c r="C1" s="2077"/>
      <c r="D1" s="2077"/>
      <c r="E1" s="2077"/>
      <c r="F1" s="2077"/>
    </row>
    <row r="2" spans="1:25" s="2" customFormat="1" ht="20.100000000000001" customHeight="1" thickBot="1"/>
    <row r="3" spans="1:25" s="5" customFormat="1" ht="20.100000000000001" customHeight="1">
      <c r="A3" s="410" t="s">
        <v>1</v>
      </c>
      <c r="B3" s="442"/>
      <c r="C3" s="442"/>
      <c r="D3" s="442"/>
      <c r="E3" s="442"/>
      <c r="F3" s="2171"/>
      <c r="G3" s="2171"/>
      <c r="H3" s="2171"/>
      <c r="I3" s="2171"/>
      <c r="J3" s="2171"/>
      <c r="K3" s="2171"/>
      <c r="L3" s="2171"/>
      <c r="M3" s="2171"/>
      <c r="N3" s="2171"/>
      <c r="O3" s="2172"/>
    </row>
    <row r="4" spans="1:25" s="5" customFormat="1" ht="20.100000000000001" customHeight="1">
      <c r="A4" s="2566" t="s">
        <v>2</v>
      </c>
      <c r="B4" s="2081"/>
      <c r="C4" s="2081"/>
      <c r="D4" s="2081"/>
      <c r="E4" s="2081"/>
      <c r="F4" s="2081"/>
      <c r="G4" s="2081"/>
      <c r="H4" s="2081"/>
      <c r="I4" s="2081"/>
      <c r="J4" s="2081"/>
      <c r="K4" s="2081"/>
      <c r="L4" s="2081"/>
      <c r="M4" s="2081"/>
      <c r="N4" s="2081"/>
      <c r="O4" s="2082"/>
    </row>
    <row r="5" spans="1:25" s="5" customFormat="1" ht="20.100000000000001" customHeight="1">
      <c r="A5" s="2566"/>
      <c r="B5" s="2081"/>
      <c r="C5" s="2081"/>
      <c r="D5" s="2081"/>
      <c r="E5" s="2081"/>
      <c r="F5" s="2081"/>
      <c r="G5" s="2081"/>
      <c r="H5" s="2081"/>
      <c r="I5" s="2081"/>
      <c r="J5" s="2081"/>
      <c r="K5" s="2081"/>
      <c r="L5" s="2081"/>
      <c r="M5" s="2081"/>
      <c r="N5" s="2081"/>
      <c r="O5" s="2082"/>
    </row>
    <row r="6" spans="1:25" s="5" customFormat="1" ht="20.100000000000001" customHeight="1">
      <c r="A6" s="2566"/>
      <c r="B6" s="2081"/>
      <c r="C6" s="2081"/>
      <c r="D6" s="2081"/>
      <c r="E6" s="2081"/>
      <c r="F6" s="2081"/>
      <c r="G6" s="2081"/>
      <c r="H6" s="2081"/>
      <c r="I6" s="2081"/>
      <c r="J6" s="2081"/>
      <c r="K6" s="2081"/>
      <c r="L6" s="2081"/>
      <c r="M6" s="2081"/>
      <c r="N6" s="2081"/>
      <c r="O6" s="2082"/>
    </row>
    <row r="7" spans="1:25" s="5" customFormat="1" ht="20.100000000000001" customHeight="1">
      <c r="A7" s="2566"/>
      <c r="B7" s="2081"/>
      <c r="C7" s="2081"/>
      <c r="D7" s="2081"/>
      <c r="E7" s="2081"/>
      <c r="F7" s="2081"/>
      <c r="G7" s="2081"/>
      <c r="H7" s="2081"/>
      <c r="I7" s="2081"/>
      <c r="J7" s="2081"/>
      <c r="K7" s="2081"/>
      <c r="L7" s="2081"/>
      <c r="M7" s="2081"/>
      <c r="N7" s="2081"/>
      <c r="O7" s="2082"/>
    </row>
    <row r="8" spans="1:25" s="5" customFormat="1" ht="20.100000000000001" customHeight="1">
      <c r="A8" s="2566"/>
      <c r="B8" s="2081"/>
      <c r="C8" s="2081"/>
      <c r="D8" s="2081"/>
      <c r="E8" s="2081"/>
      <c r="F8" s="2081"/>
      <c r="G8" s="2081"/>
      <c r="H8" s="2081"/>
      <c r="I8" s="2081"/>
      <c r="J8" s="2081"/>
      <c r="K8" s="2081"/>
      <c r="L8" s="2081"/>
      <c r="M8" s="2081"/>
      <c r="N8" s="2081"/>
      <c r="O8" s="2082"/>
    </row>
    <row r="9" spans="1:25" s="5" customFormat="1" ht="20.100000000000001" customHeight="1">
      <c r="A9" s="2566"/>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1437"/>
      <c r="B15" s="1438"/>
      <c r="C15" s="11"/>
      <c r="D15" s="2238" t="s">
        <v>4</v>
      </c>
      <c r="E15" s="2239"/>
      <c r="F15" s="2239"/>
      <c r="G15" s="2239"/>
      <c r="H15" s="526"/>
      <c r="I15" s="13" t="s">
        <v>5</v>
      </c>
      <c r="J15" s="14"/>
      <c r="K15" s="14"/>
      <c r="L15" s="14"/>
      <c r="M15" s="14"/>
      <c r="N15" s="14"/>
      <c r="O15" s="15"/>
      <c r="P15" s="16"/>
      <c r="Q15" s="17"/>
      <c r="R15" s="18"/>
      <c r="S15" s="18"/>
      <c r="T15" s="18"/>
      <c r="U15" s="18"/>
      <c r="V15" s="18"/>
      <c r="W15" s="16"/>
      <c r="X15" s="16"/>
      <c r="Y15" s="17"/>
    </row>
    <row r="16" spans="1:25" s="31" customFormat="1" ht="156.6" customHeight="1">
      <c r="A16" s="20"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550" t="s">
        <v>405</v>
      </c>
      <c r="B17" s="19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551"/>
      <c r="B18" s="1988"/>
      <c r="C18" s="39">
        <v>2015</v>
      </c>
      <c r="D18" s="50">
        <v>127</v>
      </c>
      <c r="E18" s="42"/>
      <c r="F18" s="42"/>
      <c r="G18" s="35">
        <f>SUM(D18:F18)</f>
        <v>127</v>
      </c>
      <c r="H18" s="51"/>
      <c r="I18" s="42"/>
      <c r="J18" s="42"/>
      <c r="K18" s="42"/>
      <c r="L18" s="42"/>
      <c r="M18" s="42"/>
      <c r="N18" s="42"/>
      <c r="O18" s="52">
        <v>127</v>
      </c>
      <c r="P18" s="38"/>
      <c r="Q18" s="38"/>
      <c r="R18" s="38"/>
      <c r="S18" s="38"/>
      <c r="T18" s="38"/>
      <c r="U18" s="38"/>
      <c r="V18" s="38"/>
      <c r="W18" s="38"/>
      <c r="X18" s="38"/>
      <c r="Y18" s="38"/>
    </row>
    <row r="19" spans="1:25">
      <c r="A19" s="2551"/>
      <c r="B19" s="1988"/>
      <c r="C19" s="39">
        <v>2016</v>
      </c>
      <c r="D19" s="50"/>
      <c r="E19" s="42"/>
      <c r="F19" s="42"/>
      <c r="G19" s="35">
        <f t="shared" si="0"/>
        <v>0</v>
      </c>
      <c r="H19" s="51"/>
      <c r="I19" s="42"/>
      <c r="J19" s="42"/>
      <c r="K19" s="42"/>
      <c r="L19" s="42"/>
      <c r="M19" s="42"/>
      <c r="N19" s="42"/>
      <c r="O19" s="52"/>
      <c r="P19" s="38"/>
      <c r="Q19" s="38"/>
      <c r="R19" s="38"/>
      <c r="S19" s="38"/>
      <c r="T19" s="38"/>
      <c r="U19" s="38"/>
      <c r="V19" s="38"/>
      <c r="W19" s="38"/>
      <c r="X19" s="38"/>
      <c r="Y19" s="38"/>
    </row>
    <row r="20" spans="1:25">
      <c r="A20" s="2551"/>
      <c r="B20" s="1988"/>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2551"/>
      <c r="B21" s="1988"/>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2551"/>
      <c r="B22" s="1988"/>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2551"/>
      <c r="B23" s="1988"/>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19.5" customHeight="1" thickBot="1">
      <c r="A24" s="1989"/>
      <c r="B24" s="1990"/>
      <c r="C24" s="54" t="s">
        <v>12</v>
      </c>
      <c r="D24" s="55">
        <f>SUM(D17:D23)</f>
        <v>127</v>
      </c>
      <c r="E24" s="56"/>
      <c r="F24" s="56">
        <f>SUM(F17:F23)</f>
        <v>0</v>
      </c>
      <c r="G24" s="57">
        <f>SUM(D24:F24)</f>
        <v>127</v>
      </c>
      <c r="H24" s="58">
        <f>SUM(H17:H23)</f>
        <v>0</v>
      </c>
      <c r="I24" s="59"/>
      <c r="J24" s="59">
        <f t="shared" ref="J24:N24" si="1">SUM(J17:J23)</f>
        <v>0</v>
      </c>
      <c r="K24" s="59">
        <f t="shared" si="1"/>
        <v>0</v>
      </c>
      <c r="L24" s="59">
        <f t="shared" si="1"/>
        <v>0</v>
      </c>
      <c r="M24" s="59">
        <f t="shared" si="1"/>
        <v>0</v>
      </c>
      <c r="N24" s="59">
        <f t="shared" si="1"/>
        <v>0</v>
      </c>
      <c r="O24" s="60">
        <f>SUM(O17:O23)</f>
        <v>127</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1437"/>
      <c r="B26" s="1438"/>
      <c r="C26" s="63"/>
      <c r="D26" s="2244" t="s">
        <v>4</v>
      </c>
      <c r="E26" s="2245"/>
      <c r="F26" s="2245"/>
      <c r="G26" s="2246"/>
      <c r="H26" s="16"/>
      <c r="I26" s="17"/>
      <c r="J26" s="18"/>
      <c r="K26" s="18"/>
      <c r="L26" s="18"/>
      <c r="M26" s="18"/>
      <c r="N26" s="18"/>
      <c r="O26" s="16"/>
      <c r="P26" s="16"/>
    </row>
    <row r="27" spans="1:25" s="31" customFormat="1" ht="93" customHeight="1">
      <c r="A27" s="1364"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550"/>
      <c r="B28" s="1988"/>
      <c r="C28" s="68">
        <v>2014</v>
      </c>
      <c r="D28" s="36"/>
      <c r="E28" s="34"/>
      <c r="F28" s="34"/>
      <c r="G28" s="69">
        <f>SUM(D28:F28)</f>
        <v>0</v>
      </c>
      <c r="H28" s="38"/>
      <c r="I28" s="38"/>
      <c r="J28" s="38"/>
      <c r="K28" s="38"/>
      <c r="L28" s="38"/>
      <c r="M28" s="38"/>
      <c r="N28" s="38"/>
      <c r="O28" s="38"/>
      <c r="P28" s="38"/>
      <c r="Q28" s="8"/>
    </row>
    <row r="29" spans="1:25">
      <c r="A29" s="2551"/>
      <c r="B29" s="1988"/>
      <c r="C29" s="70">
        <v>2015</v>
      </c>
      <c r="D29" s="51">
        <v>91898</v>
      </c>
      <c r="E29" s="42"/>
      <c r="F29" s="42"/>
      <c r="G29" s="69">
        <f t="shared" ref="G29:G35" si="2">SUM(D29:F29)</f>
        <v>91898</v>
      </c>
      <c r="H29" s="38"/>
      <c r="I29" s="38"/>
      <c r="J29" s="38"/>
      <c r="K29" s="38"/>
      <c r="L29" s="38"/>
      <c r="M29" s="38"/>
      <c r="N29" s="38"/>
      <c r="O29" s="38"/>
      <c r="P29" s="38"/>
      <c r="Q29" s="8"/>
    </row>
    <row r="30" spans="1:25">
      <c r="A30" s="2551"/>
      <c r="B30" s="1988"/>
      <c r="C30" s="70">
        <v>2016</v>
      </c>
      <c r="D30" s="51">
        <v>500000</v>
      </c>
      <c r="E30" s="42"/>
      <c r="F30" s="42"/>
      <c r="G30" s="69">
        <f t="shared" si="2"/>
        <v>500000</v>
      </c>
      <c r="H30" s="38"/>
      <c r="I30" s="38"/>
      <c r="J30" s="38"/>
      <c r="K30" s="38"/>
      <c r="L30" s="38"/>
      <c r="M30" s="38"/>
      <c r="N30" s="38"/>
      <c r="O30" s="38"/>
      <c r="P30" s="38"/>
      <c r="Q30" s="8"/>
    </row>
    <row r="31" spans="1:25">
      <c r="A31" s="2551"/>
      <c r="B31" s="1988"/>
      <c r="C31" s="70">
        <v>2017</v>
      </c>
      <c r="D31" s="51"/>
      <c r="E31" s="42"/>
      <c r="F31" s="42"/>
      <c r="G31" s="69">
        <f t="shared" si="2"/>
        <v>0</v>
      </c>
      <c r="H31" s="38"/>
      <c r="I31" s="38"/>
      <c r="J31" s="38"/>
      <c r="K31" s="38"/>
      <c r="L31" s="38"/>
      <c r="M31" s="38"/>
      <c r="N31" s="38"/>
      <c r="O31" s="38"/>
      <c r="P31" s="38"/>
      <c r="Q31" s="8"/>
    </row>
    <row r="32" spans="1:25">
      <c r="A32" s="2551"/>
      <c r="B32" s="1988"/>
      <c r="C32" s="70">
        <v>2018</v>
      </c>
      <c r="D32" s="51"/>
      <c r="E32" s="42"/>
      <c r="F32" s="42"/>
      <c r="G32" s="69">
        <f>SUM(D32:F32)</f>
        <v>0</v>
      </c>
      <c r="H32" s="38"/>
      <c r="I32" s="38"/>
      <c r="J32" s="38"/>
      <c r="K32" s="38"/>
      <c r="L32" s="38"/>
      <c r="M32" s="38"/>
      <c r="N32" s="38"/>
      <c r="O32" s="38"/>
      <c r="P32" s="38"/>
      <c r="Q32" s="8"/>
    </row>
    <row r="33" spans="1:17">
      <c r="A33" s="2551"/>
      <c r="B33" s="1988"/>
      <c r="C33" s="72">
        <v>2019</v>
      </c>
      <c r="D33" s="51"/>
      <c r="E33" s="42"/>
      <c r="F33" s="42"/>
      <c r="G33" s="69">
        <f t="shared" si="2"/>
        <v>0</v>
      </c>
      <c r="H33" s="38"/>
      <c r="I33" s="38"/>
      <c r="J33" s="38"/>
      <c r="K33" s="38"/>
      <c r="L33" s="38"/>
      <c r="M33" s="38"/>
      <c r="N33" s="38"/>
      <c r="O33" s="38"/>
      <c r="P33" s="38"/>
      <c r="Q33" s="8"/>
    </row>
    <row r="34" spans="1:17">
      <c r="A34" s="2551"/>
      <c r="B34" s="1988"/>
      <c r="C34" s="70">
        <v>2020</v>
      </c>
      <c r="D34" s="51"/>
      <c r="E34" s="42"/>
      <c r="F34" s="42"/>
      <c r="G34" s="69">
        <f t="shared" si="2"/>
        <v>0</v>
      </c>
      <c r="H34" s="38"/>
      <c r="I34" s="38"/>
      <c r="J34" s="38"/>
      <c r="K34" s="38"/>
      <c r="L34" s="38"/>
      <c r="M34" s="38"/>
      <c r="N34" s="38"/>
      <c r="O34" s="38"/>
      <c r="P34" s="38"/>
      <c r="Q34" s="8"/>
    </row>
    <row r="35" spans="1:17" ht="20.25" customHeight="1" thickBot="1">
      <c r="A35" s="1989"/>
      <c r="B35" s="1990"/>
      <c r="C35" s="73" t="s">
        <v>12</v>
      </c>
      <c r="D35" s="58">
        <f>SUM(D28:D34)</f>
        <v>591898</v>
      </c>
      <c r="E35" s="56">
        <f>SUM(E28:E34)</f>
        <v>0</v>
      </c>
      <c r="F35" s="56">
        <f>SUM(F28:F34)</f>
        <v>0</v>
      </c>
      <c r="G35" s="60">
        <f t="shared" si="2"/>
        <v>591898</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1407" t="s">
        <v>25</v>
      </c>
      <c r="B39" s="1408" t="s">
        <v>7</v>
      </c>
      <c r="C39" s="80" t="s">
        <v>8</v>
      </c>
      <c r="D39" s="546" t="s">
        <v>26</v>
      </c>
      <c r="E39" s="352" t="s">
        <v>27</v>
      </c>
      <c r="F39" s="353"/>
      <c r="G39" s="30"/>
      <c r="H39" s="30"/>
    </row>
    <row r="40" spans="1:17">
      <c r="A40" s="2550"/>
      <c r="B40" s="1988"/>
      <c r="C40" s="84">
        <v>2014</v>
      </c>
      <c r="D40" s="1462"/>
      <c r="E40" s="1463"/>
      <c r="F40" s="8"/>
      <c r="G40" s="38"/>
      <c r="H40" s="38"/>
    </row>
    <row r="41" spans="1:17">
      <c r="A41" s="2551"/>
      <c r="B41" s="1988"/>
      <c r="C41" s="86">
        <v>2015</v>
      </c>
      <c r="D41" s="1464">
        <v>2406</v>
      </c>
      <c r="E41" s="1465">
        <v>1949</v>
      </c>
      <c r="F41" s="8"/>
      <c r="G41" s="38"/>
      <c r="H41" s="38"/>
    </row>
    <row r="42" spans="1:17">
      <c r="A42" s="2551"/>
      <c r="B42" s="1988"/>
      <c r="C42" s="1466">
        <v>2016</v>
      </c>
      <c r="D42" s="1467">
        <v>65103</v>
      </c>
      <c r="E42" s="1468">
        <v>6900</v>
      </c>
      <c r="F42" s="1430"/>
      <c r="G42" s="38"/>
      <c r="H42" s="38"/>
    </row>
    <row r="43" spans="1:17">
      <c r="A43" s="2551"/>
      <c r="B43" s="1988"/>
      <c r="C43" s="86">
        <v>2017</v>
      </c>
      <c r="D43" s="1469"/>
      <c r="E43" s="39"/>
      <c r="F43" s="8"/>
      <c r="G43" s="38"/>
      <c r="H43" s="38"/>
    </row>
    <row r="44" spans="1:17">
      <c r="A44" s="2551"/>
      <c r="B44" s="1988"/>
      <c r="C44" s="86">
        <v>2018</v>
      </c>
      <c r="D44" s="50"/>
      <c r="E44" s="39"/>
      <c r="F44" s="8"/>
      <c r="G44" s="38"/>
      <c r="H44" s="38"/>
    </row>
    <row r="45" spans="1:17">
      <c r="A45" s="2551"/>
      <c r="B45" s="1988"/>
      <c r="C45" s="86">
        <v>2019</v>
      </c>
      <c r="D45" s="50"/>
      <c r="E45" s="39"/>
      <c r="F45" s="8"/>
      <c r="G45" s="38"/>
      <c r="H45" s="38"/>
    </row>
    <row r="46" spans="1:17">
      <c r="A46" s="2551"/>
      <c r="B46" s="1988"/>
      <c r="C46" s="86">
        <v>2020</v>
      </c>
      <c r="D46" s="50"/>
      <c r="E46" s="39"/>
      <c r="F46" s="8"/>
      <c r="G46" s="38"/>
      <c r="H46" s="38"/>
    </row>
    <row r="47" spans="1:17" ht="15.75" thickBot="1">
      <c r="A47" s="1989"/>
      <c r="B47" s="1990"/>
      <c r="C47" s="54" t="s">
        <v>12</v>
      </c>
      <c r="D47" s="1470">
        <f>SUM(D40:D46)</f>
        <v>67509</v>
      </c>
      <c r="E47" s="1471">
        <f>SUM(E40:E46)</f>
        <v>8849</v>
      </c>
      <c r="F47" s="121"/>
      <c r="G47" s="38"/>
      <c r="H47" s="38"/>
    </row>
    <row r="48" spans="1:17" s="38" customFormat="1" ht="15.75" thickBot="1">
      <c r="A48" s="1441"/>
      <c r="B48" s="92"/>
      <c r="C48" s="93"/>
    </row>
    <row r="49" spans="1:15" ht="83.25" customHeight="1">
      <c r="A49" s="550" t="s">
        <v>29</v>
      </c>
      <c r="B49" s="1408" t="s">
        <v>7</v>
      </c>
      <c r="C49" s="95" t="s">
        <v>8</v>
      </c>
      <c r="D49" s="546" t="s">
        <v>30</v>
      </c>
      <c r="E49" s="96" t="s">
        <v>31</v>
      </c>
      <c r="F49" s="96" t="s">
        <v>32</v>
      </c>
      <c r="G49" s="96" t="s">
        <v>33</v>
      </c>
      <c r="H49" s="96" t="s">
        <v>34</v>
      </c>
      <c r="I49" s="96" t="s">
        <v>35</v>
      </c>
      <c r="J49" s="96" t="s">
        <v>36</v>
      </c>
      <c r="K49" s="97" t="s">
        <v>37</v>
      </c>
    </row>
    <row r="50" spans="1:15" ht="17.25" customHeight="1">
      <c r="A50" s="2005"/>
      <c r="B50" s="2012"/>
      <c r="C50" s="98" t="s">
        <v>38</v>
      </c>
      <c r="D50" s="33"/>
      <c r="E50" s="34"/>
      <c r="F50" s="34"/>
      <c r="G50" s="34"/>
      <c r="H50" s="34"/>
      <c r="I50" s="34"/>
      <c r="J50" s="34"/>
      <c r="K50" s="37"/>
    </row>
    <row r="51" spans="1:15" ht="15" customHeight="1">
      <c r="A51" s="2550"/>
      <c r="B51" s="2014"/>
      <c r="C51" s="86">
        <v>2014</v>
      </c>
      <c r="D51" s="50"/>
      <c r="E51" s="42"/>
      <c r="F51" s="42"/>
      <c r="G51" s="42"/>
      <c r="H51" s="42"/>
      <c r="I51" s="42"/>
      <c r="J51" s="42"/>
      <c r="K51" s="99"/>
    </row>
    <row r="52" spans="1:15">
      <c r="A52" s="2550"/>
      <c r="B52" s="2014"/>
      <c r="C52" s="86">
        <v>2015</v>
      </c>
      <c r="D52" s="50"/>
      <c r="E52" s="42"/>
      <c r="F52" s="42"/>
      <c r="G52" s="42"/>
      <c r="H52" s="42"/>
      <c r="I52" s="42"/>
      <c r="J52" s="42"/>
      <c r="K52" s="99"/>
    </row>
    <row r="53" spans="1:15">
      <c r="A53" s="2550"/>
      <c r="B53" s="2014"/>
      <c r="C53" s="86">
        <v>2016</v>
      </c>
      <c r="D53" s="50"/>
      <c r="E53" s="42"/>
      <c r="F53" s="42"/>
      <c r="G53" s="42"/>
      <c r="H53" s="42"/>
      <c r="I53" s="42"/>
      <c r="J53" s="42"/>
      <c r="K53" s="99"/>
    </row>
    <row r="54" spans="1:15">
      <c r="A54" s="2550"/>
      <c r="B54" s="2014"/>
      <c r="C54" s="86">
        <v>2017</v>
      </c>
      <c r="D54" s="50"/>
      <c r="E54" s="42"/>
      <c r="F54" s="42"/>
      <c r="G54" s="42"/>
      <c r="H54" s="42"/>
      <c r="I54" s="42"/>
      <c r="J54" s="42"/>
      <c r="K54" s="99"/>
    </row>
    <row r="55" spans="1:15">
      <c r="A55" s="2550"/>
      <c r="B55" s="2014"/>
      <c r="C55" s="86">
        <v>2018</v>
      </c>
      <c r="D55" s="50"/>
      <c r="E55" s="42"/>
      <c r="F55" s="42"/>
      <c r="G55" s="42"/>
      <c r="H55" s="42"/>
      <c r="I55" s="42"/>
      <c r="J55" s="42"/>
      <c r="K55" s="99"/>
    </row>
    <row r="56" spans="1:15">
      <c r="A56" s="2550"/>
      <c r="B56" s="2014"/>
      <c r="C56" s="86">
        <v>2019</v>
      </c>
      <c r="D56" s="50"/>
      <c r="E56" s="42"/>
      <c r="F56" s="42"/>
      <c r="G56" s="42"/>
      <c r="H56" s="42"/>
      <c r="I56" s="42"/>
      <c r="J56" s="42"/>
      <c r="K56" s="99"/>
    </row>
    <row r="57" spans="1:15">
      <c r="A57" s="2550"/>
      <c r="B57" s="2014"/>
      <c r="C57" s="86">
        <v>2020</v>
      </c>
      <c r="D57" s="50"/>
      <c r="E57" s="42"/>
      <c r="F57" s="42"/>
      <c r="G57" s="42"/>
      <c r="H57" s="42"/>
      <c r="I57" s="42"/>
      <c r="J57" s="42"/>
      <c r="K57" s="100"/>
    </row>
    <row r="58" spans="1:15" ht="20.25" customHeight="1" thickBot="1">
      <c r="A58" s="2009"/>
      <c r="B58" s="2016"/>
      <c r="C58" s="54" t="s">
        <v>12</v>
      </c>
      <c r="D58" s="55">
        <f>SUM(D51:D57)</f>
        <v>0</v>
      </c>
      <c r="E58" s="56">
        <f>SUM(E51:E57)</f>
        <v>0</v>
      </c>
      <c r="F58" s="56">
        <f>SUM(F51:F57)</f>
        <v>0</v>
      </c>
      <c r="G58" s="56">
        <f>SUM(G51:G57)</f>
        <v>0</v>
      </c>
      <c r="H58" s="56">
        <f>SUM(H51:H57)</f>
        <v>0</v>
      </c>
      <c r="I58" s="56">
        <f t="shared" ref="I58" si="3">SUM(I51:I57)</f>
        <v>0</v>
      </c>
      <c r="J58" s="56">
        <f>SUM(J51:J57)</f>
        <v>0</v>
      </c>
      <c r="K58" s="60">
        <f>SUM(K50:K56)</f>
        <v>0</v>
      </c>
    </row>
    <row r="59" spans="1:15" ht="15.75" thickBot="1"/>
    <row r="60" spans="1:15" ht="21" customHeight="1">
      <c r="A60" s="2588" t="s">
        <v>39</v>
      </c>
      <c r="B60" s="1443"/>
      <c r="C60" s="2589" t="s">
        <v>8</v>
      </c>
      <c r="D60" s="2568" t="s">
        <v>40</v>
      </c>
      <c r="E60" s="102" t="s">
        <v>5</v>
      </c>
      <c r="F60" s="484"/>
      <c r="G60" s="484"/>
      <c r="H60" s="484"/>
      <c r="I60" s="484"/>
      <c r="J60" s="484"/>
      <c r="K60" s="484"/>
      <c r="L60" s="485"/>
    </row>
    <row r="61" spans="1:15" ht="115.5" customHeight="1">
      <c r="A61" s="2100"/>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552" t="s">
        <v>406</v>
      </c>
      <c r="B62" s="2025"/>
      <c r="C62" s="112">
        <v>2014</v>
      </c>
      <c r="D62" s="113"/>
      <c r="E62" s="114"/>
      <c r="F62" s="115"/>
      <c r="G62" s="115"/>
      <c r="H62" s="115"/>
      <c r="I62" s="115"/>
      <c r="J62" s="115"/>
      <c r="K62" s="115"/>
      <c r="L62" s="37"/>
      <c r="M62" s="8"/>
      <c r="N62" s="8"/>
      <c r="O62" s="8"/>
    </row>
    <row r="63" spans="1:15">
      <c r="A63" s="2553"/>
      <c r="B63" s="2025"/>
      <c r="C63" s="116">
        <v>2015</v>
      </c>
      <c r="D63" s="117"/>
      <c r="E63" s="118"/>
      <c r="F63" s="42"/>
      <c r="G63" s="42"/>
      <c r="H63" s="42"/>
      <c r="I63" s="42"/>
      <c r="J63" s="42"/>
      <c r="K63" s="42"/>
      <c r="L63" s="99"/>
      <c r="M63" s="8"/>
      <c r="N63" s="8"/>
      <c r="O63" s="8"/>
    </row>
    <row r="64" spans="1:15">
      <c r="A64" s="2553"/>
      <c r="B64" s="2025"/>
      <c r="C64" s="116">
        <v>2016</v>
      </c>
      <c r="D64" s="117">
        <v>10</v>
      </c>
      <c r="E64" s="118"/>
      <c r="F64" s="42">
        <v>10</v>
      </c>
      <c r="G64" s="42"/>
      <c r="H64" s="42"/>
      <c r="I64" s="42"/>
      <c r="J64" s="42"/>
      <c r="K64" s="42"/>
      <c r="L64" s="99"/>
      <c r="M64" s="8"/>
      <c r="N64" s="8"/>
      <c r="O64" s="8"/>
    </row>
    <row r="65" spans="1:20">
      <c r="A65" s="2553"/>
      <c r="B65" s="2025"/>
      <c r="C65" s="116">
        <v>2017</v>
      </c>
      <c r="D65" s="117"/>
      <c r="E65" s="118"/>
      <c r="F65" s="42"/>
      <c r="G65" s="42"/>
      <c r="H65" s="42"/>
      <c r="I65" s="42"/>
      <c r="J65" s="42"/>
      <c r="K65" s="42"/>
      <c r="L65" s="99"/>
      <c r="M65" s="8"/>
      <c r="N65" s="8"/>
      <c r="O65" s="8"/>
    </row>
    <row r="66" spans="1:20">
      <c r="A66" s="2553"/>
      <c r="B66" s="2025"/>
      <c r="C66" s="116">
        <v>2018</v>
      </c>
      <c r="D66" s="117"/>
      <c r="E66" s="118"/>
      <c r="F66" s="42"/>
      <c r="G66" s="42"/>
      <c r="H66" s="42"/>
      <c r="I66" s="42"/>
      <c r="J66" s="42"/>
      <c r="K66" s="42"/>
      <c r="L66" s="99"/>
      <c r="M66" s="8"/>
      <c r="N66" s="8"/>
      <c r="O66" s="8"/>
    </row>
    <row r="67" spans="1:20" ht="17.25" customHeight="1">
      <c r="A67" s="2553"/>
      <c r="B67" s="2025"/>
      <c r="C67" s="116">
        <v>2019</v>
      </c>
      <c r="D67" s="117"/>
      <c r="E67" s="118"/>
      <c r="F67" s="42"/>
      <c r="G67" s="42"/>
      <c r="H67" s="42"/>
      <c r="I67" s="42"/>
      <c r="J67" s="42"/>
      <c r="K67" s="42"/>
      <c r="L67" s="99"/>
      <c r="M67" s="8"/>
      <c r="N67" s="8"/>
      <c r="O67" s="8"/>
    </row>
    <row r="68" spans="1:20" ht="16.5" customHeight="1">
      <c r="A68" s="2553"/>
      <c r="B68" s="2025"/>
      <c r="C68" s="116">
        <v>2020</v>
      </c>
      <c r="D68" s="117"/>
      <c r="E68" s="118"/>
      <c r="F68" s="42"/>
      <c r="G68" s="42"/>
      <c r="H68" s="42"/>
      <c r="I68" s="42"/>
      <c r="J68" s="42"/>
      <c r="K68" s="42"/>
      <c r="L68" s="99"/>
      <c r="M68" s="121"/>
      <c r="N68" s="121"/>
      <c r="O68" s="121"/>
    </row>
    <row r="69" spans="1:20" ht="18" customHeight="1" thickBot="1">
      <c r="A69" s="2134"/>
      <c r="B69" s="2027"/>
      <c r="C69" s="122" t="s">
        <v>12</v>
      </c>
      <c r="D69" s="123">
        <f>SUM(D62:D68)</f>
        <v>10</v>
      </c>
      <c r="E69" s="124">
        <f>SUM(E62:E68)</f>
        <v>0</v>
      </c>
      <c r="F69" s="125">
        <f t="shared" ref="F69:I69" si="4">SUM(F62:F68)</f>
        <v>10</v>
      </c>
      <c r="G69" s="125">
        <f t="shared" si="4"/>
        <v>0</v>
      </c>
      <c r="H69" s="125">
        <f t="shared" si="4"/>
        <v>0</v>
      </c>
      <c r="I69" s="125">
        <f t="shared" si="4"/>
        <v>0</v>
      </c>
      <c r="J69" s="125"/>
      <c r="K69" s="125">
        <f>SUM(K62:K68)</f>
        <v>0</v>
      </c>
      <c r="L69" s="126">
        <f>SUM(L62:L68)</f>
        <v>0</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1407" t="s">
        <v>42</v>
      </c>
      <c r="B71" s="1408" t="s">
        <v>7</v>
      </c>
      <c r="C71" s="80" t="s">
        <v>8</v>
      </c>
      <c r="D71" s="132" t="s">
        <v>43</v>
      </c>
      <c r="E71" s="132" t="s">
        <v>44</v>
      </c>
      <c r="F71" s="133" t="s">
        <v>45</v>
      </c>
      <c r="G71" s="488" t="s">
        <v>46</v>
      </c>
      <c r="H71" s="135" t="s">
        <v>13</v>
      </c>
      <c r="I71" s="136" t="s">
        <v>14</v>
      </c>
      <c r="J71" s="137" t="s">
        <v>15</v>
      </c>
      <c r="K71" s="136" t="s">
        <v>16</v>
      </c>
      <c r="L71" s="136" t="s">
        <v>17</v>
      </c>
      <c r="M71" s="138" t="s">
        <v>18</v>
      </c>
      <c r="N71" s="137" t="s">
        <v>19</v>
      </c>
      <c r="O71" s="139" t="s">
        <v>20</v>
      </c>
    </row>
    <row r="72" spans="1:20" ht="15" customHeight="1">
      <c r="A72" s="2550" t="s">
        <v>407</v>
      </c>
      <c r="B72" s="2025"/>
      <c r="C72" s="84">
        <v>2014</v>
      </c>
      <c r="D72" s="140"/>
      <c r="E72" s="140"/>
      <c r="F72" s="140"/>
      <c r="G72" s="141">
        <f>SUM(D72:F72)</f>
        <v>0</v>
      </c>
      <c r="H72" s="33"/>
      <c r="I72" s="142"/>
      <c r="J72" s="115"/>
      <c r="K72" s="115"/>
      <c r="L72" s="115"/>
      <c r="M72" s="115"/>
      <c r="N72" s="115"/>
      <c r="O72" s="143"/>
    </row>
    <row r="73" spans="1:20">
      <c r="A73" s="2551"/>
      <c r="B73" s="2025"/>
      <c r="C73" s="86">
        <v>2015</v>
      </c>
      <c r="D73" s="147"/>
      <c r="E73" s="147"/>
      <c r="F73" s="147">
        <v>2460</v>
      </c>
      <c r="G73" s="141">
        <f t="shared" ref="G73:G78" si="5">SUM(D73:F73)</f>
        <v>2460</v>
      </c>
      <c r="H73" s="50"/>
      <c r="I73" s="50"/>
      <c r="J73" s="42"/>
      <c r="K73" s="42"/>
      <c r="L73" s="42"/>
      <c r="M73" s="42"/>
      <c r="N73" s="42"/>
      <c r="O73" s="99"/>
    </row>
    <row r="74" spans="1:20">
      <c r="A74" s="2551"/>
      <c r="B74" s="2025"/>
      <c r="C74" s="86">
        <v>2016</v>
      </c>
      <c r="D74" s="147">
        <v>15</v>
      </c>
      <c r="E74" s="147"/>
      <c r="F74" s="147"/>
      <c r="G74" s="141">
        <f t="shared" si="5"/>
        <v>15</v>
      </c>
      <c r="H74" s="50"/>
      <c r="I74" s="50"/>
      <c r="J74" s="42"/>
      <c r="K74" s="42"/>
      <c r="L74" s="42"/>
      <c r="M74" s="42"/>
      <c r="N74" s="42"/>
      <c r="O74" s="99"/>
    </row>
    <row r="75" spans="1:20">
      <c r="A75" s="2551"/>
      <c r="B75" s="2025"/>
      <c r="C75" s="86">
        <v>2017</v>
      </c>
      <c r="D75" s="147"/>
      <c r="E75" s="147"/>
      <c r="F75" s="147"/>
      <c r="G75" s="141">
        <f t="shared" si="5"/>
        <v>0</v>
      </c>
      <c r="H75" s="50"/>
      <c r="I75" s="50"/>
      <c r="J75" s="42"/>
      <c r="K75" s="42"/>
      <c r="L75" s="42"/>
      <c r="M75" s="42"/>
      <c r="N75" s="42"/>
      <c r="O75" s="99"/>
    </row>
    <row r="76" spans="1:20">
      <c r="A76" s="2551"/>
      <c r="B76" s="2025"/>
      <c r="C76" s="86">
        <v>2018</v>
      </c>
      <c r="D76" s="147"/>
      <c r="E76" s="147"/>
      <c r="F76" s="147"/>
      <c r="G76" s="141">
        <f t="shared" si="5"/>
        <v>0</v>
      </c>
      <c r="H76" s="50"/>
      <c r="I76" s="50"/>
      <c r="J76" s="42"/>
      <c r="K76" s="42"/>
      <c r="L76" s="42"/>
      <c r="M76" s="42"/>
      <c r="N76" s="42"/>
      <c r="O76" s="99"/>
    </row>
    <row r="77" spans="1:20" ht="15.75" customHeight="1">
      <c r="A77" s="2551"/>
      <c r="B77" s="2025"/>
      <c r="C77" s="86">
        <v>2019</v>
      </c>
      <c r="D77" s="147"/>
      <c r="E77" s="147"/>
      <c r="F77" s="147"/>
      <c r="G77" s="141">
        <f t="shared" si="5"/>
        <v>0</v>
      </c>
      <c r="H77" s="50"/>
      <c r="I77" s="50"/>
      <c r="J77" s="42"/>
      <c r="K77" s="42"/>
      <c r="L77" s="42"/>
      <c r="M77" s="42"/>
      <c r="N77" s="42"/>
      <c r="O77" s="99"/>
    </row>
    <row r="78" spans="1:20" ht="17.25" customHeight="1">
      <c r="A78" s="2551"/>
      <c r="B78" s="2025"/>
      <c r="C78" s="86">
        <v>2020</v>
      </c>
      <c r="D78" s="147"/>
      <c r="E78" s="147"/>
      <c r="F78" s="147"/>
      <c r="G78" s="141">
        <f t="shared" si="5"/>
        <v>0</v>
      </c>
      <c r="H78" s="50"/>
      <c r="I78" s="50"/>
      <c r="J78" s="42"/>
      <c r="K78" s="42"/>
      <c r="L78" s="42"/>
      <c r="M78" s="42"/>
      <c r="N78" s="42"/>
      <c r="O78" s="99"/>
    </row>
    <row r="79" spans="1:20" ht="20.25" customHeight="1" thickBot="1">
      <c r="A79" s="2134"/>
      <c r="B79" s="2027"/>
      <c r="C79" s="148" t="s">
        <v>12</v>
      </c>
      <c r="D79" s="123">
        <f>SUM(D72:D78)</f>
        <v>15</v>
      </c>
      <c r="E79" s="123">
        <f>SUM(E72:E78)</f>
        <v>0</v>
      </c>
      <c r="F79" s="123">
        <f>SUM(F72:F78)</f>
        <v>2460</v>
      </c>
      <c r="G79" s="149">
        <f>SUM(G72:G78)</f>
        <v>2475</v>
      </c>
      <c r="H79" s="150">
        <v>0</v>
      </c>
      <c r="I79" s="151">
        <f t="shared" ref="I79:O79" si="6">SUM(I72:I78)</f>
        <v>0</v>
      </c>
      <c r="J79" s="125">
        <f t="shared" si="6"/>
        <v>0</v>
      </c>
      <c r="K79" s="125">
        <f t="shared" si="6"/>
        <v>0</v>
      </c>
      <c r="L79" s="125">
        <f t="shared" si="6"/>
        <v>0</v>
      </c>
      <c r="M79" s="125">
        <f t="shared" si="6"/>
        <v>0</v>
      </c>
      <c r="N79" s="125">
        <f t="shared" si="6"/>
        <v>0</v>
      </c>
      <c r="O79" s="126">
        <f t="shared" si="6"/>
        <v>0</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1409" t="s">
        <v>49</v>
      </c>
      <c r="B84" s="1410" t="s">
        <v>50</v>
      </c>
      <c r="C84" s="161" t="s">
        <v>8</v>
      </c>
      <c r="D84" s="491" t="s">
        <v>51</v>
      </c>
      <c r="E84" s="163" t="s">
        <v>52</v>
      </c>
      <c r="F84" s="164" t="s">
        <v>53</v>
      </c>
      <c r="G84" s="164" t="s">
        <v>54</v>
      </c>
      <c r="H84" s="164" t="s">
        <v>55</v>
      </c>
      <c r="I84" s="164" t="s">
        <v>56</v>
      </c>
      <c r="J84" s="164" t="s">
        <v>57</v>
      </c>
      <c r="K84" s="165" t="s">
        <v>58</v>
      </c>
    </row>
    <row r="85" spans="1:16" ht="15" customHeight="1">
      <c r="A85" s="2554"/>
      <c r="B85" s="2025"/>
      <c r="C85" s="84">
        <v>2014</v>
      </c>
      <c r="D85" s="166"/>
      <c r="E85" s="167"/>
      <c r="F85" s="34"/>
      <c r="G85" s="34"/>
      <c r="H85" s="34"/>
      <c r="I85" s="34"/>
      <c r="J85" s="34"/>
      <c r="K85" s="37"/>
    </row>
    <row r="86" spans="1:16">
      <c r="A86" s="2555"/>
      <c r="B86" s="2025"/>
      <c r="C86" s="86">
        <v>2015</v>
      </c>
      <c r="D86" s="168"/>
      <c r="E86" s="118"/>
      <c r="F86" s="42"/>
      <c r="G86" s="42"/>
      <c r="H86" s="42"/>
      <c r="I86" s="42"/>
      <c r="J86" s="42"/>
      <c r="K86" s="99"/>
    </row>
    <row r="87" spans="1:16">
      <c r="A87" s="2555"/>
      <c r="B87" s="2025"/>
      <c r="C87" s="86">
        <v>2016</v>
      </c>
      <c r="D87" s="168"/>
      <c r="E87" s="118"/>
      <c r="F87" s="42"/>
      <c r="G87" s="42"/>
      <c r="H87" s="42"/>
      <c r="I87" s="42"/>
      <c r="J87" s="42"/>
      <c r="K87" s="99"/>
    </row>
    <row r="88" spans="1:16">
      <c r="A88" s="2555"/>
      <c r="B88" s="2025"/>
      <c r="C88" s="86">
        <v>2017</v>
      </c>
      <c r="D88" s="168"/>
      <c r="E88" s="118"/>
      <c r="F88" s="42"/>
      <c r="G88" s="42"/>
      <c r="H88" s="42"/>
      <c r="I88" s="42"/>
      <c r="J88" s="42"/>
      <c r="K88" s="99"/>
    </row>
    <row r="89" spans="1:16">
      <c r="A89" s="2555"/>
      <c r="B89" s="2025"/>
      <c r="C89" s="86">
        <v>2018</v>
      </c>
      <c r="D89" s="168"/>
      <c r="E89" s="118"/>
      <c r="F89" s="42"/>
      <c r="G89" s="42"/>
      <c r="H89" s="42"/>
      <c r="I89" s="42"/>
      <c r="J89" s="42"/>
      <c r="K89" s="99"/>
    </row>
    <row r="90" spans="1:16">
      <c r="A90" s="2555"/>
      <c r="B90" s="2025"/>
      <c r="C90" s="86">
        <v>2019</v>
      </c>
      <c r="D90" s="168"/>
      <c r="E90" s="118"/>
      <c r="F90" s="42"/>
      <c r="G90" s="42"/>
      <c r="H90" s="42"/>
      <c r="I90" s="42"/>
      <c r="J90" s="42"/>
      <c r="K90" s="99"/>
    </row>
    <row r="91" spans="1:16">
      <c r="A91" s="2555"/>
      <c r="B91" s="2025"/>
      <c r="C91" s="86">
        <v>2020</v>
      </c>
      <c r="D91" s="168"/>
      <c r="E91" s="118"/>
      <c r="F91" s="42"/>
      <c r="G91" s="42"/>
      <c r="H91" s="42"/>
      <c r="I91" s="42"/>
      <c r="J91" s="42"/>
      <c r="K91" s="99"/>
    </row>
    <row r="92" spans="1:16" ht="18" customHeight="1" thickBot="1">
      <c r="A92" s="2073"/>
      <c r="B92" s="2027"/>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571" t="s">
        <v>60</v>
      </c>
      <c r="B96" s="2572" t="s">
        <v>61</v>
      </c>
      <c r="C96" s="2573" t="s">
        <v>8</v>
      </c>
      <c r="D96" s="2207" t="s">
        <v>62</v>
      </c>
      <c r="E96" s="2208"/>
      <c r="F96" s="174" t="s">
        <v>63</v>
      </c>
      <c r="G96" s="493"/>
      <c r="H96" s="493"/>
      <c r="I96" s="493"/>
      <c r="J96" s="493"/>
      <c r="K96" s="493"/>
      <c r="L96" s="493"/>
      <c r="M96" s="494"/>
      <c r="N96" s="177"/>
      <c r="O96" s="177"/>
      <c r="P96" s="177"/>
    </row>
    <row r="97" spans="1:16" ht="100.5" customHeight="1">
      <c r="A97" s="2041"/>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552"/>
      <c r="B98" s="2025"/>
      <c r="C98" s="112">
        <v>2014</v>
      </c>
      <c r="D98" s="33"/>
      <c r="E98" s="34"/>
      <c r="F98" s="186"/>
      <c r="G98" s="187"/>
      <c r="H98" s="187"/>
      <c r="I98" s="187"/>
      <c r="J98" s="187"/>
      <c r="K98" s="187"/>
      <c r="L98" s="187"/>
      <c r="M98" s="188"/>
      <c r="N98" s="177"/>
      <c r="O98" s="177"/>
      <c r="P98" s="177"/>
    </row>
    <row r="99" spans="1:16" ht="16.5" customHeight="1">
      <c r="A99" s="2553"/>
      <c r="B99" s="2025"/>
      <c r="C99" s="116">
        <v>2015</v>
      </c>
      <c r="D99" s="50"/>
      <c r="E99" s="42"/>
      <c r="F99" s="189"/>
      <c r="G99" s="190"/>
      <c r="H99" s="190"/>
      <c r="I99" s="190"/>
      <c r="J99" s="190"/>
      <c r="K99" s="190"/>
      <c r="L99" s="190"/>
      <c r="M99" s="193"/>
      <c r="N99" s="177"/>
      <c r="O99" s="177"/>
      <c r="P99" s="177"/>
    </row>
    <row r="100" spans="1:16" ht="16.5" customHeight="1">
      <c r="A100" s="2553"/>
      <c r="B100" s="2025"/>
      <c r="C100" s="116">
        <v>2016</v>
      </c>
      <c r="D100" s="50"/>
      <c r="E100" s="42"/>
      <c r="F100" s="189"/>
      <c r="G100" s="190"/>
      <c r="H100" s="190"/>
      <c r="I100" s="190"/>
      <c r="J100" s="190"/>
      <c r="K100" s="190"/>
      <c r="L100" s="190"/>
      <c r="M100" s="193"/>
      <c r="N100" s="177"/>
      <c r="O100" s="177"/>
      <c r="P100" s="177"/>
    </row>
    <row r="101" spans="1:16" ht="16.5" customHeight="1">
      <c r="A101" s="2553"/>
      <c r="B101" s="2025"/>
      <c r="C101" s="116">
        <v>2017</v>
      </c>
      <c r="D101" s="50"/>
      <c r="E101" s="42"/>
      <c r="F101" s="189"/>
      <c r="G101" s="190"/>
      <c r="H101" s="190"/>
      <c r="I101" s="190"/>
      <c r="J101" s="190"/>
      <c r="K101" s="190"/>
      <c r="L101" s="190"/>
      <c r="M101" s="193"/>
      <c r="N101" s="177"/>
      <c r="O101" s="177"/>
      <c r="P101" s="177"/>
    </row>
    <row r="102" spans="1:16" ht="15.75" customHeight="1">
      <c r="A102" s="2553"/>
      <c r="B102" s="2025"/>
      <c r="C102" s="116">
        <v>2018</v>
      </c>
      <c r="D102" s="50"/>
      <c r="E102" s="42"/>
      <c r="F102" s="189"/>
      <c r="G102" s="190"/>
      <c r="H102" s="190"/>
      <c r="I102" s="190"/>
      <c r="J102" s="190"/>
      <c r="K102" s="190"/>
      <c r="L102" s="190"/>
      <c r="M102" s="193"/>
      <c r="N102" s="177"/>
      <c r="O102" s="177"/>
      <c r="P102" s="177"/>
    </row>
    <row r="103" spans="1:16" ht="14.25" customHeight="1">
      <c r="A103" s="2553"/>
      <c r="B103" s="2025"/>
      <c r="C103" s="116">
        <v>2019</v>
      </c>
      <c r="D103" s="50"/>
      <c r="E103" s="42"/>
      <c r="F103" s="189"/>
      <c r="G103" s="190"/>
      <c r="H103" s="190"/>
      <c r="I103" s="190"/>
      <c r="J103" s="190"/>
      <c r="K103" s="190"/>
      <c r="L103" s="190"/>
      <c r="M103" s="193"/>
      <c r="N103" s="177"/>
      <c r="O103" s="177"/>
      <c r="P103" s="177"/>
    </row>
    <row r="104" spans="1:16" ht="14.25" customHeight="1">
      <c r="A104" s="2553"/>
      <c r="B104" s="2025"/>
      <c r="C104" s="116">
        <v>2020</v>
      </c>
      <c r="D104" s="50"/>
      <c r="E104" s="42"/>
      <c r="F104" s="189"/>
      <c r="G104" s="190"/>
      <c r="H104" s="190"/>
      <c r="I104" s="190"/>
      <c r="J104" s="190"/>
      <c r="K104" s="190"/>
      <c r="L104" s="190"/>
      <c r="M104" s="193"/>
      <c r="N104" s="177"/>
      <c r="O104" s="177"/>
      <c r="P104" s="177"/>
    </row>
    <row r="105" spans="1:16" ht="19.5" customHeight="1" thickBot="1">
      <c r="A105" s="2046"/>
      <c r="B105" s="2027"/>
      <c r="C105" s="122" t="s">
        <v>12</v>
      </c>
      <c r="D105" s="151">
        <f>SUM(D98:D104)</f>
        <v>0</v>
      </c>
      <c r="E105" s="125">
        <f t="shared" ref="E105:K105" si="8">SUM(E98:E104)</f>
        <v>0</v>
      </c>
      <c r="F105" s="194">
        <f t="shared" si="8"/>
        <v>0</v>
      </c>
      <c r="G105" s="195">
        <f t="shared" si="8"/>
        <v>0</v>
      </c>
      <c r="H105" s="195">
        <f t="shared" si="8"/>
        <v>0</v>
      </c>
      <c r="I105" s="195">
        <f>SUM(I98:I104)</f>
        <v>0</v>
      </c>
      <c r="J105" s="195">
        <f t="shared" si="8"/>
        <v>0</v>
      </c>
      <c r="K105" s="195">
        <f t="shared" si="8"/>
        <v>0</v>
      </c>
      <c r="L105" s="195">
        <f>SUM(L98:L104)</f>
        <v>0</v>
      </c>
      <c r="M105" s="196">
        <f>SUM(M98:M104)</f>
        <v>0</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571" t="s">
        <v>69</v>
      </c>
      <c r="B107" s="2572" t="s">
        <v>61</v>
      </c>
      <c r="C107" s="2573" t="s">
        <v>8</v>
      </c>
      <c r="D107" s="2574" t="s">
        <v>70</v>
      </c>
      <c r="E107" s="174" t="s">
        <v>71</v>
      </c>
      <c r="F107" s="493"/>
      <c r="G107" s="493"/>
      <c r="H107" s="493"/>
      <c r="I107" s="493"/>
      <c r="J107" s="493"/>
      <c r="K107" s="493"/>
      <c r="L107" s="494"/>
      <c r="M107" s="199"/>
      <c r="N107" s="199"/>
    </row>
    <row r="108" spans="1:16" ht="103.5" customHeight="1">
      <c r="A108" s="2041"/>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552"/>
      <c r="B109" s="2025"/>
      <c r="C109" s="112">
        <v>2014</v>
      </c>
      <c r="D109" s="34"/>
      <c r="E109" s="186"/>
      <c r="F109" s="187"/>
      <c r="G109" s="187"/>
      <c r="H109" s="187"/>
      <c r="I109" s="187"/>
      <c r="J109" s="187"/>
      <c r="K109" s="187"/>
      <c r="L109" s="188"/>
      <c r="M109" s="199"/>
      <c r="N109" s="199"/>
    </row>
    <row r="110" spans="1:16">
      <c r="A110" s="2553"/>
      <c r="B110" s="2025"/>
      <c r="C110" s="116">
        <v>2015</v>
      </c>
      <c r="D110" s="42"/>
      <c r="E110" s="189"/>
      <c r="F110" s="190"/>
      <c r="G110" s="190"/>
      <c r="H110" s="190"/>
      <c r="I110" s="190"/>
      <c r="J110" s="190"/>
      <c r="K110" s="190"/>
      <c r="L110" s="193"/>
      <c r="M110" s="199"/>
      <c r="N110" s="199"/>
    </row>
    <row r="111" spans="1:16">
      <c r="A111" s="2553"/>
      <c r="B111" s="2025"/>
      <c r="C111" s="116">
        <v>2016</v>
      </c>
      <c r="D111" s="42"/>
      <c r="E111" s="189"/>
      <c r="F111" s="190"/>
      <c r="G111" s="190"/>
      <c r="H111" s="190"/>
      <c r="I111" s="190"/>
      <c r="J111" s="190"/>
      <c r="K111" s="190"/>
      <c r="L111" s="193"/>
      <c r="M111" s="199"/>
      <c r="N111" s="199"/>
    </row>
    <row r="112" spans="1:16">
      <c r="A112" s="2553"/>
      <c r="B112" s="2025"/>
      <c r="C112" s="116">
        <v>2017</v>
      </c>
      <c r="D112" s="42"/>
      <c r="E112" s="189"/>
      <c r="F112" s="190"/>
      <c r="G112" s="190"/>
      <c r="H112" s="190"/>
      <c r="I112" s="190"/>
      <c r="J112" s="190"/>
      <c r="K112" s="190"/>
      <c r="L112" s="193"/>
      <c r="M112" s="199"/>
      <c r="N112" s="199"/>
    </row>
    <row r="113" spans="1:14">
      <c r="A113" s="2553"/>
      <c r="B113" s="2025"/>
      <c r="C113" s="116">
        <v>2018</v>
      </c>
      <c r="D113" s="42"/>
      <c r="E113" s="189"/>
      <c r="F113" s="190"/>
      <c r="G113" s="190"/>
      <c r="H113" s="190"/>
      <c r="I113" s="190"/>
      <c r="J113" s="190"/>
      <c r="K113" s="190"/>
      <c r="L113" s="193"/>
      <c r="M113" s="199"/>
      <c r="N113" s="199"/>
    </row>
    <row r="114" spans="1:14">
      <c r="A114" s="2553"/>
      <c r="B114" s="2025"/>
      <c r="C114" s="116">
        <v>2019</v>
      </c>
      <c r="D114" s="42"/>
      <c r="E114" s="189"/>
      <c r="F114" s="190"/>
      <c r="G114" s="190"/>
      <c r="H114" s="190"/>
      <c r="I114" s="190"/>
      <c r="J114" s="190"/>
      <c r="K114" s="190"/>
      <c r="L114" s="193"/>
      <c r="M114" s="199"/>
      <c r="N114" s="199"/>
    </row>
    <row r="115" spans="1:14">
      <c r="A115" s="2553"/>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571" t="s">
        <v>72</v>
      </c>
      <c r="B118" s="2572" t="s">
        <v>61</v>
      </c>
      <c r="C118" s="2573" t="s">
        <v>8</v>
      </c>
      <c r="D118" s="2574" t="s">
        <v>73</v>
      </c>
      <c r="E118" s="174" t="s">
        <v>71</v>
      </c>
      <c r="F118" s="493"/>
      <c r="G118" s="493"/>
      <c r="H118" s="493"/>
      <c r="I118" s="493"/>
      <c r="J118" s="493"/>
      <c r="K118" s="493"/>
      <c r="L118" s="494"/>
      <c r="M118" s="199"/>
      <c r="N118" s="199"/>
    </row>
    <row r="119" spans="1:14" ht="120.75" customHeight="1">
      <c r="A119" s="2041"/>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552"/>
      <c r="B120" s="2025"/>
      <c r="C120" s="112">
        <v>2014</v>
      </c>
      <c r="D120" s="34"/>
      <c r="E120" s="186"/>
      <c r="F120" s="187"/>
      <c r="G120" s="187"/>
      <c r="H120" s="187"/>
      <c r="I120" s="187"/>
      <c r="J120" s="187"/>
      <c r="K120" s="187"/>
      <c r="L120" s="188"/>
      <c r="M120" s="199"/>
      <c r="N120" s="199"/>
    </row>
    <row r="121" spans="1:14">
      <c r="A121" s="2553"/>
      <c r="B121" s="2025"/>
      <c r="C121" s="116">
        <v>2015</v>
      </c>
      <c r="D121" s="42"/>
      <c r="E121" s="189"/>
      <c r="F121" s="190"/>
      <c r="G121" s="190"/>
      <c r="H121" s="190"/>
      <c r="I121" s="190"/>
      <c r="J121" s="190"/>
      <c r="K121" s="190"/>
      <c r="L121" s="193"/>
      <c r="M121" s="199"/>
      <c r="N121" s="199"/>
    </row>
    <row r="122" spans="1:14">
      <c r="A122" s="2553"/>
      <c r="B122" s="2025"/>
      <c r="C122" s="116">
        <v>2016</v>
      </c>
      <c r="D122" s="42"/>
      <c r="E122" s="189"/>
      <c r="F122" s="190"/>
      <c r="G122" s="190"/>
      <c r="H122" s="190"/>
      <c r="I122" s="190"/>
      <c r="J122" s="190"/>
      <c r="K122" s="190"/>
      <c r="L122" s="193"/>
      <c r="M122" s="199"/>
      <c r="N122" s="199"/>
    </row>
    <row r="123" spans="1:14">
      <c r="A123" s="2553"/>
      <c r="B123" s="2025"/>
      <c r="C123" s="116">
        <v>2017</v>
      </c>
      <c r="D123" s="42"/>
      <c r="E123" s="189"/>
      <c r="F123" s="190"/>
      <c r="G123" s="190"/>
      <c r="H123" s="190"/>
      <c r="I123" s="190"/>
      <c r="J123" s="190"/>
      <c r="K123" s="190"/>
      <c r="L123" s="193"/>
      <c r="M123" s="199"/>
      <c r="N123" s="199"/>
    </row>
    <row r="124" spans="1:14">
      <c r="A124" s="2553"/>
      <c r="B124" s="2025"/>
      <c r="C124" s="116">
        <v>2018</v>
      </c>
      <c r="D124" s="42"/>
      <c r="E124" s="189"/>
      <c r="F124" s="190"/>
      <c r="G124" s="190"/>
      <c r="H124" s="190"/>
      <c r="I124" s="190"/>
      <c r="J124" s="190"/>
      <c r="K124" s="190"/>
      <c r="L124" s="193"/>
      <c r="M124" s="199"/>
      <c r="N124" s="199"/>
    </row>
    <row r="125" spans="1:14">
      <c r="A125" s="2553"/>
      <c r="B125" s="2025"/>
      <c r="C125" s="116">
        <v>2019</v>
      </c>
      <c r="D125" s="42"/>
      <c r="E125" s="189"/>
      <c r="F125" s="190"/>
      <c r="G125" s="190"/>
      <c r="H125" s="190"/>
      <c r="I125" s="190"/>
      <c r="J125" s="190"/>
      <c r="K125" s="190"/>
      <c r="L125" s="193"/>
      <c r="M125" s="199"/>
      <c r="N125" s="199"/>
    </row>
    <row r="126" spans="1:14">
      <c r="A126" s="2553"/>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571" t="s">
        <v>74</v>
      </c>
      <c r="B129" s="2572" t="s">
        <v>61</v>
      </c>
      <c r="C129" s="1431" t="s">
        <v>8</v>
      </c>
      <c r="D129" s="496" t="s">
        <v>75</v>
      </c>
      <c r="E129" s="497"/>
      <c r="F129" s="497"/>
      <c r="G129" s="498"/>
      <c r="H129" s="199"/>
      <c r="I129" s="199"/>
      <c r="J129" s="199"/>
      <c r="K129" s="199"/>
      <c r="L129" s="199"/>
      <c r="M129" s="199"/>
      <c r="N129" s="199"/>
    </row>
    <row r="130" spans="1:16" ht="77.25" customHeight="1">
      <c r="A130" s="2041"/>
      <c r="B130" s="2043"/>
      <c r="C130" s="1427"/>
      <c r="D130" s="178" t="s">
        <v>76</v>
      </c>
      <c r="E130" s="207" t="s">
        <v>77</v>
      </c>
      <c r="F130" s="179" t="s">
        <v>78</v>
      </c>
      <c r="G130" s="208" t="s">
        <v>12</v>
      </c>
      <c r="H130" s="199"/>
      <c r="I130" s="199"/>
      <c r="J130" s="199"/>
      <c r="K130" s="199"/>
      <c r="L130" s="199"/>
      <c r="M130" s="199"/>
      <c r="N130" s="199"/>
    </row>
    <row r="131" spans="1:16" ht="15" customHeight="1">
      <c r="A131" s="2550"/>
      <c r="B131" s="1988"/>
      <c r="C131" s="112">
        <v>2015</v>
      </c>
      <c r="D131" s="33"/>
      <c r="E131" s="34"/>
      <c r="F131" s="34"/>
      <c r="G131" s="209">
        <f t="shared" ref="G131:G136" si="11">SUM(D131:F131)</f>
        <v>0</v>
      </c>
      <c r="H131" s="199"/>
      <c r="I131" s="199"/>
      <c r="J131" s="199"/>
      <c r="K131" s="199"/>
      <c r="L131" s="199"/>
      <c r="M131" s="199"/>
      <c r="N131" s="199"/>
    </row>
    <row r="132" spans="1:16">
      <c r="A132" s="2551"/>
      <c r="B132" s="1988"/>
      <c r="C132" s="116">
        <v>2016</v>
      </c>
      <c r="D132" s="50"/>
      <c r="E132" s="42"/>
      <c r="F132" s="42"/>
      <c r="G132" s="209">
        <f t="shared" si="11"/>
        <v>0</v>
      </c>
      <c r="H132" s="199"/>
      <c r="I132" s="199"/>
      <c r="J132" s="199"/>
      <c r="K132" s="199"/>
      <c r="L132" s="199"/>
      <c r="M132" s="199"/>
      <c r="N132" s="199"/>
    </row>
    <row r="133" spans="1:16">
      <c r="A133" s="2551"/>
      <c r="B133" s="1988"/>
      <c r="C133" s="116">
        <v>2017</v>
      </c>
      <c r="D133" s="50"/>
      <c r="E133" s="42"/>
      <c r="F133" s="42"/>
      <c r="G133" s="209">
        <f t="shared" si="11"/>
        <v>0</v>
      </c>
      <c r="H133" s="199"/>
      <c r="I133" s="199"/>
      <c r="J133" s="199"/>
      <c r="K133" s="199"/>
      <c r="L133" s="199"/>
      <c r="M133" s="199"/>
      <c r="N133" s="199"/>
    </row>
    <row r="134" spans="1:16">
      <c r="A134" s="2551"/>
      <c r="B134" s="1988"/>
      <c r="C134" s="116">
        <v>2018</v>
      </c>
      <c r="D134" s="50"/>
      <c r="E134" s="42"/>
      <c r="F134" s="42"/>
      <c r="G134" s="209">
        <f t="shared" si="11"/>
        <v>0</v>
      </c>
      <c r="H134" s="199"/>
      <c r="I134" s="199"/>
      <c r="J134" s="199"/>
      <c r="K134" s="199"/>
      <c r="L134" s="199"/>
      <c r="M134" s="199"/>
      <c r="N134" s="199"/>
    </row>
    <row r="135" spans="1:16">
      <c r="A135" s="2551"/>
      <c r="B135" s="1988"/>
      <c r="C135" s="116">
        <v>2019</v>
      </c>
      <c r="D135" s="50"/>
      <c r="E135" s="42"/>
      <c r="F135" s="42"/>
      <c r="G135" s="209">
        <f t="shared" si="11"/>
        <v>0</v>
      </c>
      <c r="H135" s="199"/>
      <c r="I135" s="199"/>
      <c r="J135" s="199"/>
      <c r="K135" s="199"/>
      <c r="L135" s="199"/>
      <c r="M135" s="199"/>
      <c r="N135" s="199"/>
    </row>
    <row r="136" spans="1:16">
      <c r="A136" s="2551"/>
      <c r="B136" s="1988"/>
      <c r="C136" s="116">
        <v>2020</v>
      </c>
      <c r="D136" s="50"/>
      <c r="E136" s="42"/>
      <c r="F136" s="42"/>
      <c r="G136" s="209">
        <f t="shared" si="11"/>
        <v>0</v>
      </c>
      <c r="H136" s="199"/>
      <c r="I136" s="199"/>
      <c r="J136" s="199"/>
      <c r="K136" s="199"/>
      <c r="L136" s="199"/>
      <c r="M136" s="199"/>
      <c r="N136" s="199"/>
    </row>
    <row r="137" spans="1:16" ht="17.25" customHeight="1" thickBot="1">
      <c r="A137" s="1989"/>
      <c r="B137" s="1990"/>
      <c r="C137" s="122" t="s">
        <v>12</v>
      </c>
      <c r="D137" s="151">
        <f>SUM(D131:D136)</f>
        <v>0</v>
      </c>
      <c r="E137" s="151">
        <f t="shared" ref="E137:F137" si="12">SUM(E131:E136)</f>
        <v>0</v>
      </c>
      <c r="F137" s="151">
        <f t="shared" si="12"/>
        <v>0</v>
      </c>
      <c r="G137" s="210">
        <f>SUM(G131:G136)</f>
        <v>0</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575" t="s">
        <v>80</v>
      </c>
      <c r="B142" s="2576" t="s">
        <v>61</v>
      </c>
      <c r="C142" s="2582" t="s">
        <v>8</v>
      </c>
      <c r="D142" s="1414" t="s">
        <v>81</v>
      </c>
      <c r="E142" s="1415"/>
      <c r="F142" s="1415"/>
      <c r="G142" s="1415"/>
      <c r="H142" s="1415"/>
      <c r="I142" s="1416"/>
      <c r="J142" s="2577" t="s">
        <v>82</v>
      </c>
      <c r="K142" s="2578"/>
      <c r="L142" s="2578"/>
      <c r="M142" s="2578"/>
      <c r="N142" s="2579"/>
      <c r="O142" s="177"/>
      <c r="P142" s="177"/>
    </row>
    <row r="143" spans="1:16" ht="113.25" customHeight="1">
      <c r="A143" s="2045"/>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552"/>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553"/>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553"/>
      <c r="B146" s="2025"/>
      <c r="C146" s="116">
        <v>2016</v>
      </c>
      <c r="D146" s="50"/>
      <c r="E146" s="50"/>
      <c r="F146" s="42"/>
      <c r="G146" s="190"/>
      <c r="H146" s="190"/>
      <c r="I146" s="227">
        <f t="shared" si="13"/>
        <v>0</v>
      </c>
      <c r="J146" s="231"/>
      <c r="K146" s="232"/>
      <c r="L146" s="231"/>
      <c r="M146" s="232"/>
      <c r="N146" s="233"/>
      <c r="O146" s="177"/>
      <c r="P146" s="177"/>
    </row>
    <row r="147" spans="1:16" ht="17.25" customHeight="1">
      <c r="A147" s="2553"/>
      <c r="B147" s="2025"/>
      <c r="C147" s="116">
        <v>2017</v>
      </c>
      <c r="D147" s="50"/>
      <c r="E147" s="50"/>
      <c r="F147" s="42"/>
      <c r="G147" s="190"/>
      <c r="H147" s="190"/>
      <c r="I147" s="227">
        <f t="shared" si="13"/>
        <v>0</v>
      </c>
      <c r="J147" s="231"/>
      <c r="K147" s="232"/>
      <c r="L147" s="231"/>
      <c r="M147" s="232"/>
      <c r="N147" s="233"/>
      <c r="O147" s="177"/>
      <c r="P147" s="177"/>
    </row>
    <row r="148" spans="1:16" ht="19.5" customHeight="1">
      <c r="A148" s="2553"/>
      <c r="B148" s="2025"/>
      <c r="C148" s="116">
        <v>2018</v>
      </c>
      <c r="D148" s="50"/>
      <c r="E148" s="50"/>
      <c r="F148" s="42"/>
      <c r="G148" s="190"/>
      <c r="H148" s="190"/>
      <c r="I148" s="227">
        <f t="shared" si="13"/>
        <v>0</v>
      </c>
      <c r="J148" s="231"/>
      <c r="K148" s="232"/>
      <c r="L148" s="231"/>
      <c r="M148" s="232"/>
      <c r="N148" s="233"/>
      <c r="O148" s="177"/>
      <c r="P148" s="177"/>
    </row>
    <row r="149" spans="1:16" ht="19.5" customHeight="1">
      <c r="A149" s="2553"/>
      <c r="B149" s="2025"/>
      <c r="C149" s="116">
        <v>2019</v>
      </c>
      <c r="D149" s="50"/>
      <c r="E149" s="50"/>
      <c r="F149" s="42"/>
      <c r="G149" s="190"/>
      <c r="H149" s="190"/>
      <c r="I149" s="227">
        <f t="shared" si="13"/>
        <v>0</v>
      </c>
      <c r="J149" s="231"/>
      <c r="K149" s="232"/>
      <c r="L149" s="231"/>
      <c r="M149" s="232"/>
      <c r="N149" s="233"/>
      <c r="O149" s="177"/>
      <c r="P149" s="177"/>
    </row>
    <row r="150" spans="1:16" ht="18.75" customHeight="1">
      <c r="A150" s="2553"/>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580" t="s">
        <v>93</v>
      </c>
      <c r="B153" s="2576" t="s">
        <v>61</v>
      </c>
      <c r="C153" s="2581" t="s">
        <v>8</v>
      </c>
      <c r="D153" s="502" t="s">
        <v>94</v>
      </c>
      <c r="E153" s="502"/>
      <c r="F153" s="503"/>
      <c r="G153" s="503"/>
      <c r="H153" s="502" t="s">
        <v>95</v>
      </c>
      <c r="I153" s="502"/>
      <c r="J153" s="504"/>
      <c r="K153" s="31"/>
      <c r="L153" s="31"/>
      <c r="M153" s="31"/>
      <c r="N153" s="31"/>
      <c r="O153" s="177"/>
      <c r="P153" s="177"/>
    </row>
    <row r="154" spans="1:16" ht="49.5" customHeight="1">
      <c r="A154" s="2556"/>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552"/>
      <c r="B155" s="2025"/>
      <c r="C155" s="247">
        <v>2014</v>
      </c>
      <c r="D155" s="228"/>
      <c r="E155" s="187"/>
      <c r="F155" s="229"/>
      <c r="G155" s="227">
        <f>SUM(D155:F155)</f>
        <v>0</v>
      </c>
      <c r="H155" s="228"/>
      <c r="I155" s="187"/>
      <c r="J155" s="188"/>
      <c r="O155" s="177"/>
      <c r="P155" s="177"/>
    </row>
    <row r="156" spans="1:16" ht="19.5" customHeight="1">
      <c r="A156" s="2553"/>
      <c r="B156" s="2025"/>
      <c r="C156" s="248">
        <v>2015</v>
      </c>
      <c r="D156" s="231"/>
      <c r="E156" s="190"/>
      <c r="F156" s="232"/>
      <c r="G156" s="227">
        <f t="shared" ref="G156:G161" si="15">SUM(D156:F156)</f>
        <v>0</v>
      </c>
      <c r="H156" s="231"/>
      <c r="I156" s="190"/>
      <c r="J156" s="193"/>
      <c r="O156" s="177"/>
      <c r="P156" s="177"/>
    </row>
    <row r="157" spans="1:16" ht="17.25" customHeight="1">
      <c r="A157" s="2553"/>
      <c r="B157" s="2025"/>
      <c r="C157" s="248">
        <v>2016</v>
      </c>
      <c r="D157" s="231"/>
      <c r="E157" s="190"/>
      <c r="F157" s="232"/>
      <c r="G157" s="227">
        <f t="shared" si="15"/>
        <v>0</v>
      </c>
      <c r="H157" s="231"/>
      <c r="I157" s="190"/>
      <c r="J157" s="193"/>
      <c r="O157" s="177"/>
      <c r="P157" s="177"/>
    </row>
    <row r="158" spans="1:16" ht="15" customHeight="1">
      <c r="A158" s="2553"/>
      <c r="B158" s="2025"/>
      <c r="C158" s="248">
        <v>2017</v>
      </c>
      <c r="D158" s="231"/>
      <c r="E158" s="190"/>
      <c r="F158" s="232"/>
      <c r="G158" s="227">
        <f t="shared" si="15"/>
        <v>0</v>
      </c>
      <c r="H158" s="231"/>
      <c r="I158" s="190"/>
      <c r="J158" s="193"/>
      <c r="O158" s="177"/>
      <c r="P158" s="177"/>
    </row>
    <row r="159" spans="1:16" ht="19.5" customHeight="1">
      <c r="A159" s="2553"/>
      <c r="B159" s="2025"/>
      <c r="C159" s="248">
        <v>2018</v>
      </c>
      <c r="D159" s="231"/>
      <c r="E159" s="190"/>
      <c r="F159" s="232"/>
      <c r="G159" s="227">
        <f t="shared" si="15"/>
        <v>0</v>
      </c>
      <c r="H159" s="231"/>
      <c r="I159" s="190"/>
      <c r="J159" s="193"/>
      <c r="O159" s="177"/>
      <c r="P159" s="177"/>
    </row>
    <row r="160" spans="1:16" ht="15" customHeight="1">
      <c r="A160" s="2553"/>
      <c r="B160" s="2025"/>
      <c r="C160" s="248">
        <v>2019</v>
      </c>
      <c r="D160" s="231"/>
      <c r="E160" s="190"/>
      <c r="F160" s="232"/>
      <c r="G160" s="227">
        <f t="shared" si="15"/>
        <v>0</v>
      </c>
      <c r="H160" s="231"/>
      <c r="I160" s="190"/>
      <c r="J160" s="193"/>
      <c r="O160" s="177"/>
      <c r="P160" s="177"/>
    </row>
    <row r="161" spans="1:18" ht="17.25" customHeight="1">
      <c r="A161" s="2553"/>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1418"/>
      <c r="F163" s="177"/>
      <c r="G163" s="177"/>
      <c r="H163" s="177"/>
      <c r="I163" s="177"/>
      <c r="J163" s="255"/>
      <c r="K163" s="256"/>
    </row>
    <row r="164" spans="1:18" ht="95.25" customHeight="1">
      <c r="A164" s="506" t="s">
        <v>102</v>
      </c>
      <c r="B164" s="258" t="s">
        <v>103</v>
      </c>
      <c r="C164" s="1447" t="s">
        <v>8</v>
      </c>
      <c r="D164" s="260" t="s">
        <v>104</v>
      </c>
      <c r="E164" s="260" t="s">
        <v>105</v>
      </c>
      <c r="F164" s="508" t="s">
        <v>106</v>
      </c>
      <c r="G164" s="260" t="s">
        <v>107</v>
      </c>
      <c r="H164" s="260" t="s">
        <v>108</v>
      </c>
      <c r="I164" s="262" t="s">
        <v>109</v>
      </c>
      <c r="J164" s="509" t="s">
        <v>110</v>
      </c>
      <c r="K164" s="509" t="s">
        <v>111</v>
      </c>
      <c r="L164" s="1371"/>
    </row>
    <row r="165" spans="1:18" ht="15.75" customHeight="1">
      <c r="A165" s="2011"/>
      <c r="B165" s="2012"/>
      <c r="C165" s="265">
        <v>2014</v>
      </c>
      <c r="D165" s="187"/>
      <c r="E165" s="187"/>
      <c r="F165" s="187"/>
      <c r="G165" s="187"/>
      <c r="H165" s="187"/>
      <c r="I165" s="188"/>
      <c r="J165" s="266">
        <f>SUM(D165,F165,H165)</f>
        <v>0</v>
      </c>
      <c r="K165" s="267">
        <f>SUM(E165,G165,I165)</f>
        <v>0</v>
      </c>
      <c r="L165" s="1371"/>
    </row>
    <row r="166" spans="1:18">
      <c r="A166" s="2013"/>
      <c r="B166" s="2014"/>
      <c r="C166" s="268">
        <v>2015</v>
      </c>
      <c r="D166" s="269"/>
      <c r="E166" s="269"/>
      <c r="F166" s="269"/>
      <c r="G166" s="269"/>
      <c r="H166" s="269"/>
      <c r="I166" s="270"/>
      <c r="J166" s="271">
        <f t="shared" ref="J166:K171" si="17">SUM(D166,F166,H166)</f>
        <v>0</v>
      </c>
      <c r="K166" s="272">
        <f t="shared" si="17"/>
        <v>0</v>
      </c>
      <c r="L166" s="1371"/>
    </row>
    <row r="167" spans="1:18">
      <c r="A167" s="2013"/>
      <c r="B167" s="2014"/>
      <c r="C167" s="268">
        <v>2016</v>
      </c>
      <c r="D167" s="269"/>
      <c r="E167" s="269"/>
      <c r="F167" s="269"/>
      <c r="G167" s="269"/>
      <c r="H167" s="269"/>
      <c r="I167" s="270"/>
      <c r="J167" s="271">
        <f t="shared" si="17"/>
        <v>0</v>
      </c>
      <c r="K167" s="272">
        <f t="shared" si="17"/>
        <v>0</v>
      </c>
    </row>
    <row r="168" spans="1:18">
      <c r="A168" s="2013"/>
      <c r="B168" s="2014"/>
      <c r="C168" s="268">
        <v>2017</v>
      </c>
      <c r="D168" s="269"/>
      <c r="E168" s="177"/>
      <c r="F168" s="269"/>
      <c r="G168" s="269"/>
      <c r="H168" s="269"/>
      <c r="I168" s="270"/>
      <c r="J168" s="271">
        <f t="shared" si="17"/>
        <v>0</v>
      </c>
      <c r="K168" s="272">
        <f t="shared" si="17"/>
        <v>0</v>
      </c>
    </row>
    <row r="169" spans="1:18">
      <c r="A169" s="2013"/>
      <c r="B169" s="2014"/>
      <c r="C169" s="273">
        <v>2018</v>
      </c>
      <c r="D169" s="269"/>
      <c r="E169" s="269"/>
      <c r="F169" s="269"/>
      <c r="G169" s="274"/>
      <c r="H169" s="269"/>
      <c r="I169" s="270"/>
      <c r="J169" s="271">
        <f t="shared" si="17"/>
        <v>0</v>
      </c>
      <c r="K169" s="272">
        <f t="shared" si="17"/>
        <v>0</v>
      </c>
      <c r="L169" s="1371"/>
    </row>
    <row r="170" spans="1:18">
      <c r="A170" s="2013"/>
      <c r="B170" s="2014"/>
      <c r="C170" s="268">
        <v>2019</v>
      </c>
      <c r="D170" s="177"/>
      <c r="E170" s="269"/>
      <c r="F170" s="269"/>
      <c r="G170" s="269"/>
      <c r="H170" s="274"/>
      <c r="I170" s="270"/>
      <c r="J170" s="271">
        <f t="shared" si="17"/>
        <v>0</v>
      </c>
      <c r="K170" s="272">
        <f t="shared" si="17"/>
        <v>0</v>
      </c>
      <c r="L170" s="1371"/>
    </row>
    <row r="171" spans="1:18">
      <c r="A171" s="2013"/>
      <c r="B171" s="2014"/>
      <c r="C171" s="273">
        <v>2020</v>
      </c>
      <c r="D171" s="269"/>
      <c r="E171" s="269"/>
      <c r="F171" s="269"/>
      <c r="G171" s="269"/>
      <c r="H171" s="269"/>
      <c r="I171" s="270"/>
      <c r="J171" s="271">
        <f t="shared" si="17"/>
        <v>0</v>
      </c>
      <c r="K171" s="272">
        <f t="shared" si="17"/>
        <v>0</v>
      </c>
      <c r="L171" s="1371"/>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1371"/>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584" t="s">
        <v>113</v>
      </c>
      <c r="B176" s="2585" t="s">
        <v>114</v>
      </c>
      <c r="C176" s="2586" t="s">
        <v>8</v>
      </c>
      <c r="D176" s="510" t="s">
        <v>115</v>
      </c>
      <c r="E176" s="511"/>
      <c r="F176" s="511"/>
      <c r="G176" s="512"/>
      <c r="H176" s="513"/>
      <c r="I176" s="2021" t="s">
        <v>116</v>
      </c>
      <c r="J176" s="2232"/>
      <c r="K176" s="2232"/>
      <c r="L176" s="2232"/>
      <c r="M176" s="2232"/>
      <c r="N176" s="2232"/>
      <c r="O176" s="2233"/>
    </row>
    <row r="177" spans="1:15" s="31" customFormat="1" ht="129.75" customHeight="1">
      <c r="A177" s="2018"/>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553" t="s">
        <v>408</v>
      </c>
      <c r="B178" s="2025"/>
      <c r="C178" s="112">
        <v>2014</v>
      </c>
      <c r="D178" s="33"/>
      <c r="E178" s="34"/>
      <c r="F178" s="34"/>
      <c r="G178" s="293">
        <f>SUM(D178:F178)</f>
        <v>0</v>
      </c>
      <c r="H178" s="167"/>
      <c r="I178" s="167"/>
      <c r="J178" s="34"/>
      <c r="K178" s="34"/>
      <c r="L178" s="34"/>
      <c r="M178" s="34"/>
      <c r="N178" s="34"/>
      <c r="O178" s="37"/>
    </row>
    <row r="179" spans="1:15">
      <c r="A179" s="2553"/>
      <c r="B179" s="2025"/>
      <c r="C179" s="116">
        <v>2015</v>
      </c>
      <c r="D179" s="50"/>
      <c r="E179" s="42"/>
      <c r="F179" s="42"/>
      <c r="G179" s="293">
        <f t="shared" ref="G179:G184" si="19">SUM(D179:F179)</f>
        <v>0</v>
      </c>
      <c r="H179" s="294"/>
      <c r="I179" s="118"/>
      <c r="J179" s="42"/>
      <c r="K179" s="42"/>
      <c r="L179" s="42"/>
      <c r="M179" s="42"/>
      <c r="N179" s="42"/>
      <c r="O179" s="99"/>
    </row>
    <row r="180" spans="1:15">
      <c r="A180" s="2553"/>
      <c r="B180" s="2025"/>
      <c r="C180" s="116">
        <v>2016</v>
      </c>
      <c r="D180" s="50">
        <v>27</v>
      </c>
      <c r="E180" s="42"/>
      <c r="F180" s="42"/>
      <c r="G180" s="293">
        <f t="shared" si="19"/>
        <v>27</v>
      </c>
      <c r="H180" s="294">
        <v>27</v>
      </c>
      <c r="I180" s="118"/>
      <c r="J180" s="42"/>
      <c r="K180" s="42"/>
      <c r="L180" s="42"/>
      <c r="M180" s="42"/>
      <c r="N180" s="42"/>
      <c r="O180" s="99">
        <v>27</v>
      </c>
    </row>
    <row r="181" spans="1:15">
      <c r="A181" s="2553"/>
      <c r="B181" s="2025"/>
      <c r="C181" s="116">
        <v>2017</v>
      </c>
      <c r="D181" s="50"/>
      <c r="E181" s="42"/>
      <c r="F181" s="42"/>
      <c r="G181" s="293">
        <f t="shared" si="19"/>
        <v>0</v>
      </c>
      <c r="H181" s="294"/>
      <c r="I181" s="118"/>
      <c r="J181" s="42"/>
      <c r="K181" s="42"/>
      <c r="L181" s="42"/>
      <c r="M181" s="42"/>
      <c r="N181" s="42"/>
      <c r="O181" s="99"/>
    </row>
    <row r="182" spans="1:15">
      <c r="A182" s="2553"/>
      <c r="B182" s="2025"/>
      <c r="C182" s="116">
        <v>2018</v>
      </c>
      <c r="D182" s="50"/>
      <c r="E182" s="42"/>
      <c r="F182" s="42"/>
      <c r="G182" s="293">
        <f t="shared" si="19"/>
        <v>0</v>
      </c>
      <c r="H182" s="294"/>
      <c r="I182" s="118"/>
      <c r="J182" s="42"/>
      <c r="K182" s="42"/>
      <c r="L182" s="42"/>
      <c r="M182" s="42"/>
      <c r="N182" s="42"/>
      <c r="O182" s="99"/>
    </row>
    <row r="183" spans="1:15">
      <c r="A183" s="2553"/>
      <c r="B183" s="2025"/>
      <c r="C183" s="116">
        <v>2019</v>
      </c>
      <c r="D183" s="50"/>
      <c r="E183" s="42"/>
      <c r="F183" s="42"/>
      <c r="G183" s="293">
        <f t="shared" si="19"/>
        <v>0</v>
      </c>
      <c r="H183" s="294"/>
      <c r="I183" s="118"/>
      <c r="J183" s="42"/>
      <c r="K183" s="42"/>
      <c r="L183" s="42"/>
      <c r="M183" s="42"/>
      <c r="N183" s="42"/>
      <c r="O183" s="99"/>
    </row>
    <row r="184" spans="1:15">
      <c r="A184" s="2553"/>
      <c r="B184" s="2025"/>
      <c r="C184" s="116">
        <v>2020</v>
      </c>
      <c r="D184" s="50"/>
      <c r="E184" s="42"/>
      <c r="F184" s="42"/>
      <c r="G184" s="293">
        <f t="shared" si="19"/>
        <v>0</v>
      </c>
      <c r="H184" s="294"/>
      <c r="I184" s="118"/>
      <c r="J184" s="42"/>
      <c r="K184" s="42"/>
      <c r="L184" s="42"/>
      <c r="M184" s="42"/>
      <c r="N184" s="42"/>
      <c r="O184" s="99"/>
    </row>
    <row r="185" spans="1:15" ht="45" customHeight="1" thickBot="1">
      <c r="A185" s="2026"/>
      <c r="B185" s="2027"/>
      <c r="C185" s="122" t="s">
        <v>12</v>
      </c>
      <c r="D185" s="151">
        <f>SUM(D178:D184)</f>
        <v>27</v>
      </c>
      <c r="E185" s="125">
        <f>SUM(E178:E184)</f>
        <v>0</v>
      </c>
      <c r="F185" s="125">
        <f>SUM(F178:F184)</f>
        <v>0</v>
      </c>
      <c r="G185" s="234">
        <f t="shared" ref="G185:O185" si="20">SUM(G178:G184)</f>
        <v>27</v>
      </c>
      <c r="H185" s="295">
        <f t="shared" si="20"/>
        <v>27</v>
      </c>
      <c r="I185" s="124">
        <f t="shared" si="20"/>
        <v>0</v>
      </c>
      <c r="J185" s="125">
        <f t="shared" si="20"/>
        <v>0</v>
      </c>
      <c r="K185" s="125">
        <f t="shared" si="20"/>
        <v>0</v>
      </c>
      <c r="L185" s="125">
        <f t="shared" si="20"/>
        <v>0</v>
      </c>
      <c r="M185" s="125">
        <f t="shared" si="20"/>
        <v>0</v>
      </c>
      <c r="N185" s="125">
        <f t="shared" si="20"/>
        <v>0</v>
      </c>
      <c r="O185" s="126">
        <f t="shared" si="20"/>
        <v>27</v>
      </c>
    </row>
    <row r="186" spans="1:15" ht="33" customHeight="1" thickBot="1"/>
    <row r="187" spans="1:15" ht="19.5" customHeight="1">
      <c r="A187" s="2235" t="s">
        <v>122</v>
      </c>
      <c r="B187" s="2585" t="s">
        <v>114</v>
      </c>
      <c r="C187" s="1998" t="s">
        <v>8</v>
      </c>
      <c r="D187" s="2000" t="s">
        <v>123</v>
      </c>
      <c r="E187" s="2219"/>
      <c r="F187" s="2219"/>
      <c r="G187" s="2220"/>
      <c r="H187" s="2221"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111" t="s">
        <v>408</v>
      </c>
      <c r="B189" s="2112"/>
      <c r="C189" s="392">
        <v>2014</v>
      </c>
      <c r="D189" s="142"/>
      <c r="E189" s="115"/>
      <c r="F189" s="115"/>
      <c r="G189" s="301">
        <f>SUM(D189:F189)</f>
        <v>0</v>
      </c>
      <c r="H189" s="114"/>
      <c r="I189" s="115"/>
      <c r="J189" s="115"/>
      <c r="K189" s="115"/>
      <c r="L189" s="143"/>
    </row>
    <row r="190" spans="1:15">
      <c r="A190" s="2557"/>
      <c r="B190" s="1988"/>
      <c r="C190" s="86">
        <v>2015</v>
      </c>
      <c r="D190" s="50"/>
      <c r="E190" s="42"/>
      <c r="F190" s="42"/>
      <c r="G190" s="301">
        <f t="shared" ref="G190:G195" si="21">SUM(D190:F190)</f>
        <v>0</v>
      </c>
      <c r="H190" s="118"/>
      <c r="I190" s="42"/>
      <c r="J190" s="42"/>
      <c r="K190" s="42"/>
      <c r="L190" s="99"/>
    </row>
    <row r="191" spans="1:15">
      <c r="A191" s="2557"/>
      <c r="B191" s="1988"/>
      <c r="C191" s="86">
        <v>2016</v>
      </c>
      <c r="D191" s="50">
        <v>1000</v>
      </c>
      <c r="E191" s="42"/>
      <c r="F191" s="42"/>
      <c r="G191" s="301">
        <f t="shared" si="21"/>
        <v>1000</v>
      </c>
      <c r="H191" s="118"/>
      <c r="I191" s="42"/>
      <c r="J191" s="42"/>
      <c r="K191" s="42"/>
      <c r="L191" s="99">
        <v>1000</v>
      </c>
    </row>
    <row r="192" spans="1:15">
      <c r="A192" s="2557"/>
      <c r="B192" s="1988"/>
      <c r="C192" s="86">
        <v>2017</v>
      </c>
      <c r="D192" s="50"/>
      <c r="E192" s="42"/>
      <c r="F192" s="42"/>
      <c r="G192" s="301">
        <f t="shared" si="21"/>
        <v>0</v>
      </c>
      <c r="H192" s="118"/>
      <c r="I192" s="42"/>
      <c r="J192" s="42"/>
      <c r="K192" s="42"/>
      <c r="L192" s="99"/>
    </row>
    <row r="193" spans="1:14">
      <c r="A193" s="2557"/>
      <c r="B193" s="1988"/>
      <c r="C193" s="86">
        <v>2018</v>
      </c>
      <c r="D193" s="50"/>
      <c r="E193" s="42"/>
      <c r="F193" s="42"/>
      <c r="G193" s="301">
        <f t="shared" si="21"/>
        <v>0</v>
      </c>
      <c r="H193" s="118"/>
      <c r="I193" s="42"/>
      <c r="J193" s="42"/>
      <c r="K193" s="42"/>
      <c r="L193" s="99"/>
    </row>
    <row r="194" spans="1:14">
      <c r="A194" s="2557"/>
      <c r="B194" s="1988"/>
      <c r="C194" s="86">
        <v>2019</v>
      </c>
      <c r="D194" s="50"/>
      <c r="E194" s="42"/>
      <c r="F194" s="42"/>
      <c r="G194" s="301">
        <f t="shared" si="21"/>
        <v>0</v>
      </c>
      <c r="H194" s="118"/>
      <c r="I194" s="42"/>
      <c r="J194" s="42"/>
      <c r="K194" s="42"/>
      <c r="L194" s="99"/>
    </row>
    <row r="195" spans="1:14">
      <c r="A195" s="2557"/>
      <c r="B195" s="1988"/>
      <c r="C195" s="86">
        <v>2020</v>
      </c>
      <c r="D195" s="50"/>
      <c r="E195" s="42"/>
      <c r="F195" s="42"/>
      <c r="G195" s="301">
        <f t="shared" si="21"/>
        <v>0</v>
      </c>
      <c r="H195" s="118"/>
      <c r="I195" s="42"/>
      <c r="J195" s="42"/>
      <c r="K195" s="42"/>
      <c r="L195" s="99"/>
    </row>
    <row r="196" spans="1:14" ht="15.75" thickBot="1">
      <c r="A196" s="2114"/>
      <c r="B196" s="1990"/>
      <c r="C196" s="148" t="s">
        <v>12</v>
      </c>
      <c r="D196" s="151">
        <f t="shared" ref="D196:L196" si="22">SUM(D189:D195)</f>
        <v>1000</v>
      </c>
      <c r="E196" s="125">
        <f t="shared" si="22"/>
        <v>0</v>
      </c>
      <c r="F196" s="125">
        <f t="shared" si="22"/>
        <v>0</v>
      </c>
      <c r="G196" s="304">
        <f t="shared" si="22"/>
        <v>1000</v>
      </c>
      <c r="H196" s="124">
        <f t="shared" si="22"/>
        <v>0</v>
      </c>
      <c r="I196" s="125">
        <f t="shared" si="22"/>
        <v>0</v>
      </c>
      <c r="J196" s="125">
        <f t="shared" si="22"/>
        <v>0</v>
      </c>
      <c r="K196" s="125">
        <f t="shared" si="22"/>
        <v>0</v>
      </c>
      <c r="L196" s="126">
        <f t="shared" si="22"/>
        <v>1000</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1422" t="s">
        <v>135</v>
      </c>
      <c r="B201" s="309" t="s">
        <v>114</v>
      </c>
      <c r="C201" s="310" t="s">
        <v>8</v>
      </c>
      <c r="D201" s="515" t="s">
        <v>136</v>
      </c>
      <c r="E201" s="312" t="s">
        <v>137</v>
      </c>
      <c r="F201" s="312" t="s">
        <v>138</v>
      </c>
      <c r="G201" s="310" t="s">
        <v>139</v>
      </c>
      <c r="H201" s="516" t="s">
        <v>140</v>
      </c>
      <c r="I201" s="517" t="s">
        <v>141</v>
      </c>
      <c r="J201" s="518" t="s">
        <v>142</v>
      </c>
      <c r="K201" s="312" t="s">
        <v>143</v>
      </c>
      <c r="L201" s="316" t="s">
        <v>144</v>
      </c>
    </row>
    <row r="202" spans="1:14" ht="15" customHeight="1">
      <c r="A202" s="2551"/>
      <c r="B202" s="1988"/>
      <c r="C202" s="84">
        <v>2014</v>
      </c>
      <c r="D202" s="33"/>
      <c r="E202" s="34"/>
      <c r="F202" s="34"/>
      <c r="G202" s="32"/>
      <c r="H202" s="317"/>
      <c r="I202" s="318"/>
      <c r="J202" s="319"/>
      <c r="K202" s="34"/>
      <c r="L202" s="37"/>
    </row>
    <row r="203" spans="1:14">
      <c r="A203" s="2551"/>
      <c r="B203" s="1988"/>
      <c r="C203" s="86">
        <v>2015</v>
      </c>
      <c r="D203" s="50"/>
      <c r="E203" s="42"/>
      <c r="F203" s="42"/>
      <c r="G203" s="39"/>
      <c r="H203" s="320"/>
      <c r="I203" s="321"/>
      <c r="J203" s="322"/>
      <c r="K203" s="42"/>
      <c r="L203" s="99"/>
    </row>
    <row r="204" spans="1:14">
      <c r="A204" s="2551"/>
      <c r="B204" s="1988"/>
      <c r="C204" s="86">
        <v>2016</v>
      </c>
      <c r="D204" s="50"/>
      <c r="E204" s="42"/>
      <c r="F204" s="42"/>
      <c r="G204" s="39"/>
      <c r="H204" s="320"/>
      <c r="I204" s="321"/>
      <c r="J204" s="322"/>
      <c r="K204" s="42"/>
      <c r="L204" s="99"/>
    </row>
    <row r="205" spans="1:14">
      <c r="A205" s="2551"/>
      <c r="B205" s="1988"/>
      <c r="C205" s="86">
        <v>2017</v>
      </c>
      <c r="D205" s="50"/>
      <c r="E205" s="42"/>
      <c r="F205" s="42"/>
      <c r="G205" s="39"/>
      <c r="H205" s="320"/>
      <c r="I205" s="321"/>
      <c r="J205" s="322"/>
      <c r="K205" s="42"/>
      <c r="L205" s="99"/>
    </row>
    <row r="206" spans="1:14">
      <c r="A206" s="2551"/>
      <c r="B206" s="1988"/>
      <c r="C206" s="86">
        <v>2018</v>
      </c>
      <c r="D206" s="50"/>
      <c r="E206" s="42"/>
      <c r="F206" s="42"/>
      <c r="G206" s="39"/>
      <c r="H206" s="320"/>
      <c r="I206" s="321"/>
      <c r="J206" s="322"/>
      <c r="K206" s="42"/>
      <c r="L206" s="99"/>
    </row>
    <row r="207" spans="1:14">
      <c r="A207" s="2551"/>
      <c r="B207" s="1988"/>
      <c r="C207" s="86">
        <v>2019</v>
      </c>
      <c r="D207" s="50"/>
      <c r="E207" s="42"/>
      <c r="F207" s="42"/>
      <c r="G207" s="39"/>
      <c r="H207" s="320"/>
      <c r="I207" s="321"/>
      <c r="J207" s="322"/>
      <c r="K207" s="42"/>
      <c r="L207" s="99"/>
    </row>
    <row r="208" spans="1:14">
      <c r="A208" s="2551"/>
      <c r="B208" s="1988"/>
      <c r="C208" s="86">
        <v>2020</v>
      </c>
      <c r="D208" s="1429"/>
      <c r="E208" s="324"/>
      <c r="F208" s="324"/>
      <c r="G208" s="325"/>
      <c r="H208" s="326"/>
      <c r="I208" s="327"/>
      <c r="J208" s="328"/>
      <c r="K208" s="324"/>
      <c r="L208" s="329"/>
    </row>
    <row r="209" spans="1:12" ht="20.25" customHeight="1" thickBot="1">
      <c r="A209" s="1989"/>
      <c r="B209" s="1990"/>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1424" t="s">
        <v>145</v>
      </c>
      <c r="B212" s="331" t="s">
        <v>146</v>
      </c>
      <c r="C212" s="332">
        <v>2014</v>
      </c>
      <c r="D212" s="333">
        <v>2015</v>
      </c>
      <c r="E212" s="333">
        <v>2016</v>
      </c>
      <c r="F212" s="333">
        <v>2017</v>
      </c>
      <c r="G212" s="333">
        <v>2018</v>
      </c>
      <c r="H212" s="333">
        <v>2019</v>
      </c>
      <c r="I212" s="334">
        <v>2020</v>
      </c>
    </row>
    <row r="213" spans="1:12" ht="15" customHeight="1">
      <c r="A213" t="s">
        <v>147</v>
      </c>
      <c r="B213" s="2196"/>
      <c r="C213" s="84"/>
      <c r="D213" s="147"/>
      <c r="E213" s="147"/>
      <c r="F213" s="147"/>
      <c r="G213" s="147"/>
      <c r="H213" s="147"/>
      <c r="I213" s="335"/>
    </row>
    <row r="214" spans="1:12">
      <c r="A214" t="s">
        <v>149</v>
      </c>
      <c r="B214" s="2168"/>
      <c r="C214" s="84"/>
      <c r="D214" s="147"/>
      <c r="E214" s="147"/>
      <c r="F214" s="147"/>
      <c r="G214" s="147"/>
      <c r="H214" s="147"/>
      <c r="I214" s="335"/>
    </row>
    <row r="215" spans="1:12">
      <c r="A215" t="s">
        <v>150</v>
      </c>
      <c r="B215" s="2168"/>
      <c r="C215" s="84"/>
      <c r="D215" s="147"/>
      <c r="E215" s="147"/>
      <c r="F215" s="147"/>
      <c r="G215" s="147"/>
      <c r="H215" s="147"/>
      <c r="I215" s="335"/>
    </row>
    <row r="216" spans="1:12">
      <c r="A216" t="s">
        <v>151</v>
      </c>
      <c r="B216" s="2168"/>
      <c r="C216" s="84"/>
      <c r="D216" s="147">
        <v>47797.8</v>
      </c>
      <c r="E216" s="147"/>
      <c r="F216" s="147"/>
      <c r="G216" s="147"/>
      <c r="H216" s="147"/>
      <c r="I216" s="335"/>
    </row>
    <row r="217" spans="1:12">
      <c r="A217" t="s">
        <v>152</v>
      </c>
      <c r="B217" s="2168"/>
      <c r="C217" s="84"/>
      <c r="D217" s="147"/>
      <c r="E217" s="147">
        <v>49999.99</v>
      </c>
      <c r="F217" s="147"/>
      <c r="G217" s="147"/>
      <c r="H217" s="147"/>
      <c r="I217" s="335"/>
    </row>
    <row r="218" spans="1:12" ht="30">
      <c r="A218" s="31" t="s">
        <v>153</v>
      </c>
      <c r="B218" s="2168"/>
      <c r="C218" s="84"/>
      <c r="D218" s="147"/>
      <c r="E218" s="147"/>
      <c r="F218" s="147"/>
      <c r="G218" s="147"/>
      <c r="H218" s="147"/>
      <c r="I218" s="335"/>
    </row>
    <row r="219" spans="1:12" ht="15.75" thickBot="1">
      <c r="A219" s="1428"/>
      <c r="B219" s="2169"/>
      <c r="C219" s="54" t="s">
        <v>12</v>
      </c>
      <c r="D219" s="337">
        <f>SUM(D214:D218)</f>
        <v>47797.8</v>
      </c>
      <c r="E219" s="337">
        <f t="shared" ref="E219:I219" si="24">SUM(E214:E218)</f>
        <v>49999.99</v>
      </c>
      <c r="F219" s="337">
        <f t="shared" si="24"/>
        <v>0</v>
      </c>
      <c r="G219" s="337">
        <f t="shared" si="24"/>
        <v>0</v>
      </c>
      <c r="H219" s="337">
        <f t="shared" si="24"/>
        <v>0</v>
      </c>
      <c r="I219" s="337">
        <f t="shared" si="24"/>
        <v>0</v>
      </c>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U228"/>
  <sheetViews>
    <sheetView topLeftCell="A202" workbookViewId="0">
      <selection activeCell="D224" sqref="D224"/>
    </sheetView>
  </sheetViews>
  <sheetFormatPr defaultRowHeight="15"/>
  <cols>
    <col min="1" max="1" width="113.28515625" customWidth="1"/>
    <col min="2" max="2" width="25.140625" customWidth="1"/>
    <col min="3" max="3" width="12.5703125" customWidth="1"/>
    <col min="4" max="4" width="21.85546875" customWidth="1"/>
    <col min="5" max="5" width="21" customWidth="1"/>
    <col min="6" max="6" width="20.42578125" customWidth="1"/>
    <col min="7" max="7" width="21.28515625" customWidth="1"/>
    <col min="8" max="8" width="25.140625" customWidth="1"/>
    <col min="9" max="9" width="23.85546875" customWidth="1"/>
    <col min="10" max="10" width="22.7109375" customWidth="1"/>
    <col min="11" max="11" width="27" customWidth="1"/>
    <col min="12" max="12" width="23.28515625" customWidth="1"/>
    <col min="13" max="13" width="21.85546875" customWidth="1"/>
    <col min="14" max="14" width="23.28515625" customWidth="1"/>
    <col min="15" max="15" width="21" customWidth="1"/>
    <col min="21" max="21" width="10.28515625" bestFit="1" customWidth="1"/>
  </cols>
  <sheetData>
    <row r="1" spans="1:18" ht="31.5">
      <c r="A1" s="2" t="s">
        <v>0</v>
      </c>
      <c r="B1" s="2" t="s">
        <v>374</v>
      </c>
      <c r="C1" s="2"/>
      <c r="D1" s="2"/>
      <c r="E1" s="2"/>
      <c r="F1" s="2"/>
      <c r="G1" s="2"/>
      <c r="H1" s="2"/>
      <c r="I1" s="2"/>
      <c r="J1" s="2"/>
      <c r="K1" s="2"/>
      <c r="L1" s="2"/>
      <c r="M1" s="2"/>
      <c r="N1" s="2"/>
      <c r="O1" s="2"/>
      <c r="P1" s="2"/>
      <c r="Q1" s="2"/>
      <c r="R1" s="2"/>
    </row>
    <row r="2" spans="1:18" ht="32.25" thickBot="1">
      <c r="A2" s="2"/>
      <c r="B2" s="2"/>
      <c r="C2" s="2"/>
      <c r="D2" s="2"/>
      <c r="E2" s="2"/>
      <c r="F2" s="2"/>
      <c r="G2" s="2"/>
      <c r="H2" s="2"/>
      <c r="I2" s="2"/>
      <c r="J2" s="2"/>
      <c r="K2" s="2"/>
      <c r="L2" s="2"/>
      <c r="M2" s="2"/>
      <c r="N2" s="2"/>
      <c r="O2" s="2"/>
      <c r="P2" s="2"/>
      <c r="Q2" s="2"/>
      <c r="R2" s="2"/>
    </row>
    <row r="3" spans="1:18" ht="31.5">
      <c r="A3" s="1435" t="s">
        <v>1</v>
      </c>
      <c r="B3" s="1436"/>
      <c r="C3" s="1436"/>
      <c r="D3" s="1436"/>
      <c r="E3" s="1436"/>
      <c r="F3" s="2590"/>
      <c r="G3" s="2590"/>
      <c r="H3" s="2590"/>
      <c r="I3" s="2590"/>
      <c r="J3" s="2590"/>
      <c r="K3" s="2590"/>
      <c r="L3" s="2590"/>
      <c r="M3" s="2590"/>
      <c r="N3" s="2590"/>
      <c r="O3" s="2591"/>
      <c r="P3" s="5"/>
      <c r="Q3" s="5"/>
      <c r="R3" s="5"/>
    </row>
    <row r="4" spans="1:18" ht="31.5">
      <c r="A4" s="2566" t="s">
        <v>375</v>
      </c>
      <c r="B4" s="2081"/>
      <c r="C4" s="2081"/>
      <c r="D4" s="2081"/>
      <c r="E4" s="2081"/>
      <c r="F4" s="2081"/>
      <c r="G4" s="2081"/>
      <c r="H4" s="2081"/>
      <c r="I4" s="2081"/>
      <c r="J4" s="2081"/>
      <c r="K4" s="2081"/>
      <c r="L4" s="2081"/>
      <c r="M4" s="2081"/>
      <c r="N4" s="2081"/>
      <c r="O4" s="2082"/>
      <c r="P4" s="5"/>
      <c r="Q4" s="5"/>
      <c r="R4" s="5"/>
    </row>
    <row r="5" spans="1:18" ht="31.5">
      <c r="A5" s="2566"/>
      <c r="B5" s="2081"/>
      <c r="C5" s="2081"/>
      <c r="D5" s="2081"/>
      <c r="E5" s="2081"/>
      <c r="F5" s="2081"/>
      <c r="G5" s="2081"/>
      <c r="H5" s="2081"/>
      <c r="I5" s="2081"/>
      <c r="J5" s="2081"/>
      <c r="K5" s="2081"/>
      <c r="L5" s="2081"/>
      <c r="M5" s="2081"/>
      <c r="N5" s="2081"/>
      <c r="O5" s="2082"/>
      <c r="P5" s="5"/>
      <c r="Q5" s="5"/>
      <c r="R5" s="5"/>
    </row>
    <row r="6" spans="1:18" ht="31.5">
      <c r="A6" s="2566"/>
      <c r="B6" s="2081"/>
      <c r="C6" s="2081"/>
      <c r="D6" s="2081"/>
      <c r="E6" s="2081"/>
      <c r="F6" s="2081"/>
      <c r="G6" s="2081"/>
      <c r="H6" s="2081"/>
      <c r="I6" s="2081"/>
      <c r="J6" s="2081"/>
      <c r="K6" s="2081"/>
      <c r="L6" s="2081"/>
      <c r="M6" s="2081"/>
      <c r="N6" s="2081"/>
      <c r="O6" s="2082"/>
      <c r="P6" s="5"/>
      <c r="Q6" s="5"/>
      <c r="R6" s="5"/>
    </row>
    <row r="7" spans="1:18" ht="31.5">
      <c r="A7" s="2566"/>
      <c r="B7" s="2081"/>
      <c r="C7" s="2081"/>
      <c r="D7" s="2081"/>
      <c r="E7" s="2081"/>
      <c r="F7" s="2081"/>
      <c r="G7" s="2081"/>
      <c r="H7" s="2081"/>
      <c r="I7" s="2081"/>
      <c r="J7" s="2081"/>
      <c r="K7" s="2081"/>
      <c r="L7" s="2081"/>
      <c r="M7" s="2081"/>
      <c r="N7" s="2081"/>
      <c r="O7" s="2082"/>
      <c r="P7" s="5"/>
      <c r="Q7" s="5"/>
      <c r="R7" s="5"/>
    </row>
    <row r="8" spans="1:18" ht="31.5">
      <c r="A8" s="2566"/>
      <c r="B8" s="2081"/>
      <c r="C8" s="2081"/>
      <c r="D8" s="2081"/>
      <c r="E8" s="2081"/>
      <c r="F8" s="2081"/>
      <c r="G8" s="2081"/>
      <c r="H8" s="2081"/>
      <c r="I8" s="2081"/>
      <c r="J8" s="2081"/>
      <c r="K8" s="2081"/>
      <c r="L8" s="2081"/>
      <c r="M8" s="2081"/>
      <c r="N8" s="2081"/>
      <c r="O8" s="2082"/>
      <c r="P8" s="5"/>
      <c r="Q8" s="5"/>
      <c r="R8" s="5"/>
    </row>
    <row r="9" spans="1:18" ht="31.5">
      <c r="A9" s="2566"/>
      <c r="B9" s="2081"/>
      <c r="C9" s="2081"/>
      <c r="D9" s="2081"/>
      <c r="E9" s="2081"/>
      <c r="F9" s="2081"/>
      <c r="G9" s="2081"/>
      <c r="H9" s="2081"/>
      <c r="I9" s="2081"/>
      <c r="J9" s="2081"/>
      <c r="K9" s="2081"/>
      <c r="L9" s="2081"/>
      <c r="M9" s="2081"/>
      <c r="N9" s="2081"/>
      <c r="O9" s="2082"/>
      <c r="P9" s="5"/>
      <c r="Q9" s="5"/>
      <c r="R9" s="5"/>
    </row>
    <row r="10" spans="1:18" ht="32.25" thickBot="1">
      <c r="A10" s="2083"/>
      <c r="B10" s="2084"/>
      <c r="C10" s="2084"/>
      <c r="D10" s="2084"/>
      <c r="E10" s="2084"/>
      <c r="F10" s="2084"/>
      <c r="G10" s="2084"/>
      <c r="H10" s="2084"/>
      <c r="I10" s="2084"/>
      <c r="J10" s="2084"/>
      <c r="K10" s="2084"/>
      <c r="L10" s="2084"/>
      <c r="M10" s="2084"/>
      <c r="N10" s="2084"/>
      <c r="O10" s="2085"/>
      <c r="P10" s="5"/>
      <c r="Q10" s="5"/>
      <c r="R10" s="5"/>
    </row>
    <row r="11" spans="1:18" ht="31.5">
      <c r="A11" s="2"/>
      <c r="B11" s="2"/>
      <c r="C11" s="2"/>
      <c r="D11" s="2"/>
      <c r="E11" s="2"/>
      <c r="F11" s="2"/>
      <c r="G11" s="2"/>
      <c r="H11" s="2"/>
      <c r="I11" s="2"/>
      <c r="J11" s="2"/>
      <c r="K11" s="2"/>
      <c r="L11" s="2"/>
      <c r="M11" s="2"/>
      <c r="N11" s="2"/>
      <c r="O11" s="2"/>
      <c r="P11" s="2"/>
      <c r="Q11" s="2"/>
      <c r="R11" s="2"/>
    </row>
    <row r="13" spans="1:18" ht="21">
      <c r="A13" s="6" t="s">
        <v>3</v>
      </c>
      <c r="B13" s="6"/>
      <c r="C13" s="7"/>
      <c r="D13" s="7"/>
      <c r="E13" s="7"/>
      <c r="F13" s="7"/>
      <c r="G13" s="7"/>
      <c r="H13" s="7"/>
      <c r="I13" s="7"/>
      <c r="J13" s="7"/>
      <c r="K13" s="7"/>
      <c r="L13" s="7"/>
      <c r="M13" s="7"/>
      <c r="N13" s="7"/>
      <c r="O13" s="7"/>
    </row>
    <row r="14" spans="1:18" ht="15.75" thickBot="1">
      <c r="P14" s="8"/>
      <c r="Q14" s="8"/>
      <c r="R14" s="8"/>
    </row>
    <row r="15" spans="1:18" ht="18.75">
      <c r="A15" s="1437"/>
      <c r="B15" s="1438"/>
      <c r="C15" s="11"/>
      <c r="D15" s="2238" t="s">
        <v>4</v>
      </c>
      <c r="E15" s="2239"/>
      <c r="F15" s="2239"/>
      <c r="G15" s="2239"/>
      <c r="H15" s="526"/>
      <c r="I15" s="13" t="s">
        <v>5</v>
      </c>
      <c r="J15" s="14"/>
      <c r="K15" s="14"/>
      <c r="L15" s="14"/>
      <c r="M15" s="14"/>
      <c r="N15" s="14"/>
      <c r="O15" s="15"/>
      <c r="P15" s="16"/>
      <c r="Q15" s="17"/>
      <c r="R15" s="18"/>
    </row>
    <row r="16" spans="1:18" ht="102" customHeight="1">
      <c r="A16" s="20" t="s">
        <v>6</v>
      </c>
      <c r="B16" s="1439" t="s">
        <v>376</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row>
    <row r="17" spans="1:18">
      <c r="A17" s="2592" t="s">
        <v>377</v>
      </c>
      <c r="B17" s="2144"/>
      <c r="C17" s="32">
        <v>2014</v>
      </c>
      <c r="D17" s="33"/>
      <c r="E17" s="34"/>
      <c r="F17" s="34"/>
      <c r="G17" s="35">
        <f t="shared" ref="G17:G23" si="0">SUM(D17:F17)</f>
        <v>0</v>
      </c>
      <c r="H17" s="36"/>
      <c r="I17" s="34"/>
      <c r="J17" s="34"/>
      <c r="K17" s="34"/>
      <c r="L17" s="34"/>
      <c r="M17" s="34"/>
      <c r="N17" s="34"/>
      <c r="O17" s="37"/>
      <c r="P17" s="38"/>
      <c r="Q17" s="38"/>
      <c r="R17" s="38"/>
    </row>
    <row r="18" spans="1:18">
      <c r="A18" s="2593"/>
      <c r="B18" s="2144"/>
      <c r="C18" s="39">
        <v>2015</v>
      </c>
      <c r="D18" s="50"/>
      <c r="E18" s="42"/>
      <c r="F18" s="42"/>
      <c r="G18" s="35">
        <f t="shared" si="0"/>
        <v>0</v>
      </c>
      <c r="H18" s="51"/>
      <c r="I18" s="42"/>
      <c r="J18" s="42"/>
      <c r="K18" s="42"/>
      <c r="L18" s="42"/>
      <c r="M18" s="42"/>
      <c r="N18" s="42"/>
      <c r="O18" s="52"/>
      <c r="P18" s="38"/>
      <c r="Q18" s="38"/>
      <c r="R18" s="38"/>
    </row>
    <row r="19" spans="1:18">
      <c r="A19" s="2593"/>
      <c r="B19" s="2144"/>
      <c r="C19" s="39">
        <v>2016</v>
      </c>
      <c r="D19" s="50"/>
      <c r="E19" s="42"/>
      <c r="F19" s="42"/>
      <c r="G19" s="35">
        <f t="shared" si="0"/>
        <v>0</v>
      </c>
      <c r="H19" s="51"/>
      <c r="I19" s="42"/>
      <c r="J19" s="42"/>
      <c r="K19" s="42"/>
      <c r="L19" s="42"/>
      <c r="M19" s="42"/>
      <c r="N19" s="42"/>
      <c r="O19" s="52"/>
      <c r="P19" s="38"/>
      <c r="Q19" s="38"/>
      <c r="R19" s="38"/>
    </row>
    <row r="20" spans="1:18">
      <c r="A20" s="2593"/>
      <c r="B20" s="2144"/>
      <c r="C20" s="39">
        <v>2017</v>
      </c>
      <c r="D20" s="50"/>
      <c r="E20" s="42"/>
      <c r="F20" s="42"/>
      <c r="G20" s="35">
        <f t="shared" si="0"/>
        <v>0</v>
      </c>
      <c r="H20" s="51"/>
      <c r="I20" s="42"/>
      <c r="J20" s="42"/>
      <c r="K20" s="42"/>
      <c r="L20" s="42"/>
      <c r="M20" s="42"/>
      <c r="N20" s="42"/>
      <c r="O20" s="52"/>
      <c r="P20" s="38"/>
      <c r="Q20" s="38"/>
      <c r="R20" s="38"/>
    </row>
    <row r="21" spans="1:18">
      <c r="A21" s="2593"/>
      <c r="B21" s="2144"/>
      <c r="C21" s="39">
        <v>2018</v>
      </c>
      <c r="D21" s="50"/>
      <c r="E21" s="42"/>
      <c r="F21" s="42"/>
      <c r="G21" s="35">
        <f t="shared" si="0"/>
        <v>0</v>
      </c>
      <c r="H21" s="51"/>
      <c r="I21" s="42"/>
      <c r="J21" s="42"/>
      <c r="K21" s="42"/>
      <c r="L21" s="42"/>
      <c r="M21" s="42"/>
      <c r="N21" s="42"/>
      <c r="O21" s="52"/>
      <c r="P21" s="38"/>
      <c r="Q21" s="38"/>
      <c r="R21" s="38"/>
    </row>
    <row r="22" spans="1:18">
      <c r="A22" s="2593"/>
      <c r="B22" s="2144"/>
      <c r="C22" s="53">
        <v>2019</v>
      </c>
      <c r="D22" s="50"/>
      <c r="E22" s="42"/>
      <c r="F22" s="42"/>
      <c r="G22" s="35">
        <f t="shared" si="0"/>
        <v>0</v>
      </c>
      <c r="H22" s="51"/>
      <c r="I22" s="42"/>
      <c r="J22" s="42"/>
      <c r="K22" s="42"/>
      <c r="L22" s="42"/>
      <c r="M22" s="42"/>
      <c r="N22" s="42"/>
      <c r="O22" s="52"/>
      <c r="P22" s="38"/>
      <c r="Q22" s="38"/>
      <c r="R22" s="38"/>
    </row>
    <row r="23" spans="1:18">
      <c r="A23" s="2593"/>
      <c r="B23" s="2144"/>
      <c r="C23" s="39">
        <v>2020</v>
      </c>
      <c r="D23" s="50"/>
      <c r="E23" s="42"/>
      <c r="F23" s="42"/>
      <c r="G23" s="35">
        <f t="shared" si="0"/>
        <v>0</v>
      </c>
      <c r="H23" s="51"/>
      <c r="I23" s="42"/>
      <c r="J23" s="42"/>
      <c r="K23" s="42"/>
      <c r="L23" s="42"/>
      <c r="M23" s="42"/>
      <c r="N23" s="42"/>
      <c r="O23" s="52"/>
      <c r="P23" s="38"/>
      <c r="Q23" s="38"/>
      <c r="R23" s="38"/>
    </row>
    <row r="24" spans="1:18" ht="98.25" customHeight="1" thickBot="1">
      <c r="A24" s="2594"/>
      <c r="B24" s="2145"/>
      <c r="C24" s="54" t="s">
        <v>12</v>
      </c>
      <c r="D24" s="55">
        <f>SUM(D17:D23)</f>
        <v>0</v>
      </c>
      <c r="E24" s="56">
        <f>SUM(E17:E23)</f>
        <v>0</v>
      </c>
      <c r="F24" s="56">
        <f>SUM(F17:F23)</f>
        <v>0</v>
      </c>
      <c r="G24" s="57">
        <f>SUM(D24:F24)</f>
        <v>0</v>
      </c>
      <c r="H24" s="58">
        <f>SUM(H17:H23)</f>
        <v>0</v>
      </c>
      <c r="I24" s="59">
        <f t="shared" ref="I24:N24" si="1">SUM(I17:I23)</f>
        <v>0</v>
      </c>
      <c r="J24" s="59">
        <f t="shared" si="1"/>
        <v>0</v>
      </c>
      <c r="K24" s="59">
        <f t="shared" si="1"/>
        <v>0</v>
      </c>
      <c r="L24" s="59">
        <f t="shared" si="1"/>
        <v>0</v>
      </c>
      <c r="M24" s="59">
        <f t="shared" si="1"/>
        <v>0</v>
      </c>
      <c r="N24" s="59">
        <f t="shared" si="1"/>
        <v>0</v>
      </c>
      <c r="O24" s="60">
        <f>SUM(O17:O23)</f>
        <v>0</v>
      </c>
      <c r="P24" s="38"/>
      <c r="Q24" s="38"/>
      <c r="R24" s="38"/>
    </row>
    <row r="25" spans="1:18" ht="15.75" thickBot="1">
      <c r="C25" s="62"/>
      <c r="H25" s="8"/>
      <c r="I25" s="8"/>
      <c r="J25" s="8"/>
      <c r="K25" s="8"/>
      <c r="L25" s="8"/>
      <c r="M25" s="8"/>
      <c r="N25" s="8"/>
      <c r="O25" s="8"/>
      <c r="P25" s="8"/>
      <c r="Q25" s="8"/>
    </row>
    <row r="26" spans="1:18" ht="18.75">
      <c r="A26" s="1437"/>
      <c r="B26" s="1438"/>
      <c r="C26" s="63"/>
      <c r="D26" s="2244" t="s">
        <v>4</v>
      </c>
      <c r="E26" s="2245"/>
      <c r="F26" s="2245"/>
      <c r="G26" s="2246"/>
      <c r="H26" s="16"/>
      <c r="I26" s="17"/>
      <c r="J26" s="18"/>
      <c r="K26" s="18"/>
      <c r="L26" s="18"/>
      <c r="M26" s="18"/>
      <c r="N26" s="18"/>
      <c r="O26" s="16"/>
      <c r="P26" s="16"/>
      <c r="Q26" s="19"/>
      <c r="R26" s="19"/>
    </row>
    <row r="27" spans="1:18" ht="99" customHeight="1">
      <c r="A27" s="1364" t="s">
        <v>22</v>
      </c>
      <c r="B27" s="1439" t="s">
        <v>376</v>
      </c>
      <c r="C27" s="65" t="s">
        <v>8</v>
      </c>
      <c r="D27" s="66" t="s">
        <v>9</v>
      </c>
      <c r="E27" s="24" t="s">
        <v>10</v>
      </c>
      <c r="F27" s="24" t="s">
        <v>11</v>
      </c>
      <c r="G27" s="67" t="s">
        <v>12</v>
      </c>
      <c r="H27" s="30"/>
      <c r="I27" s="30"/>
      <c r="J27" s="30"/>
      <c r="K27" s="30"/>
      <c r="L27" s="30"/>
      <c r="M27" s="30"/>
      <c r="N27" s="30"/>
      <c r="O27" s="30"/>
      <c r="P27" s="30"/>
      <c r="Q27" s="19"/>
      <c r="R27" s="31"/>
    </row>
    <row r="28" spans="1:18">
      <c r="A28" s="2550" t="s">
        <v>378</v>
      </c>
      <c r="B28" s="2144"/>
      <c r="C28" s="68">
        <v>2014</v>
      </c>
      <c r="D28" s="36"/>
      <c r="E28" s="34"/>
      <c r="F28" s="34"/>
      <c r="G28" s="69">
        <f>SUM(D28:F28)</f>
        <v>0</v>
      </c>
      <c r="H28" s="38"/>
      <c r="I28" s="38"/>
      <c r="J28" s="38"/>
      <c r="K28" s="38"/>
      <c r="L28" s="38"/>
      <c r="M28" s="38"/>
      <c r="N28" s="38"/>
      <c r="O28" s="38"/>
      <c r="P28" s="38"/>
      <c r="Q28" s="8"/>
    </row>
    <row r="29" spans="1:18">
      <c r="A29" s="2551"/>
      <c r="B29" s="2144"/>
      <c r="C29" s="70">
        <v>2015</v>
      </c>
      <c r="D29" s="51"/>
      <c r="E29" s="42"/>
      <c r="F29" s="42"/>
      <c r="G29" s="69">
        <f t="shared" ref="G29:G35" si="2">SUM(D29:F29)</f>
        <v>0</v>
      </c>
      <c r="H29" s="38"/>
      <c r="I29" s="38"/>
      <c r="J29" s="38"/>
      <c r="K29" s="38"/>
      <c r="L29" s="38"/>
      <c r="M29" s="38"/>
      <c r="N29" s="38"/>
      <c r="O29" s="38"/>
      <c r="P29" s="38"/>
      <c r="Q29" s="8"/>
    </row>
    <row r="30" spans="1:18">
      <c r="A30" s="2551"/>
      <c r="B30" s="2144"/>
      <c r="C30" s="70">
        <v>2016</v>
      </c>
      <c r="D30" s="51"/>
      <c r="E30" s="42"/>
      <c r="F30" s="42"/>
      <c r="G30" s="69">
        <f t="shared" si="2"/>
        <v>0</v>
      </c>
      <c r="H30" s="38"/>
      <c r="I30" s="38"/>
      <c r="J30" s="38"/>
      <c r="K30" s="38"/>
      <c r="L30" s="38"/>
      <c r="M30" s="38"/>
      <c r="N30" s="38"/>
      <c r="O30" s="38"/>
      <c r="P30" s="38"/>
      <c r="Q30" s="8"/>
    </row>
    <row r="31" spans="1:18">
      <c r="A31" s="2551"/>
      <c r="B31" s="2144"/>
      <c r="C31" s="70">
        <v>2017</v>
      </c>
      <c r="D31" s="51"/>
      <c r="E31" s="42"/>
      <c r="F31" s="42"/>
      <c r="G31" s="69">
        <f t="shared" si="2"/>
        <v>0</v>
      </c>
      <c r="H31" s="38"/>
      <c r="I31" s="38"/>
      <c r="J31" s="38"/>
      <c r="K31" s="38"/>
      <c r="L31" s="38"/>
      <c r="M31" s="38"/>
      <c r="N31" s="38"/>
      <c r="O31" s="38"/>
      <c r="P31" s="38"/>
      <c r="Q31" s="8"/>
    </row>
    <row r="32" spans="1:18">
      <c r="A32" s="2551"/>
      <c r="B32" s="2144"/>
      <c r="C32" s="70">
        <v>2018</v>
      </c>
      <c r="D32" s="51"/>
      <c r="E32" s="42"/>
      <c r="F32" s="42"/>
      <c r="G32" s="69">
        <f t="shared" si="2"/>
        <v>0</v>
      </c>
      <c r="H32" s="38"/>
      <c r="I32" s="38"/>
      <c r="J32" s="38"/>
      <c r="K32" s="38"/>
      <c r="L32" s="38"/>
      <c r="M32" s="38"/>
      <c r="N32" s="38"/>
      <c r="O32" s="38"/>
      <c r="P32" s="38"/>
      <c r="Q32" s="8"/>
    </row>
    <row r="33" spans="1:18">
      <c r="A33" s="2551"/>
      <c r="B33" s="2144"/>
      <c r="C33" s="72">
        <v>2019</v>
      </c>
      <c r="D33" s="51"/>
      <c r="E33" s="42"/>
      <c r="F33" s="42"/>
      <c r="G33" s="69">
        <f t="shared" si="2"/>
        <v>0</v>
      </c>
      <c r="H33" s="38"/>
      <c r="I33" s="38"/>
      <c r="J33" s="38"/>
      <c r="K33" s="38"/>
      <c r="L33" s="38"/>
      <c r="M33" s="38"/>
      <c r="N33" s="38"/>
      <c r="O33" s="38"/>
      <c r="P33" s="38"/>
      <c r="Q33" s="8"/>
    </row>
    <row r="34" spans="1:18">
      <c r="A34" s="2551"/>
      <c r="B34" s="2144"/>
      <c r="C34" s="70">
        <v>2020</v>
      </c>
      <c r="D34" s="51"/>
      <c r="E34" s="42"/>
      <c r="F34" s="42"/>
      <c r="G34" s="69">
        <f t="shared" si="2"/>
        <v>0</v>
      </c>
      <c r="H34" s="38"/>
      <c r="I34" s="38"/>
      <c r="J34" s="38"/>
      <c r="K34" s="38"/>
      <c r="L34" s="38"/>
      <c r="M34" s="38"/>
      <c r="N34" s="38"/>
      <c r="O34" s="38"/>
      <c r="P34" s="38"/>
      <c r="Q34" s="8"/>
    </row>
    <row r="35" spans="1:18" ht="15.75" thickBot="1">
      <c r="A35" s="1989"/>
      <c r="B35" s="2145"/>
      <c r="C35" s="73" t="s">
        <v>12</v>
      </c>
      <c r="D35" s="58">
        <f>SUM(D28:D34)</f>
        <v>0</v>
      </c>
      <c r="E35" s="56">
        <f>SUM(E28:E34)</f>
        <v>0</v>
      </c>
      <c r="F35" s="56">
        <f>SUM(F28:F34)</f>
        <v>0</v>
      </c>
      <c r="G35" s="60">
        <f t="shared" si="2"/>
        <v>0</v>
      </c>
      <c r="H35" s="38"/>
      <c r="I35" s="38"/>
      <c r="J35" s="38"/>
      <c r="K35" s="38"/>
      <c r="L35" s="38"/>
      <c r="M35" s="38"/>
      <c r="N35" s="38"/>
      <c r="O35" s="38"/>
      <c r="P35" s="38"/>
      <c r="Q35" s="8"/>
    </row>
    <row r="36" spans="1:18">
      <c r="A36" s="74"/>
      <c r="B36" s="74"/>
      <c r="C36" s="62"/>
      <c r="H36" s="8"/>
      <c r="I36" s="8"/>
      <c r="J36" s="8"/>
      <c r="K36" s="8"/>
      <c r="L36" s="8"/>
      <c r="M36" s="8"/>
      <c r="N36" s="8"/>
      <c r="O36" s="8"/>
      <c r="P36" s="8"/>
      <c r="Q36" s="8"/>
    </row>
    <row r="37" spans="1:18" ht="21">
      <c r="A37" s="75" t="s">
        <v>24</v>
      </c>
      <c r="B37" s="75"/>
      <c r="C37" s="76"/>
      <c r="D37" s="76"/>
      <c r="E37" s="76"/>
      <c r="F37" s="38"/>
      <c r="G37" s="38"/>
      <c r="H37" s="38"/>
      <c r="I37" s="77"/>
      <c r="J37" s="77"/>
      <c r="K37" s="77"/>
    </row>
    <row r="38" spans="1:18" ht="15.75" thickBot="1">
      <c r="G38" s="38"/>
      <c r="H38" s="38"/>
    </row>
    <row r="39" spans="1:18" ht="126" customHeight="1">
      <c r="A39" s="1407" t="s">
        <v>25</v>
      </c>
      <c r="B39" s="1440" t="s">
        <v>379</v>
      </c>
      <c r="C39" s="80" t="s">
        <v>8</v>
      </c>
      <c r="D39" s="546" t="s">
        <v>26</v>
      </c>
      <c r="E39" s="352" t="s">
        <v>27</v>
      </c>
      <c r="F39" s="353"/>
      <c r="G39" s="30"/>
      <c r="H39" s="30"/>
    </row>
    <row r="40" spans="1:18">
      <c r="A40" s="2595" t="s">
        <v>380</v>
      </c>
      <c r="B40" s="2149" t="s">
        <v>381</v>
      </c>
      <c r="C40" s="84">
        <v>2014</v>
      </c>
      <c r="D40" s="33"/>
      <c r="E40" s="32"/>
      <c r="F40" s="8"/>
      <c r="G40" s="38"/>
      <c r="H40" s="38"/>
    </row>
    <row r="41" spans="1:18">
      <c r="A41" s="2593"/>
      <c r="B41" s="2149"/>
      <c r="C41" s="86">
        <v>2015</v>
      </c>
      <c r="D41" s="354">
        <v>6220849</v>
      </c>
      <c r="E41" s="355">
        <v>2148345</v>
      </c>
      <c r="F41" s="8"/>
      <c r="G41" s="38"/>
      <c r="H41" s="38"/>
    </row>
    <row r="42" spans="1:18">
      <c r="A42" s="2593"/>
      <c r="B42" s="2149"/>
      <c r="C42" s="86">
        <v>2016</v>
      </c>
      <c r="D42" s="354">
        <v>973000</v>
      </c>
      <c r="E42" s="355">
        <v>666000</v>
      </c>
      <c r="F42" s="8"/>
      <c r="G42" s="38"/>
      <c r="H42" s="38"/>
    </row>
    <row r="43" spans="1:18">
      <c r="A43" s="2593"/>
      <c r="B43" s="2149"/>
      <c r="C43" s="86">
        <v>2017</v>
      </c>
      <c r="D43" s="354"/>
      <c r="E43" s="355"/>
      <c r="F43" s="8"/>
      <c r="G43" s="38"/>
      <c r="H43" s="38"/>
    </row>
    <row r="44" spans="1:18">
      <c r="A44" s="2593"/>
      <c r="B44" s="2149"/>
      <c r="C44" s="86">
        <v>2018</v>
      </c>
      <c r="D44" s="354"/>
      <c r="E44" s="355"/>
      <c r="F44" s="8"/>
      <c r="G44" s="38"/>
      <c r="H44" s="38"/>
    </row>
    <row r="45" spans="1:18">
      <c r="A45" s="2593"/>
      <c r="B45" s="2149"/>
      <c r="C45" s="86">
        <v>2019</v>
      </c>
      <c r="D45" s="354"/>
      <c r="E45" s="355"/>
      <c r="F45" s="8"/>
      <c r="G45" s="38"/>
      <c r="H45" s="38"/>
    </row>
    <row r="46" spans="1:18">
      <c r="A46" s="2593"/>
      <c r="B46" s="2149"/>
      <c r="C46" s="86">
        <v>2020</v>
      </c>
      <c r="D46" s="354"/>
      <c r="E46" s="355"/>
      <c r="F46" s="8"/>
      <c r="G46" s="38"/>
      <c r="H46" s="38"/>
    </row>
    <row r="47" spans="1:18" ht="15.75" thickBot="1">
      <c r="A47" s="2594"/>
      <c r="B47" s="2150"/>
      <c r="C47" s="54" t="s">
        <v>12</v>
      </c>
      <c r="D47" s="356">
        <f>SUM(D40:D46)</f>
        <v>7193849</v>
      </c>
      <c r="E47" s="357">
        <f>SUM(E40:E46)</f>
        <v>2814345</v>
      </c>
      <c r="F47" s="121"/>
      <c r="G47" s="38"/>
      <c r="H47" s="38"/>
    </row>
    <row r="48" spans="1:18" ht="15.75" thickBot="1">
      <c r="A48" s="1441"/>
      <c r="B48" s="92"/>
      <c r="C48" s="93"/>
      <c r="D48" s="38"/>
      <c r="E48" s="38"/>
      <c r="F48" s="38"/>
      <c r="G48" s="38"/>
      <c r="H48" s="38"/>
      <c r="I48" s="38"/>
      <c r="J48" s="38"/>
      <c r="K48" s="38"/>
      <c r="L48" s="38"/>
      <c r="M48" s="38"/>
      <c r="N48" s="38"/>
      <c r="O48" s="38"/>
      <c r="P48" s="38"/>
      <c r="Q48" s="38"/>
      <c r="R48" s="38"/>
    </row>
    <row r="49" spans="1:15" ht="100.5" customHeight="1">
      <c r="A49" s="550" t="s">
        <v>29</v>
      </c>
      <c r="B49" s="1442" t="s">
        <v>382</v>
      </c>
      <c r="C49" s="95" t="s">
        <v>8</v>
      </c>
      <c r="D49" s="546" t="s">
        <v>30</v>
      </c>
      <c r="E49" s="96" t="s">
        <v>31</v>
      </c>
      <c r="F49" s="96" t="s">
        <v>32</v>
      </c>
      <c r="G49" s="96" t="s">
        <v>33</v>
      </c>
      <c r="H49" s="96" t="s">
        <v>34</v>
      </c>
      <c r="I49" s="96" t="s">
        <v>35</v>
      </c>
      <c r="J49" s="96" t="s">
        <v>36</v>
      </c>
      <c r="K49" s="97" t="s">
        <v>37</v>
      </c>
    </row>
    <row r="50" spans="1:15">
      <c r="A50" s="2596" t="s">
        <v>383</v>
      </c>
      <c r="B50" s="2598"/>
      <c r="C50" s="98" t="s">
        <v>38</v>
      </c>
      <c r="D50" s="33"/>
      <c r="E50" s="34"/>
      <c r="F50" s="34"/>
      <c r="G50" s="34"/>
      <c r="H50" s="34"/>
      <c r="I50" s="34"/>
      <c r="J50" s="34"/>
      <c r="K50" s="37"/>
    </row>
    <row r="51" spans="1:15">
      <c r="A51" s="2596"/>
      <c r="B51" s="2598"/>
      <c r="C51" s="86">
        <v>2014</v>
      </c>
      <c r="D51" s="50"/>
      <c r="E51" s="42"/>
      <c r="F51" s="42"/>
      <c r="G51" s="42"/>
      <c r="H51" s="42"/>
      <c r="I51" s="42"/>
      <c r="J51" s="42"/>
      <c r="K51" s="99"/>
    </row>
    <row r="52" spans="1:15">
      <c r="A52" s="2596"/>
      <c r="B52" s="2598"/>
      <c r="C52" s="86">
        <v>2015</v>
      </c>
      <c r="D52" s="50">
        <v>1</v>
      </c>
      <c r="E52" s="42"/>
      <c r="F52" s="42"/>
      <c r="G52" s="347">
        <v>5000</v>
      </c>
      <c r="H52" s="42"/>
      <c r="I52" s="42"/>
      <c r="J52" s="42"/>
      <c r="K52" s="99"/>
    </row>
    <row r="53" spans="1:15">
      <c r="A53" s="2596"/>
      <c r="B53" s="2598"/>
      <c r="C53" s="86">
        <v>2016</v>
      </c>
      <c r="D53" s="50">
        <v>1</v>
      </c>
      <c r="E53" s="42"/>
      <c r="F53" s="42"/>
      <c r="G53" s="347">
        <v>9000</v>
      </c>
      <c r="H53" s="42"/>
      <c r="I53" s="42"/>
      <c r="J53" s="42"/>
      <c r="K53" s="99"/>
    </row>
    <row r="54" spans="1:15">
      <c r="A54" s="2596"/>
      <c r="B54" s="2598"/>
      <c r="C54" s="86">
        <v>2017</v>
      </c>
      <c r="D54" s="50"/>
      <c r="E54" s="42"/>
      <c r="F54" s="42"/>
      <c r="G54" s="347"/>
      <c r="H54" s="42"/>
      <c r="I54" s="42"/>
      <c r="J54" s="42"/>
      <c r="K54" s="99"/>
    </row>
    <row r="55" spans="1:15">
      <c r="A55" s="2596"/>
      <c r="B55" s="2598"/>
      <c r="C55" s="86">
        <v>2018</v>
      </c>
      <c r="D55" s="50"/>
      <c r="E55" s="42"/>
      <c r="F55" s="42"/>
      <c r="G55" s="347"/>
      <c r="H55" s="42"/>
      <c r="I55" s="42"/>
      <c r="J55" s="42"/>
      <c r="K55" s="99"/>
    </row>
    <row r="56" spans="1:15">
      <c r="A56" s="2596"/>
      <c r="B56" s="2598"/>
      <c r="C56" s="86">
        <v>2019</v>
      </c>
      <c r="D56" s="50"/>
      <c r="E56" s="42"/>
      <c r="F56" s="42"/>
      <c r="G56" s="347"/>
      <c r="H56" s="42"/>
      <c r="I56" s="42"/>
      <c r="J56" s="42"/>
      <c r="K56" s="99"/>
    </row>
    <row r="57" spans="1:15">
      <c r="A57" s="2596"/>
      <c r="B57" s="2598"/>
      <c r="C57" s="86">
        <v>2020</v>
      </c>
      <c r="D57" s="50"/>
      <c r="E57" s="42"/>
      <c r="F57" s="42"/>
      <c r="G57" s="347"/>
      <c r="H57" s="42"/>
      <c r="I57" s="42"/>
      <c r="J57" s="42"/>
      <c r="K57" s="100"/>
    </row>
    <row r="58" spans="1:15" ht="45" customHeight="1" thickBot="1">
      <c r="A58" s="2597"/>
      <c r="B58" s="2599"/>
      <c r="C58" s="54" t="s">
        <v>12</v>
      </c>
      <c r="D58" s="55">
        <f t="shared" ref="D58:J58" si="3">SUM(D51:D57)</f>
        <v>2</v>
      </c>
      <c r="E58" s="56">
        <f t="shared" si="3"/>
        <v>0</v>
      </c>
      <c r="F58" s="56">
        <f t="shared" si="3"/>
        <v>0</v>
      </c>
      <c r="G58" s="350">
        <f t="shared" si="3"/>
        <v>14000</v>
      </c>
      <c r="H58" s="56">
        <f t="shared" si="3"/>
        <v>0</v>
      </c>
      <c r="I58" s="56">
        <f t="shared" si="3"/>
        <v>0</v>
      </c>
      <c r="J58" s="56">
        <f t="shared" si="3"/>
        <v>0</v>
      </c>
      <c r="K58" s="60">
        <f>SUM(K50:K56)</f>
        <v>0</v>
      </c>
    </row>
    <row r="59" spans="1:15" ht="15.75" thickBot="1"/>
    <row r="60" spans="1:15" ht="18.75">
      <c r="A60" s="2588" t="s">
        <v>39</v>
      </c>
      <c r="B60" s="1443"/>
      <c r="C60" s="2589" t="s">
        <v>8</v>
      </c>
      <c r="D60" s="2568" t="s">
        <v>40</v>
      </c>
      <c r="E60" s="102" t="s">
        <v>5</v>
      </c>
      <c r="F60" s="484"/>
      <c r="G60" s="484"/>
      <c r="H60" s="484"/>
      <c r="I60" s="484"/>
      <c r="J60" s="484"/>
      <c r="K60" s="484"/>
      <c r="L60" s="485"/>
    </row>
    <row r="61" spans="1:15" ht="121.5" customHeight="1">
      <c r="A61" s="2100"/>
      <c r="B61" s="1444" t="s">
        <v>382</v>
      </c>
      <c r="C61" s="2102"/>
      <c r="D61" s="2075"/>
      <c r="E61" s="106" t="s">
        <v>13</v>
      </c>
      <c r="F61" s="107" t="s">
        <v>14</v>
      </c>
      <c r="G61" s="107" t="s">
        <v>15</v>
      </c>
      <c r="H61" s="108" t="s">
        <v>16</v>
      </c>
      <c r="I61" s="108" t="s">
        <v>17</v>
      </c>
      <c r="J61" s="109" t="s">
        <v>18</v>
      </c>
      <c r="K61" s="107" t="s">
        <v>19</v>
      </c>
      <c r="L61" s="110" t="s">
        <v>20</v>
      </c>
      <c r="M61" s="111"/>
      <c r="N61" s="8"/>
      <c r="O61" s="8"/>
    </row>
    <row r="62" spans="1:15">
      <c r="A62" s="2552" t="s">
        <v>384</v>
      </c>
      <c r="B62" s="2166"/>
      <c r="C62" s="112">
        <v>2014</v>
      </c>
      <c r="D62" s="113"/>
      <c r="E62" s="114"/>
      <c r="F62" s="115"/>
      <c r="G62" s="115"/>
      <c r="H62" s="115"/>
      <c r="I62" s="115"/>
      <c r="J62" s="115"/>
      <c r="K62" s="115"/>
      <c r="L62" s="37"/>
      <c r="M62" s="8"/>
      <c r="N62" s="8"/>
      <c r="O62" s="8"/>
    </row>
    <row r="63" spans="1:15">
      <c r="A63" s="2553"/>
      <c r="B63" s="2166"/>
      <c r="C63" s="116">
        <v>2015</v>
      </c>
      <c r="D63" s="117"/>
      <c r="E63" s="118"/>
      <c r="F63" s="42"/>
      <c r="G63" s="42"/>
      <c r="H63" s="42"/>
      <c r="I63" s="42"/>
      <c r="J63" s="42"/>
      <c r="K63" s="42"/>
      <c r="L63" s="99"/>
      <c r="M63" s="8"/>
      <c r="N63" s="8"/>
      <c r="O63" s="8"/>
    </row>
    <row r="64" spans="1:15">
      <c r="A64" s="2553"/>
      <c r="B64" s="2166"/>
      <c r="C64" s="116">
        <v>2016</v>
      </c>
      <c r="D64" s="117">
        <v>30</v>
      </c>
      <c r="E64" s="118"/>
      <c r="F64" s="42">
        <v>30</v>
      </c>
      <c r="G64" s="42"/>
      <c r="H64" s="42"/>
      <c r="I64" s="42"/>
      <c r="J64" s="42"/>
      <c r="K64" s="42"/>
      <c r="L64" s="99"/>
      <c r="M64" s="8"/>
      <c r="N64" s="8"/>
      <c r="O64" s="8"/>
    </row>
    <row r="65" spans="1:18">
      <c r="A65" s="2553"/>
      <c r="B65" s="2166"/>
      <c r="C65" s="116">
        <v>2017</v>
      </c>
      <c r="D65" s="117"/>
      <c r="E65" s="118"/>
      <c r="F65" s="42"/>
      <c r="G65" s="42"/>
      <c r="H65" s="42"/>
      <c r="I65" s="42"/>
      <c r="J65" s="42"/>
      <c r="K65" s="42"/>
      <c r="L65" s="99"/>
      <c r="M65" s="8"/>
      <c r="N65" s="8"/>
      <c r="O65" s="8"/>
    </row>
    <row r="66" spans="1:18">
      <c r="A66" s="2553"/>
      <c r="B66" s="2166"/>
      <c r="C66" s="116">
        <v>2018</v>
      </c>
      <c r="D66" s="117"/>
      <c r="E66" s="118"/>
      <c r="F66" s="42"/>
      <c r="G66" s="42"/>
      <c r="H66" s="42"/>
      <c r="I66" s="42"/>
      <c r="J66" s="42"/>
      <c r="K66" s="42"/>
      <c r="L66" s="99"/>
      <c r="M66" s="8"/>
      <c r="N66" s="8"/>
      <c r="O66" s="8"/>
    </row>
    <row r="67" spans="1:18">
      <c r="A67" s="2553"/>
      <c r="B67" s="2166"/>
      <c r="C67" s="116">
        <v>2019</v>
      </c>
      <c r="D67" s="117"/>
      <c r="E67" s="118"/>
      <c r="F67" s="42"/>
      <c r="G67" s="42"/>
      <c r="H67" s="42"/>
      <c r="I67" s="42"/>
      <c r="J67" s="42"/>
      <c r="K67" s="42"/>
      <c r="L67" s="99"/>
      <c r="M67" s="8"/>
      <c r="N67" s="8"/>
      <c r="O67" s="8"/>
    </row>
    <row r="68" spans="1:18">
      <c r="A68" s="2553"/>
      <c r="B68" s="2166"/>
      <c r="C68" s="116">
        <v>2020</v>
      </c>
      <c r="D68" s="117"/>
      <c r="E68" s="118"/>
      <c r="F68" s="42"/>
      <c r="G68" s="42"/>
      <c r="H68" s="42"/>
      <c r="I68" s="42"/>
      <c r="J68" s="42"/>
      <c r="K68" s="42"/>
      <c r="L68" s="99"/>
      <c r="M68" s="121"/>
      <c r="N68" s="121"/>
      <c r="O68" s="121"/>
    </row>
    <row r="69" spans="1:18" ht="15.75" thickBot="1">
      <c r="A69" s="2134"/>
      <c r="B69" s="2167"/>
      <c r="C69" s="122" t="s">
        <v>12</v>
      </c>
      <c r="D69" s="123">
        <f t="shared" ref="D69:I69" si="4">SUM(D62:D68)</f>
        <v>30</v>
      </c>
      <c r="E69" s="124">
        <f t="shared" si="4"/>
        <v>0</v>
      </c>
      <c r="F69" s="125">
        <f t="shared" si="4"/>
        <v>30</v>
      </c>
      <c r="G69" s="125">
        <f t="shared" si="4"/>
        <v>0</v>
      </c>
      <c r="H69" s="125">
        <f t="shared" si="4"/>
        <v>0</v>
      </c>
      <c r="I69" s="125">
        <f t="shared" si="4"/>
        <v>0</v>
      </c>
      <c r="J69" s="125"/>
      <c r="K69" s="125">
        <f>SUM(K62:K68)</f>
        <v>0</v>
      </c>
      <c r="L69" s="126">
        <f>SUM(L62:L68)</f>
        <v>0</v>
      </c>
      <c r="M69" s="121"/>
      <c r="N69" s="121"/>
      <c r="O69" s="121"/>
    </row>
    <row r="70" spans="1:18" ht="15.75" thickBot="1">
      <c r="A70" s="127"/>
      <c r="B70" s="128"/>
      <c r="C70" s="129"/>
      <c r="D70" s="130"/>
      <c r="E70" s="130"/>
      <c r="F70" s="130"/>
      <c r="G70" s="130"/>
      <c r="H70" s="129"/>
      <c r="I70" s="131"/>
      <c r="J70" s="131"/>
      <c r="K70" s="131"/>
      <c r="L70" s="131"/>
      <c r="M70" s="131"/>
      <c r="N70" s="131"/>
      <c r="O70" s="131"/>
      <c r="P70" s="31"/>
      <c r="Q70" s="31"/>
      <c r="R70" s="31"/>
    </row>
    <row r="71" spans="1:18" ht="127.5" customHeight="1">
      <c r="A71" s="1407" t="s">
        <v>42</v>
      </c>
      <c r="B71" s="1443" t="s">
        <v>385</v>
      </c>
      <c r="C71" s="80" t="s">
        <v>8</v>
      </c>
      <c r="D71" s="132" t="s">
        <v>43</v>
      </c>
      <c r="E71" s="132" t="s">
        <v>44</v>
      </c>
      <c r="F71" s="133" t="s">
        <v>45</v>
      </c>
      <c r="G71" s="488" t="s">
        <v>46</v>
      </c>
      <c r="H71" s="135" t="s">
        <v>13</v>
      </c>
      <c r="I71" s="136" t="s">
        <v>14</v>
      </c>
      <c r="J71" s="137" t="s">
        <v>15</v>
      </c>
      <c r="K71" s="136" t="s">
        <v>16</v>
      </c>
      <c r="L71" s="136" t="s">
        <v>17</v>
      </c>
      <c r="M71" s="138" t="s">
        <v>18</v>
      </c>
      <c r="N71" s="137" t="s">
        <v>19</v>
      </c>
      <c r="O71" s="139" t="s">
        <v>20</v>
      </c>
    </row>
    <row r="72" spans="1:18">
      <c r="A72" s="2550" t="s">
        <v>386</v>
      </c>
      <c r="B72" s="2144" t="s">
        <v>387</v>
      </c>
      <c r="C72" s="84">
        <v>2014</v>
      </c>
      <c r="D72" s="140"/>
      <c r="E72" s="140"/>
      <c r="F72" s="140"/>
      <c r="G72" s="141">
        <v>0</v>
      </c>
      <c r="H72" s="33"/>
      <c r="I72" s="142"/>
      <c r="J72" s="115"/>
      <c r="K72" s="115"/>
      <c r="L72" s="115"/>
      <c r="M72" s="115"/>
      <c r="N72" s="115"/>
      <c r="O72" s="143"/>
    </row>
    <row r="73" spans="1:18">
      <c r="A73" s="2551"/>
      <c r="B73" s="2144"/>
      <c r="C73" s="86">
        <v>2015</v>
      </c>
      <c r="D73" s="147">
        <v>21</v>
      </c>
      <c r="E73" s="147"/>
      <c r="F73" s="147">
        <v>1</v>
      </c>
      <c r="G73" s="141">
        <f>SUM(D73:F73)</f>
        <v>22</v>
      </c>
      <c r="H73" s="50">
        <v>21</v>
      </c>
      <c r="I73" s="50"/>
      <c r="J73" s="42"/>
      <c r="K73" s="42"/>
      <c r="L73" s="42"/>
      <c r="M73" s="42"/>
      <c r="N73" s="42"/>
      <c r="O73" s="99">
        <v>1</v>
      </c>
    </row>
    <row r="74" spans="1:18">
      <c r="A74" s="2551"/>
      <c r="B74" s="2144"/>
      <c r="C74" s="86">
        <v>2016</v>
      </c>
      <c r="D74" s="147">
        <v>30</v>
      </c>
      <c r="E74" s="147"/>
      <c r="F74" s="147"/>
      <c r="G74" s="141">
        <f>SUM(D74:F74)</f>
        <v>30</v>
      </c>
      <c r="H74" s="50"/>
      <c r="I74" s="50">
        <v>30</v>
      </c>
      <c r="J74" s="42"/>
      <c r="K74" s="42"/>
      <c r="L74" s="42"/>
      <c r="M74" s="42"/>
      <c r="N74" s="42"/>
      <c r="O74" s="99"/>
    </row>
    <row r="75" spans="1:18">
      <c r="A75" s="2551"/>
      <c r="B75" s="2144"/>
      <c r="C75" s="86">
        <v>2017</v>
      </c>
      <c r="D75" s="147"/>
      <c r="E75" s="147"/>
      <c r="F75" s="147"/>
      <c r="G75" s="141">
        <v>0</v>
      </c>
      <c r="H75" s="50"/>
      <c r="I75" s="50"/>
      <c r="J75" s="42"/>
      <c r="K75" s="42"/>
      <c r="L75" s="42"/>
      <c r="M75" s="42"/>
      <c r="N75" s="42"/>
      <c r="O75" s="99"/>
    </row>
    <row r="76" spans="1:18">
      <c r="A76" s="2551"/>
      <c r="B76" s="2144"/>
      <c r="C76" s="86">
        <v>2018</v>
      </c>
      <c r="D76" s="147"/>
      <c r="E76" s="147"/>
      <c r="F76" s="147"/>
      <c r="G76" s="141">
        <v>0</v>
      </c>
      <c r="H76" s="50"/>
      <c r="I76" s="50"/>
      <c r="J76" s="42"/>
      <c r="K76" s="42"/>
      <c r="L76" s="42"/>
      <c r="M76" s="42"/>
      <c r="N76" s="42"/>
      <c r="O76" s="99"/>
    </row>
    <row r="77" spans="1:18">
      <c r="A77" s="2551"/>
      <c r="B77" s="2144"/>
      <c r="C77" s="86">
        <v>2019</v>
      </c>
      <c r="D77" s="147"/>
      <c r="E77" s="147"/>
      <c r="F77" s="147"/>
      <c r="G77" s="141">
        <v>0</v>
      </c>
      <c r="H77" s="50"/>
      <c r="I77" s="50"/>
      <c r="J77" s="42"/>
      <c r="K77" s="42"/>
      <c r="L77" s="42"/>
      <c r="M77" s="42"/>
      <c r="N77" s="42"/>
      <c r="O77" s="99"/>
    </row>
    <row r="78" spans="1:18">
      <c r="A78" s="2551"/>
      <c r="B78" s="2144"/>
      <c r="C78" s="86">
        <v>2020</v>
      </c>
      <c r="D78" s="147"/>
      <c r="E78" s="147"/>
      <c r="F78" s="147"/>
      <c r="G78" s="141">
        <v>0</v>
      </c>
      <c r="H78" s="50"/>
      <c r="I78" s="50"/>
      <c r="J78" s="42"/>
      <c r="K78" s="42"/>
      <c r="L78" s="42"/>
      <c r="M78" s="42"/>
      <c r="N78" s="42"/>
      <c r="O78" s="99"/>
    </row>
    <row r="79" spans="1:18" ht="15.75" thickBot="1">
      <c r="A79" s="2134"/>
      <c r="B79" s="2145"/>
      <c r="C79" s="148" t="s">
        <v>12</v>
      </c>
      <c r="D79" s="123">
        <f>SUM(D72:D78)</f>
        <v>51</v>
      </c>
      <c r="E79" s="123">
        <f>SUM(E72:E78)</f>
        <v>0</v>
      </c>
      <c r="F79" s="123">
        <f>SUM(F72:F78)</f>
        <v>1</v>
      </c>
      <c r="G79" s="149">
        <f>SUM(G72:G78)</f>
        <v>52</v>
      </c>
      <c r="H79" s="150">
        <v>0</v>
      </c>
      <c r="I79" s="151">
        <f t="shared" ref="I79:O79" si="5">SUM(I72:I78)</f>
        <v>30</v>
      </c>
      <c r="J79" s="125">
        <f t="shared" si="5"/>
        <v>0</v>
      </c>
      <c r="K79" s="125">
        <f t="shared" si="5"/>
        <v>0</v>
      </c>
      <c r="L79" s="125">
        <f t="shared" si="5"/>
        <v>0</v>
      </c>
      <c r="M79" s="125">
        <f t="shared" si="5"/>
        <v>0</v>
      </c>
      <c r="N79" s="125">
        <f t="shared" si="5"/>
        <v>0</v>
      </c>
      <c r="O79" s="126">
        <f t="shared" si="5"/>
        <v>1</v>
      </c>
    </row>
    <row r="81" spans="1:18">
      <c r="A81" s="152"/>
      <c r="B81" s="128"/>
      <c r="C81" s="153"/>
      <c r="D81" s="154"/>
      <c r="E81" s="121"/>
      <c r="F81" s="121"/>
      <c r="G81" s="121"/>
      <c r="H81" s="121"/>
      <c r="I81" s="121"/>
      <c r="J81" s="121"/>
      <c r="K81" s="121"/>
    </row>
    <row r="82" spans="1:18" ht="21">
      <c r="A82" s="155" t="s">
        <v>48</v>
      </c>
      <c r="B82" s="155"/>
      <c r="C82" s="156"/>
      <c r="D82" s="156"/>
      <c r="E82" s="156"/>
      <c r="F82" s="156"/>
      <c r="G82" s="156"/>
      <c r="H82" s="156"/>
      <c r="I82" s="156"/>
      <c r="J82" s="156"/>
      <c r="K82" s="156"/>
      <c r="L82" s="157"/>
    </row>
    <row r="83" spans="1:18" ht="15.75" thickBot="1">
      <c r="A83" s="158"/>
      <c r="B83" s="158"/>
    </row>
    <row r="84" spans="1:18" ht="129.75" customHeight="1">
      <c r="A84" s="1409" t="s">
        <v>49</v>
      </c>
      <c r="B84" s="1445" t="s">
        <v>388</v>
      </c>
      <c r="C84" s="161" t="s">
        <v>8</v>
      </c>
      <c r="D84" s="491" t="s">
        <v>51</v>
      </c>
      <c r="E84" s="163" t="s">
        <v>52</v>
      </c>
      <c r="F84" s="164" t="s">
        <v>53</v>
      </c>
      <c r="G84" s="164" t="s">
        <v>54</v>
      </c>
      <c r="H84" s="164" t="s">
        <v>55</v>
      </c>
      <c r="I84" s="164" t="s">
        <v>56</v>
      </c>
      <c r="J84" s="164" t="s">
        <v>57</v>
      </c>
      <c r="K84" s="165" t="s">
        <v>58</v>
      </c>
      <c r="L84" s="31"/>
      <c r="M84" s="31"/>
      <c r="N84" s="31"/>
      <c r="O84" s="31"/>
      <c r="P84" s="31"/>
      <c r="Q84" s="31"/>
      <c r="R84" s="31"/>
    </row>
    <row r="85" spans="1:18">
      <c r="A85" s="2554" t="s">
        <v>389</v>
      </c>
      <c r="B85" s="2144"/>
      <c r="C85" s="84">
        <v>2014</v>
      </c>
      <c r="D85" s="166"/>
      <c r="E85" s="167"/>
      <c r="F85" s="34"/>
      <c r="G85" s="34"/>
      <c r="H85" s="34"/>
      <c r="I85" s="34"/>
      <c r="J85" s="34"/>
      <c r="K85" s="37"/>
    </row>
    <row r="86" spans="1:18">
      <c r="A86" s="2555"/>
      <c r="B86" s="2144"/>
      <c r="C86" s="86">
        <v>2015</v>
      </c>
      <c r="D86" s="168"/>
      <c r="E86" s="118"/>
      <c r="F86" s="42"/>
      <c r="G86" s="42"/>
      <c r="H86" s="42"/>
      <c r="I86" s="42"/>
      <c r="J86" s="42"/>
      <c r="K86" s="99"/>
    </row>
    <row r="87" spans="1:18">
      <c r="A87" s="2555"/>
      <c r="B87" s="2144"/>
      <c r="C87" s="86">
        <v>2016</v>
      </c>
      <c r="D87" s="168"/>
      <c r="E87" s="118"/>
      <c r="F87" s="42"/>
      <c r="G87" s="42"/>
      <c r="H87" s="42"/>
      <c r="I87" s="42"/>
      <c r="J87" s="42"/>
      <c r="K87" s="99"/>
    </row>
    <row r="88" spans="1:18">
      <c r="A88" s="2555"/>
      <c r="B88" s="2144"/>
      <c r="C88" s="86">
        <v>2017</v>
      </c>
      <c r="D88" s="168"/>
      <c r="E88" s="118"/>
      <c r="F88" s="42"/>
      <c r="G88" s="42"/>
      <c r="H88" s="42"/>
      <c r="I88" s="42"/>
      <c r="J88" s="42"/>
      <c r="K88" s="99"/>
    </row>
    <row r="89" spans="1:18">
      <c r="A89" s="2555"/>
      <c r="B89" s="2144"/>
      <c r="C89" s="86">
        <v>2018</v>
      </c>
      <c r="D89" s="168"/>
      <c r="E89" s="118"/>
      <c r="F89" s="42"/>
      <c r="G89" s="42"/>
      <c r="H89" s="42"/>
      <c r="I89" s="42"/>
      <c r="J89" s="42"/>
      <c r="K89" s="99"/>
    </row>
    <row r="90" spans="1:18">
      <c r="A90" s="2555"/>
      <c r="B90" s="2144"/>
      <c r="C90" s="86">
        <v>2019</v>
      </c>
      <c r="D90" s="168"/>
      <c r="E90" s="118"/>
      <c r="F90" s="42"/>
      <c r="G90" s="42"/>
      <c r="H90" s="42"/>
      <c r="I90" s="42"/>
      <c r="J90" s="42"/>
      <c r="K90" s="99"/>
    </row>
    <row r="91" spans="1:18">
      <c r="A91" s="2555"/>
      <c r="B91" s="2144"/>
      <c r="C91" s="86">
        <v>2020</v>
      </c>
      <c r="D91" s="168"/>
      <c r="E91" s="118"/>
      <c r="F91" s="42"/>
      <c r="G91" s="42"/>
      <c r="H91" s="42"/>
      <c r="I91" s="42"/>
      <c r="J91" s="42"/>
      <c r="K91" s="99"/>
    </row>
    <row r="92" spans="1:18" ht="15.75" thickBot="1">
      <c r="A92" s="2073"/>
      <c r="B92" s="2145"/>
      <c r="C92" s="148" t="s">
        <v>12</v>
      </c>
      <c r="D92" s="169">
        <f t="shared" ref="D92:I92" si="6">SUM(D85:D91)</f>
        <v>0</v>
      </c>
      <c r="E92" s="124">
        <f t="shared" si="6"/>
        <v>0</v>
      </c>
      <c r="F92" s="125">
        <f t="shared" si="6"/>
        <v>0</v>
      </c>
      <c r="G92" s="125">
        <f t="shared" si="6"/>
        <v>0</v>
      </c>
      <c r="H92" s="125">
        <f t="shared" si="6"/>
        <v>0</v>
      </c>
      <c r="I92" s="125">
        <f t="shared" si="6"/>
        <v>0</v>
      </c>
      <c r="J92" s="125">
        <f>SUM(J85:J91)</f>
        <v>0</v>
      </c>
      <c r="K92" s="126">
        <f>SUM(K85:K91)</f>
        <v>0</v>
      </c>
    </row>
    <row r="94" spans="1:18" ht="21">
      <c r="A94" s="170" t="s">
        <v>59</v>
      </c>
      <c r="B94" s="170"/>
      <c r="C94" s="171"/>
      <c r="D94" s="171"/>
      <c r="E94" s="171"/>
      <c r="F94" s="171"/>
      <c r="G94" s="171"/>
      <c r="H94" s="171"/>
      <c r="I94" s="171"/>
      <c r="J94" s="171"/>
      <c r="K94" s="171"/>
      <c r="L94" s="171"/>
      <c r="M94" s="171"/>
      <c r="N94" s="172"/>
      <c r="O94" s="172"/>
      <c r="P94" s="172"/>
    </row>
    <row r="95" spans="1:18" ht="21.75" thickBot="1">
      <c r="A95" s="173"/>
      <c r="B95" s="173"/>
      <c r="C95" s="77"/>
      <c r="D95" s="77"/>
      <c r="E95" s="77"/>
      <c r="F95" s="77"/>
      <c r="G95" s="77"/>
      <c r="H95" s="77"/>
      <c r="I95" s="77"/>
      <c r="J95" s="77"/>
      <c r="K95" s="77"/>
      <c r="L95" s="77"/>
      <c r="M95" s="77"/>
      <c r="N95" s="77"/>
      <c r="O95" s="77"/>
      <c r="P95" s="77"/>
      <c r="Q95" s="77"/>
      <c r="R95" s="77"/>
    </row>
    <row r="96" spans="1:18">
      <c r="A96" s="2571" t="s">
        <v>60</v>
      </c>
      <c r="B96" s="2600" t="s">
        <v>390</v>
      </c>
      <c r="C96" s="2573" t="s">
        <v>8</v>
      </c>
      <c r="D96" s="2207" t="s">
        <v>62</v>
      </c>
      <c r="E96" s="2208"/>
      <c r="F96" s="174" t="s">
        <v>63</v>
      </c>
      <c r="G96" s="493"/>
      <c r="H96" s="493"/>
      <c r="I96" s="493"/>
      <c r="J96" s="493"/>
      <c r="K96" s="493"/>
      <c r="L96" s="493"/>
      <c r="M96" s="494"/>
      <c r="N96" s="177"/>
      <c r="O96" s="177"/>
      <c r="P96" s="177"/>
    </row>
    <row r="97" spans="1:16" ht="84.75">
      <c r="A97" s="2041"/>
      <c r="B97" s="2601"/>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c r="A98" s="2552" t="s">
        <v>391</v>
      </c>
      <c r="B98" s="2602"/>
      <c r="C98" s="112">
        <v>2014</v>
      </c>
      <c r="D98" s="33"/>
      <c r="E98" s="34"/>
      <c r="F98" s="186"/>
      <c r="G98" s="187"/>
      <c r="H98" s="187"/>
      <c r="I98" s="187"/>
      <c r="J98" s="187"/>
      <c r="K98" s="187"/>
      <c r="L98" s="187"/>
      <c r="M98" s="188"/>
      <c r="N98" s="177"/>
      <c r="O98" s="177"/>
      <c r="P98" s="177"/>
    </row>
    <row r="99" spans="1:16">
      <c r="A99" s="2553"/>
      <c r="B99" s="2603"/>
      <c r="C99" s="116">
        <v>2015</v>
      </c>
      <c r="D99" s="50"/>
      <c r="E99" s="42"/>
      <c r="F99" s="189"/>
      <c r="G99" s="190"/>
      <c r="H99" s="190"/>
      <c r="I99" s="190"/>
      <c r="J99" s="190"/>
      <c r="K99" s="190"/>
      <c r="L99" s="190"/>
      <c r="M99" s="193"/>
      <c r="N99" s="177"/>
      <c r="O99" s="177"/>
      <c r="P99" s="177"/>
    </row>
    <row r="100" spans="1:16">
      <c r="A100" s="2553"/>
      <c r="B100" s="2603"/>
      <c r="C100" s="116">
        <v>2016</v>
      </c>
      <c r="D100" s="50"/>
      <c r="E100" s="42"/>
      <c r="F100" s="189"/>
      <c r="G100" s="190"/>
      <c r="H100" s="190"/>
      <c r="I100" s="190"/>
      <c r="J100" s="190"/>
      <c r="K100" s="190"/>
      <c r="L100" s="190"/>
      <c r="M100" s="193"/>
      <c r="N100" s="177"/>
      <c r="O100" s="177"/>
      <c r="P100" s="177"/>
    </row>
    <row r="101" spans="1:16">
      <c r="A101" s="2553"/>
      <c r="B101" s="2603"/>
      <c r="C101" s="116">
        <v>2017</v>
      </c>
      <c r="D101" s="50"/>
      <c r="E101" s="42"/>
      <c r="F101" s="189"/>
      <c r="G101" s="190"/>
      <c r="H101" s="190"/>
      <c r="I101" s="190"/>
      <c r="J101" s="190"/>
      <c r="K101" s="190"/>
      <c r="L101" s="190"/>
      <c r="M101" s="193"/>
      <c r="N101" s="177"/>
      <c r="O101" s="177"/>
      <c r="P101" s="177"/>
    </row>
    <row r="102" spans="1:16">
      <c r="A102" s="2553"/>
      <c r="B102" s="2603"/>
      <c r="C102" s="116">
        <v>2018</v>
      </c>
      <c r="D102" s="50"/>
      <c r="E102" s="42"/>
      <c r="F102" s="189"/>
      <c r="G102" s="190"/>
      <c r="H102" s="190"/>
      <c r="I102" s="190"/>
      <c r="J102" s="190"/>
      <c r="K102" s="190"/>
      <c r="L102" s="190"/>
      <c r="M102" s="193"/>
      <c r="N102" s="177"/>
      <c r="O102" s="177"/>
      <c r="P102" s="177"/>
    </row>
    <row r="103" spans="1:16">
      <c r="A103" s="2553"/>
      <c r="B103" s="2603"/>
      <c r="C103" s="116">
        <v>2019</v>
      </c>
      <c r="D103" s="50"/>
      <c r="E103" s="42"/>
      <c r="F103" s="189"/>
      <c r="G103" s="190"/>
      <c r="H103" s="190"/>
      <c r="I103" s="190"/>
      <c r="J103" s="190"/>
      <c r="K103" s="190"/>
      <c r="L103" s="190"/>
      <c r="M103" s="193"/>
      <c r="N103" s="177"/>
      <c r="O103" s="177"/>
      <c r="P103" s="177"/>
    </row>
    <row r="104" spans="1:16">
      <c r="A104" s="2553"/>
      <c r="B104" s="2603"/>
      <c r="C104" s="116">
        <v>2020</v>
      </c>
      <c r="D104" s="50"/>
      <c r="E104" s="42"/>
      <c r="F104" s="189"/>
      <c r="G104" s="190"/>
      <c r="H104" s="190"/>
      <c r="I104" s="190"/>
      <c r="J104" s="190"/>
      <c r="K104" s="190"/>
      <c r="L104" s="190"/>
      <c r="M104" s="193"/>
      <c r="N104" s="177"/>
      <c r="O104" s="177"/>
      <c r="P104" s="177"/>
    </row>
    <row r="105" spans="1:16" ht="15.75" thickBot="1">
      <c r="A105" s="2046"/>
      <c r="B105" s="2604"/>
      <c r="C105" s="122" t="s">
        <v>12</v>
      </c>
      <c r="D105" s="151">
        <f t="shared" ref="D105:K105" si="7">SUM(D98:D104)</f>
        <v>0</v>
      </c>
      <c r="E105" s="125">
        <f t="shared" si="7"/>
        <v>0</v>
      </c>
      <c r="F105" s="194">
        <f t="shared" si="7"/>
        <v>0</v>
      </c>
      <c r="G105" s="195">
        <f t="shared" si="7"/>
        <v>0</v>
      </c>
      <c r="H105" s="195">
        <f t="shared" si="7"/>
        <v>0</v>
      </c>
      <c r="I105" s="195">
        <f t="shared" si="7"/>
        <v>0</v>
      </c>
      <c r="J105" s="195">
        <f t="shared" si="7"/>
        <v>0</v>
      </c>
      <c r="K105" s="195">
        <f t="shared" si="7"/>
        <v>0</v>
      </c>
      <c r="L105" s="195">
        <f>SUM(L98:L104)</f>
        <v>0</v>
      </c>
      <c r="M105" s="196">
        <f>SUM(M98:M104)</f>
        <v>0</v>
      </c>
      <c r="N105" s="177"/>
      <c r="O105" s="177"/>
      <c r="P105" s="177"/>
    </row>
    <row r="106" spans="1:16" ht="15.75" thickBot="1">
      <c r="A106" s="197"/>
      <c r="B106" s="197"/>
      <c r="C106" s="198"/>
      <c r="D106" s="8"/>
      <c r="E106" s="8"/>
      <c r="H106" s="199"/>
      <c r="I106" s="199"/>
      <c r="J106" s="199"/>
      <c r="K106" s="199"/>
      <c r="L106" s="199"/>
      <c r="M106" s="199"/>
      <c r="N106" s="199"/>
    </row>
    <row r="107" spans="1:16">
      <c r="A107" s="2571" t="s">
        <v>69</v>
      </c>
      <c r="B107" s="2600" t="s">
        <v>390</v>
      </c>
      <c r="C107" s="2573" t="s">
        <v>8</v>
      </c>
      <c r="D107" s="2574" t="s">
        <v>70</v>
      </c>
      <c r="E107" s="174" t="s">
        <v>71</v>
      </c>
      <c r="F107" s="493"/>
      <c r="G107" s="493"/>
      <c r="H107" s="493"/>
      <c r="I107" s="493"/>
      <c r="J107" s="493"/>
      <c r="K107" s="493"/>
      <c r="L107" s="494"/>
      <c r="M107" s="199"/>
      <c r="N107" s="199"/>
    </row>
    <row r="108" spans="1:16" ht="118.5" customHeight="1">
      <c r="A108" s="2041"/>
      <c r="B108" s="2601"/>
      <c r="C108" s="2056"/>
      <c r="D108" s="2058"/>
      <c r="E108" s="180" t="s">
        <v>13</v>
      </c>
      <c r="F108" s="181" t="s">
        <v>66</v>
      </c>
      <c r="G108" s="182" t="s">
        <v>54</v>
      </c>
      <c r="H108" s="183" t="s">
        <v>55</v>
      </c>
      <c r="I108" s="183" t="s">
        <v>56</v>
      </c>
      <c r="J108" s="184" t="s">
        <v>67</v>
      </c>
      <c r="K108" s="182" t="s">
        <v>57</v>
      </c>
      <c r="L108" s="185" t="s">
        <v>58</v>
      </c>
      <c r="M108" s="199"/>
      <c r="N108" s="199"/>
    </row>
    <row r="109" spans="1:16">
      <c r="A109" s="2552" t="s">
        <v>392</v>
      </c>
      <c r="B109" s="2602"/>
      <c r="C109" s="112">
        <v>2014</v>
      </c>
      <c r="D109" s="34"/>
      <c r="E109" s="186"/>
      <c r="F109" s="187"/>
      <c r="G109" s="187"/>
      <c r="H109" s="187"/>
      <c r="I109" s="187"/>
      <c r="J109" s="187"/>
      <c r="K109" s="187"/>
      <c r="L109" s="188"/>
      <c r="M109" s="199"/>
      <c r="N109" s="199"/>
    </row>
    <row r="110" spans="1:16">
      <c r="A110" s="2553"/>
      <c r="B110" s="2603"/>
      <c r="C110" s="116">
        <v>2015</v>
      </c>
      <c r="D110" s="42"/>
      <c r="E110" s="189"/>
      <c r="F110" s="190"/>
      <c r="G110" s="190"/>
      <c r="H110" s="190"/>
      <c r="I110" s="190"/>
      <c r="J110" s="190"/>
      <c r="K110" s="190"/>
      <c r="L110" s="193"/>
      <c r="M110" s="199"/>
      <c r="N110" s="199"/>
    </row>
    <row r="111" spans="1:16">
      <c r="A111" s="2553"/>
      <c r="B111" s="2603"/>
      <c r="C111" s="116">
        <v>2016</v>
      </c>
      <c r="D111" s="42"/>
      <c r="E111" s="189"/>
      <c r="F111" s="190"/>
      <c r="G111" s="190"/>
      <c r="H111" s="190"/>
      <c r="I111" s="190"/>
      <c r="J111" s="190"/>
      <c r="K111" s="190"/>
      <c r="L111" s="193"/>
      <c r="M111" s="199"/>
      <c r="N111" s="199"/>
    </row>
    <row r="112" spans="1:16">
      <c r="A112" s="2553"/>
      <c r="B112" s="2603"/>
      <c r="C112" s="116">
        <v>2017</v>
      </c>
      <c r="D112" s="42"/>
      <c r="E112" s="189"/>
      <c r="F112" s="190"/>
      <c r="G112" s="190"/>
      <c r="H112" s="190"/>
      <c r="I112" s="190"/>
      <c r="J112" s="190"/>
      <c r="K112" s="190"/>
      <c r="L112" s="193"/>
      <c r="M112" s="199"/>
      <c r="N112" s="199"/>
    </row>
    <row r="113" spans="1:14">
      <c r="A113" s="2553"/>
      <c r="B113" s="2603"/>
      <c r="C113" s="116">
        <v>2018</v>
      </c>
      <c r="D113" s="42"/>
      <c r="E113" s="189"/>
      <c r="F113" s="190"/>
      <c r="G113" s="190"/>
      <c r="H113" s="190"/>
      <c r="I113" s="190"/>
      <c r="J113" s="190"/>
      <c r="K113" s="190"/>
      <c r="L113" s="193"/>
      <c r="M113" s="199"/>
      <c r="N113" s="199"/>
    </row>
    <row r="114" spans="1:14">
      <c r="A114" s="2553"/>
      <c r="B114" s="2603"/>
      <c r="C114" s="116">
        <v>2019</v>
      </c>
      <c r="D114" s="42"/>
      <c r="E114" s="189"/>
      <c r="F114" s="190"/>
      <c r="G114" s="190"/>
      <c r="H114" s="190"/>
      <c r="I114" s="190"/>
      <c r="J114" s="190"/>
      <c r="K114" s="190"/>
      <c r="L114" s="193"/>
      <c r="M114" s="199"/>
      <c r="N114" s="199"/>
    </row>
    <row r="115" spans="1:14">
      <c r="A115" s="2553"/>
      <c r="B115" s="2603"/>
      <c r="C115" s="116">
        <v>2020</v>
      </c>
      <c r="D115" s="42"/>
      <c r="E115" s="189"/>
      <c r="F115" s="190"/>
      <c r="G115" s="190"/>
      <c r="H115" s="190"/>
      <c r="I115" s="190"/>
      <c r="J115" s="190"/>
      <c r="K115" s="190"/>
      <c r="L115" s="193"/>
      <c r="M115" s="199"/>
      <c r="N115" s="199"/>
    </row>
    <row r="116" spans="1:14" ht="15.75" thickBot="1">
      <c r="A116" s="2046"/>
      <c r="B116" s="2604"/>
      <c r="C116" s="122" t="s">
        <v>12</v>
      </c>
      <c r="D116" s="125">
        <f t="shared" ref="D116:I116" si="8">SUM(D109:D115)</f>
        <v>0</v>
      </c>
      <c r="E116" s="194">
        <f t="shared" si="8"/>
        <v>0</v>
      </c>
      <c r="F116" s="195">
        <f t="shared" si="8"/>
        <v>0</v>
      </c>
      <c r="G116" s="195">
        <f t="shared" si="8"/>
        <v>0</v>
      </c>
      <c r="H116" s="195">
        <f t="shared" si="8"/>
        <v>0</v>
      </c>
      <c r="I116" s="195">
        <f t="shared" si="8"/>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c r="A118" s="2571" t="s">
        <v>72</v>
      </c>
      <c r="B118" s="2600" t="s">
        <v>390</v>
      </c>
      <c r="C118" s="2573" t="s">
        <v>8</v>
      </c>
      <c r="D118" s="2574" t="s">
        <v>73</v>
      </c>
      <c r="E118" s="174" t="s">
        <v>71</v>
      </c>
      <c r="F118" s="493"/>
      <c r="G118" s="493"/>
      <c r="H118" s="493"/>
      <c r="I118" s="493"/>
      <c r="J118" s="493"/>
      <c r="K118" s="493"/>
      <c r="L118" s="494"/>
      <c r="M118" s="199"/>
      <c r="N118" s="199"/>
    </row>
    <row r="119" spans="1:14" ht="133.5" customHeight="1">
      <c r="A119" s="2041"/>
      <c r="B119" s="2601"/>
      <c r="C119" s="2056"/>
      <c r="D119" s="2058"/>
      <c r="E119" s="180" t="s">
        <v>13</v>
      </c>
      <c r="F119" s="181" t="s">
        <v>66</v>
      </c>
      <c r="G119" s="182" t="s">
        <v>54</v>
      </c>
      <c r="H119" s="183" t="s">
        <v>55</v>
      </c>
      <c r="I119" s="183" t="s">
        <v>56</v>
      </c>
      <c r="J119" s="184" t="s">
        <v>67</v>
      </c>
      <c r="K119" s="182" t="s">
        <v>57</v>
      </c>
      <c r="L119" s="185" t="s">
        <v>58</v>
      </c>
      <c r="M119" s="199"/>
      <c r="N119" s="199"/>
    </row>
    <row r="120" spans="1:14">
      <c r="A120" s="2552" t="s">
        <v>393</v>
      </c>
      <c r="B120" s="2602"/>
      <c r="C120" s="112">
        <v>2014</v>
      </c>
      <c r="D120" s="34"/>
      <c r="E120" s="186"/>
      <c r="F120" s="187"/>
      <c r="G120" s="187"/>
      <c r="H120" s="187"/>
      <c r="I120" s="187"/>
      <c r="J120" s="187"/>
      <c r="K120" s="187"/>
      <c r="L120" s="188"/>
      <c r="M120" s="199"/>
      <c r="N120" s="199"/>
    </row>
    <row r="121" spans="1:14">
      <c r="A121" s="2553"/>
      <c r="B121" s="2603"/>
      <c r="C121" s="116">
        <v>2015</v>
      </c>
      <c r="D121" s="42"/>
      <c r="E121" s="189"/>
      <c r="F121" s="190"/>
      <c r="G121" s="190"/>
      <c r="H121" s="190"/>
      <c r="I121" s="190"/>
      <c r="J121" s="190"/>
      <c r="K121" s="190"/>
      <c r="L121" s="193"/>
      <c r="M121" s="199"/>
      <c r="N121" s="199"/>
    </row>
    <row r="122" spans="1:14">
      <c r="A122" s="2553"/>
      <c r="B122" s="2603"/>
      <c r="C122" s="116">
        <v>2016</v>
      </c>
      <c r="D122" s="42"/>
      <c r="E122" s="189"/>
      <c r="F122" s="190"/>
      <c r="G122" s="190"/>
      <c r="H122" s="190"/>
      <c r="I122" s="190"/>
      <c r="J122" s="190"/>
      <c r="K122" s="190"/>
      <c r="L122" s="193"/>
      <c r="M122" s="199"/>
      <c r="N122" s="199"/>
    </row>
    <row r="123" spans="1:14">
      <c r="A123" s="2553"/>
      <c r="B123" s="2603"/>
      <c r="C123" s="116">
        <v>2017</v>
      </c>
      <c r="D123" s="42"/>
      <c r="E123" s="189"/>
      <c r="F123" s="190"/>
      <c r="G123" s="190"/>
      <c r="H123" s="190"/>
      <c r="I123" s="190"/>
      <c r="J123" s="190"/>
      <c r="K123" s="190"/>
      <c r="L123" s="193"/>
      <c r="M123" s="199"/>
      <c r="N123" s="199"/>
    </row>
    <row r="124" spans="1:14">
      <c r="A124" s="2553"/>
      <c r="B124" s="2603"/>
      <c r="C124" s="116">
        <v>2018</v>
      </c>
      <c r="D124" s="42"/>
      <c r="E124" s="189"/>
      <c r="F124" s="190"/>
      <c r="G124" s="190"/>
      <c r="H124" s="190"/>
      <c r="I124" s="190"/>
      <c r="J124" s="190"/>
      <c r="K124" s="190"/>
      <c r="L124" s="193"/>
      <c r="M124" s="199"/>
      <c r="N124" s="199"/>
    </row>
    <row r="125" spans="1:14">
      <c r="A125" s="2553"/>
      <c r="B125" s="2603"/>
      <c r="C125" s="116">
        <v>2019</v>
      </c>
      <c r="D125" s="42"/>
      <c r="E125" s="189"/>
      <c r="F125" s="190"/>
      <c r="G125" s="190"/>
      <c r="H125" s="190"/>
      <c r="I125" s="190"/>
      <c r="J125" s="190"/>
      <c r="K125" s="190"/>
      <c r="L125" s="193"/>
      <c r="M125" s="199"/>
      <c r="N125" s="199"/>
    </row>
    <row r="126" spans="1:14">
      <c r="A126" s="2553"/>
      <c r="B126" s="2603"/>
      <c r="C126" s="116">
        <v>2020</v>
      </c>
      <c r="D126" s="42"/>
      <c r="E126" s="189"/>
      <c r="F126" s="190"/>
      <c r="G126" s="190"/>
      <c r="H126" s="190"/>
      <c r="I126" s="190"/>
      <c r="J126" s="190"/>
      <c r="K126" s="190"/>
      <c r="L126" s="193"/>
      <c r="M126" s="199"/>
      <c r="N126" s="199"/>
    </row>
    <row r="127" spans="1:14" ht="15.75" thickBot="1">
      <c r="A127" s="2046"/>
      <c r="B127" s="2604"/>
      <c r="C127" s="122" t="s">
        <v>12</v>
      </c>
      <c r="D127" s="125">
        <f t="shared" ref="D127:I127" si="9">SUM(D120:D126)</f>
        <v>0</v>
      </c>
      <c r="E127" s="194">
        <f t="shared" si="9"/>
        <v>0</v>
      </c>
      <c r="F127" s="195">
        <f t="shared" si="9"/>
        <v>0</v>
      </c>
      <c r="G127" s="195">
        <f t="shared" si="9"/>
        <v>0</v>
      </c>
      <c r="H127" s="195">
        <f t="shared" si="9"/>
        <v>0</v>
      </c>
      <c r="I127" s="195">
        <f t="shared" si="9"/>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8">
      <c r="A129" s="2571" t="s">
        <v>74</v>
      </c>
      <c r="B129" s="2600" t="s">
        <v>390</v>
      </c>
      <c r="C129" s="1431" t="s">
        <v>8</v>
      </c>
      <c r="D129" s="496" t="s">
        <v>75</v>
      </c>
      <c r="E129" s="497"/>
      <c r="F129" s="497"/>
      <c r="G129" s="498"/>
      <c r="H129" s="199"/>
      <c r="I129" s="199"/>
      <c r="J129" s="199"/>
      <c r="K129" s="199"/>
      <c r="L129" s="199"/>
      <c r="M129" s="199"/>
      <c r="N129" s="199"/>
    </row>
    <row r="130" spans="1:18" ht="90" customHeight="1">
      <c r="A130" s="2041"/>
      <c r="B130" s="2601"/>
      <c r="C130" s="1427"/>
      <c r="D130" s="178" t="s">
        <v>76</v>
      </c>
      <c r="E130" s="207" t="s">
        <v>77</v>
      </c>
      <c r="F130" s="179" t="s">
        <v>78</v>
      </c>
      <c r="G130" s="208" t="s">
        <v>12</v>
      </c>
      <c r="H130" s="199"/>
      <c r="I130" s="199"/>
      <c r="J130" s="199"/>
      <c r="K130" s="199"/>
      <c r="L130" s="199"/>
      <c r="M130" s="199"/>
      <c r="N130" s="199"/>
    </row>
    <row r="131" spans="1:18">
      <c r="A131" s="2592" t="s">
        <v>394</v>
      </c>
      <c r="B131" s="2160"/>
      <c r="C131" s="112">
        <v>2015</v>
      </c>
      <c r="D131" s="33"/>
      <c r="E131" s="34"/>
      <c r="F131" s="34"/>
      <c r="G131" s="209">
        <f t="shared" ref="G131:G136" si="10">SUM(D131:F131)</f>
        <v>0</v>
      </c>
      <c r="H131" s="199"/>
      <c r="I131" s="199"/>
      <c r="J131" s="199"/>
      <c r="K131" s="199"/>
      <c r="L131" s="199"/>
      <c r="M131" s="199"/>
      <c r="N131" s="199"/>
    </row>
    <row r="132" spans="1:18">
      <c r="A132" s="2593"/>
      <c r="B132" s="2160"/>
      <c r="C132" s="116">
        <v>2016</v>
      </c>
      <c r="D132" s="50"/>
      <c r="E132" s="42"/>
      <c r="F132" s="42"/>
      <c r="G132" s="209">
        <f t="shared" si="10"/>
        <v>0</v>
      </c>
      <c r="H132" s="199"/>
      <c r="I132" s="199"/>
      <c r="J132" s="199"/>
      <c r="K132" s="199"/>
      <c r="L132" s="199"/>
      <c r="M132" s="199"/>
      <c r="N132" s="199"/>
    </row>
    <row r="133" spans="1:18">
      <c r="A133" s="2593"/>
      <c r="B133" s="2160"/>
      <c r="C133" s="116">
        <v>2017</v>
      </c>
      <c r="D133" s="50"/>
      <c r="E133" s="42"/>
      <c r="F133" s="42"/>
      <c r="G133" s="209">
        <f t="shared" si="10"/>
        <v>0</v>
      </c>
      <c r="H133" s="199"/>
      <c r="I133" s="199"/>
      <c r="J133" s="199"/>
      <c r="K133" s="199"/>
      <c r="L133" s="199"/>
      <c r="M133" s="199"/>
      <c r="N133" s="199"/>
    </row>
    <row r="134" spans="1:18">
      <c r="A134" s="2593"/>
      <c r="B134" s="2160"/>
      <c r="C134" s="116">
        <v>2018</v>
      </c>
      <c r="D134" s="50"/>
      <c r="E134" s="42"/>
      <c r="F134" s="42"/>
      <c r="G134" s="209">
        <f t="shared" si="10"/>
        <v>0</v>
      </c>
      <c r="H134" s="199"/>
      <c r="I134" s="199"/>
      <c r="J134" s="199"/>
      <c r="K134" s="199"/>
      <c r="L134" s="199"/>
      <c r="M134" s="199"/>
      <c r="N134" s="199"/>
    </row>
    <row r="135" spans="1:18">
      <c r="A135" s="2593"/>
      <c r="B135" s="2160"/>
      <c r="C135" s="116">
        <v>2019</v>
      </c>
      <c r="D135" s="50"/>
      <c r="E135" s="42"/>
      <c r="F135" s="42"/>
      <c r="G135" s="209">
        <f t="shared" si="10"/>
        <v>0</v>
      </c>
      <c r="H135" s="199"/>
      <c r="I135" s="199"/>
      <c r="J135" s="199"/>
      <c r="K135" s="199"/>
      <c r="L135" s="199"/>
      <c r="M135" s="199"/>
      <c r="N135" s="199"/>
    </row>
    <row r="136" spans="1:18">
      <c r="A136" s="2593"/>
      <c r="B136" s="2160"/>
      <c r="C136" s="116">
        <v>2020</v>
      </c>
      <c r="D136" s="50"/>
      <c r="E136" s="42"/>
      <c r="F136" s="42"/>
      <c r="G136" s="209">
        <f t="shared" si="10"/>
        <v>0</v>
      </c>
      <c r="H136" s="199"/>
      <c r="I136" s="199"/>
      <c r="J136" s="199"/>
      <c r="K136" s="199"/>
      <c r="L136" s="199"/>
      <c r="M136" s="199"/>
      <c r="N136" s="199"/>
    </row>
    <row r="137" spans="1:18" ht="15.75" thickBot="1">
      <c r="A137" s="2594"/>
      <c r="B137" s="2161"/>
      <c r="C137" s="122" t="s">
        <v>12</v>
      </c>
      <c r="D137" s="151">
        <f>SUM(D130:D136)</f>
        <v>0</v>
      </c>
      <c r="E137" s="125">
        <f>SUM(E130:E136)</f>
        <v>0</v>
      </c>
      <c r="F137" s="125">
        <f>SUM(F130:F136)</f>
        <v>0</v>
      </c>
      <c r="G137" s="210">
        <f>SUM(G130:G136)</f>
        <v>0</v>
      </c>
      <c r="H137" s="199"/>
      <c r="I137" s="199"/>
      <c r="J137" s="199"/>
      <c r="K137" s="199"/>
      <c r="L137" s="199"/>
      <c r="M137" s="199"/>
      <c r="N137" s="199"/>
    </row>
    <row r="138" spans="1:18">
      <c r="A138" s="197"/>
      <c r="B138" s="197"/>
      <c r="C138" s="198"/>
      <c r="D138" s="8"/>
      <c r="E138" s="8"/>
      <c r="H138" s="199"/>
      <c r="I138" s="199"/>
      <c r="J138" s="199"/>
      <c r="K138" s="199"/>
      <c r="L138" s="199"/>
      <c r="M138" s="199"/>
      <c r="N138" s="199"/>
    </row>
    <row r="139" spans="1:18">
      <c r="A139" s="211"/>
      <c r="B139" s="92"/>
      <c r="C139" s="93"/>
      <c r="D139" s="38"/>
      <c r="E139" s="38"/>
      <c r="F139" s="38"/>
      <c r="G139" s="38"/>
      <c r="H139" s="38"/>
      <c r="I139" s="212"/>
      <c r="J139" s="213"/>
      <c r="K139" s="213"/>
      <c r="L139" s="213"/>
      <c r="M139" s="213"/>
      <c r="N139" s="213"/>
      <c r="O139" s="213"/>
      <c r="P139" s="213"/>
      <c r="Q139" s="77"/>
      <c r="R139" s="77"/>
    </row>
    <row r="140" spans="1:18" ht="21">
      <c r="A140" s="214" t="s">
        <v>79</v>
      </c>
      <c r="B140" s="214"/>
      <c r="C140" s="215"/>
      <c r="D140" s="215"/>
      <c r="E140" s="215"/>
      <c r="F140" s="215"/>
      <c r="G140" s="215"/>
      <c r="H140" s="215"/>
      <c r="I140" s="215"/>
      <c r="J140" s="215"/>
      <c r="K140" s="215"/>
      <c r="L140" s="215"/>
      <c r="M140" s="215"/>
      <c r="N140" s="215"/>
      <c r="O140" s="172"/>
      <c r="P140" s="172"/>
    </row>
    <row r="141" spans="1:18" ht="15.75" thickBot="1">
      <c r="A141" s="216"/>
      <c r="B141" s="128"/>
      <c r="C141" s="153"/>
      <c r="D141" s="121"/>
      <c r="E141" s="121"/>
      <c r="F141" s="121"/>
      <c r="G141" s="121"/>
      <c r="H141" s="121"/>
      <c r="I141" s="177"/>
      <c r="J141" s="177"/>
      <c r="K141" s="177"/>
      <c r="L141" s="177"/>
      <c r="M141" s="177"/>
      <c r="N141" s="177"/>
      <c r="O141" s="177"/>
      <c r="P141" s="177"/>
    </row>
    <row r="142" spans="1:18">
      <c r="A142" s="2575" t="s">
        <v>80</v>
      </c>
      <c r="B142" s="2608" t="s">
        <v>390</v>
      </c>
      <c r="C142" s="2582" t="s">
        <v>8</v>
      </c>
      <c r="D142" s="1414" t="s">
        <v>81</v>
      </c>
      <c r="E142" s="1415"/>
      <c r="F142" s="1415"/>
      <c r="G142" s="1415"/>
      <c r="H142" s="1415"/>
      <c r="I142" s="1416"/>
      <c r="J142" s="2577" t="s">
        <v>82</v>
      </c>
      <c r="K142" s="2578"/>
      <c r="L142" s="2578"/>
      <c r="M142" s="2578"/>
      <c r="N142" s="2579"/>
      <c r="O142" s="177"/>
      <c r="P142" s="177"/>
    </row>
    <row r="143" spans="1:18" ht="127.5" customHeight="1">
      <c r="A143" s="2045"/>
      <c r="B143" s="2609"/>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8">
      <c r="A144" s="2552" t="s">
        <v>395</v>
      </c>
      <c r="B144" s="2166"/>
      <c r="C144" s="112">
        <v>2014</v>
      </c>
      <c r="D144" s="33"/>
      <c r="E144" s="33"/>
      <c r="F144" s="34"/>
      <c r="G144" s="187"/>
      <c r="H144" s="187"/>
      <c r="I144" s="227">
        <f>D144+F144+G144+H144</f>
        <v>0</v>
      </c>
      <c r="J144" s="228"/>
      <c r="K144" s="229"/>
      <c r="L144" s="228"/>
      <c r="M144" s="229"/>
      <c r="N144" s="230"/>
      <c r="O144" s="177"/>
      <c r="P144" s="177"/>
    </row>
    <row r="145" spans="1:16">
      <c r="A145" s="2553"/>
      <c r="B145" s="2166"/>
      <c r="C145" s="116">
        <v>2015</v>
      </c>
      <c r="D145" s="50"/>
      <c r="E145" s="50"/>
      <c r="F145" s="42"/>
      <c r="G145" s="190"/>
      <c r="H145" s="190"/>
      <c r="I145" s="227">
        <f t="shared" ref="I145:I150" si="11">D145+F145+G145+H145</f>
        <v>0</v>
      </c>
      <c r="J145" s="231"/>
      <c r="K145" s="232"/>
      <c r="L145" s="231"/>
      <c r="M145" s="232"/>
      <c r="N145" s="233"/>
      <c r="O145" s="177"/>
      <c r="P145" s="177"/>
    </row>
    <row r="146" spans="1:16">
      <c r="A146" s="2553"/>
      <c r="B146" s="2166"/>
      <c r="C146" s="116">
        <v>2016</v>
      </c>
      <c r="D146" s="50"/>
      <c r="E146" s="50"/>
      <c r="F146" s="42"/>
      <c r="G146" s="190"/>
      <c r="H146" s="190"/>
      <c r="I146" s="227">
        <f t="shared" si="11"/>
        <v>0</v>
      </c>
      <c r="J146" s="231"/>
      <c r="K146" s="232"/>
      <c r="L146" s="231"/>
      <c r="M146" s="232"/>
      <c r="N146" s="233"/>
      <c r="O146" s="177"/>
      <c r="P146" s="177"/>
    </row>
    <row r="147" spans="1:16">
      <c r="A147" s="2553"/>
      <c r="B147" s="2166"/>
      <c r="C147" s="116">
        <v>2017</v>
      </c>
      <c r="D147" s="50"/>
      <c r="E147" s="50"/>
      <c r="F147" s="42"/>
      <c r="G147" s="190"/>
      <c r="H147" s="190"/>
      <c r="I147" s="227">
        <f t="shared" si="11"/>
        <v>0</v>
      </c>
      <c r="J147" s="231"/>
      <c r="K147" s="232"/>
      <c r="L147" s="231"/>
      <c r="M147" s="232"/>
      <c r="N147" s="233"/>
      <c r="O147" s="177"/>
      <c r="P147" s="177"/>
    </row>
    <row r="148" spans="1:16">
      <c r="A148" s="2553"/>
      <c r="B148" s="2166"/>
      <c r="C148" s="116">
        <v>2018</v>
      </c>
      <c r="D148" s="50"/>
      <c r="E148" s="50"/>
      <c r="F148" s="42"/>
      <c r="G148" s="190"/>
      <c r="H148" s="190"/>
      <c r="I148" s="227">
        <f t="shared" si="11"/>
        <v>0</v>
      </c>
      <c r="J148" s="231"/>
      <c r="K148" s="232"/>
      <c r="L148" s="231"/>
      <c r="M148" s="232"/>
      <c r="N148" s="233"/>
      <c r="O148" s="177"/>
      <c r="P148" s="177"/>
    </row>
    <row r="149" spans="1:16">
      <c r="A149" s="2553"/>
      <c r="B149" s="2166"/>
      <c r="C149" s="116">
        <v>2019</v>
      </c>
      <c r="D149" s="50"/>
      <c r="E149" s="50"/>
      <c r="F149" s="42"/>
      <c r="G149" s="190"/>
      <c r="H149" s="190"/>
      <c r="I149" s="227">
        <f t="shared" si="11"/>
        <v>0</v>
      </c>
      <c r="J149" s="231"/>
      <c r="K149" s="232"/>
      <c r="L149" s="231"/>
      <c r="M149" s="232"/>
      <c r="N149" s="233"/>
      <c r="O149" s="177"/>
      <c r="P149" s="177"/>
    </row>
    <row r="150" spans="1:16">
      <c r="A150" s="2553"/>
      <c r="B150" s="2166"/>
      <c r="C150" s="116">
        <v>2020</v>
      </c>
      <c r="D150" s="50"/>
      <c r="E150" s="50"/>
      <c r="F150" s="42"/>
      <c r="G150" s="190"/>
      <c r="H150" s="190"/>
      <c r="I150" s="227">
        <f t="shared" si="11"/>
        <v>0</v>
      </c>
      <c r="J150" s="231"/>
      <c r="K150" s="232"/>
      <c r="L150" s="231"/>
      <c r="M150" s="232"/>
      <c r="N150" s="233"/>
      <c r="O150" s="177"/>
      <c r="P150" s="177"/>
    </row>
    <row r="151" spans="1:16" ht="124.5" customHeight="1" thickBot="1">
      <c r="A151" s="2026"/>
      <c r="B151" s="2167"/>
      <c r="C151" s="122" t="s">
        <v>12</v>
      </c>
      <c r="D151" s="151">
        <f t="shared" ref="D151:N151" si="12">SUM(D144:D150)</f>
        <v>0</v>
      </c>
      <c r="E151" s="151">
        <f t="shared" si="12"/>
        <v>0</v>
      </c>
      <c r="F151" s="151">
        <f t="shared" si="12"/>
        <v>0</v>
      </c>
      <c r="G151" s="151">
        <f t="shared" si="12"/>
        <v>0</v>
      </c>
      <c r="H151" s="151">
        <f t="shared" si="12"/>
        <v>0</v>
      </c>
      <c r="I151" s="234">
        <f t="shared" si="12"/>
        <v>0</v>
      </c>
      <c r="J151" s="235">
        <f t="shared" si="12"/>
        <v>0</v>
      </c>
      <c r="K151" s="236">
        <f t="shared" si="12"/>
        <v>0</v>
      </c>
      <c r="L151" s="235">
        <f t="shared" si="12"/>
        <v>0</v>
      </c>
      <c r="M151" s="236">
        <f t="shared" si="12"/>
        <v>0</v>
      </c>
      <c r="N151" s="237">
        <f t="shared" si="12"/>
        <v>0</v>
      </c>
      <c r="O151" s="177"/>
      <c r="P151" s="177"/>
    </row>
    <row r="152" spans="1:16" ht="15.75" thickBot="1">
      <c r="B152" s="238"/>
      <c r="O152" s="177"/>
      <c r="P152" s="177"/>
    </row>
    <row r="153" spans="1:16" ht="26.25">
      <c r="A153" s="2580" t="s">
        <v>93</v>
      </c>
      <c r="B153" s="2608" t="s">
        <v>390</v>
      </c>
      <c r="C153" s="2581" t="s">
        <v>8</v>
      </c>
      <c r="D153" s="502" t="s">
        <v>94</v>
      </c>
      <c r="E153" s="502"/>
      <c r="F153" s="503"/>
      <c r="G153" s="503"/>
      <c r="H153" s="502" t="s">
        <v>95</v>
      </c>
      <c r="I153" s="502"/>
      <c r="J153" s="504"/>
      <c r="K153" s="31"/>
      <c r="L153" s="31"/>
      <c r="M153" s="31"/>
      <c r="N153" s="31"/>
      <c r="O153" s="177"/>
      <c r="P153" s="177"/>
    </row>
    <row r="154" spans="1:16" ht="63.75" customHeight="1">
      <c r="A154" s="2556"/>
      <c r="B154" s="2609"/>
      <c r="C154" s="2037"/>
      <c r="D154" s="242" t="s">
        <v>96</v>
      </c>
      <c r="E154" s="243" t="s">
        <v>97</v>
      </c>
      <c r="F154" s="244" t="s">
        <v>98</v>
      </c>
      <c r="G154" s="245" t="s">
        <v>99</v>
      </c>
      <c r="H154" s="242" t="s">
        <v>100</v>
      </c>
      <c r="I154" s="243" t="s">
        <v>101</v>
      </c>
      <c r="J154" s="246" t="s">
        <v>92</v>
      </c>
      <c r="K154" s="31"/>
      <c r="L154" s="31"/>
      <c r="M154" s="31"/>
      <c r="N154" s="31"/>
      <c r="O154" s="177"/>
      <c r="P154" s="177"/>
    </row>
    <row r="155" spans="1:16">
      <c r="A155" s="2552" t="s">
        <v>396</v>
      </c>
      <c r="B155" s="2166"/>
      <c r="C155" s="247">
        <v>2014</v>
      </c>
      <c r="D155" s="228"/>
      <c r="E155" s="187"/>
      <c r="F155" s="229"/>
      <c r="G155" s="227">
        <f>SUM(D155:F155)</f>
        <v>0</v>
      </c>
      <c r="H155" s="228"/>
      <c r="I155" s="187"/>
      <c r="J155" s="188"/>
      <c r="O155" s="177"/>
      <c r="P155" s="177"/>
    </row>
    <row r="156" spans="1:16">
      <c r="A156" s="2553"/>
      <c r="B156" s="2166"/>
      <c r="C156" s="248">
        <v>2015</v>
      </c>
      <c r="D156" s="231"/>
      <c r="E156" s="190"/>
      <c r="F156" s="232"/>
      <c r="G156" s="227">
        <f t="shared" ref="G156:G161" si="13">SUM(D156:F156)</f>
        <v>0</v>
      </c>
      <c r="H156" s="231"/>
      <c r="I156" s="190"/>
      <c r="J156" s="193"/>
      <c r="O156" s="177"/>
      <c r="P156" s="177"/>
    </row>
    <row r="157" spans="1:16">
      <c r="A157" s="2553"/>
      <c r="B157" s="2166"/>
      <c r="C157" s="248">
        <v>2016</v>
      </c>
      <c r="D157" s="231"/>
      <c r="E157" s="190"/>
      <c r="F157" s="232"/>
      <c r="G157" s="227">
        <f t="shared" si="13"/>
        <v>0</v>
      </c>
      <c r="H157" s="231"/>
      <c r="I157" s="190"/>
      <c r="J157" s="193"/>
      <c r="O157" s="177"/>
      <c r="P157" s="177"/>
    </row>
    <row r="158" spans="1:16">
      <c r="A158" s="2553"/>
      <c r="B158" s="2166"/>
      <c r="C158" s="248">
        <v>2017</v>
      </c>
      <c r="D158" s="231"/>
      <c r="E158" s="190"/>
      <c r="F158" s="232"/>
      <c r="G158" s="227">
        <f t="shared" si="13"/>
        <v>0</v>
      </c>
      <c r="H158" s="231"/>
      <c r="I158" s="190"/>
      <c r="J158" s="193"/>
      <c r="O158" s="177"/>
      <c r="P158" s="177"/>
    </row>
    <row r="159" spans="1:16">
      <c r="A159" s="2553"/>
      <c r="B159" s="2166"/>
      <c r="C159" s="248">
        <v>2018</v>
      </c>
      <c r="D159" s="231"/>
      <c r="E159" s="190"/>
      <c r="F159" s="232"/>
      <c r="G159" s="227">
        <f t="shared" si="13"/>
        <v>0</v>
      </c>
      <c r="H159" s="231"/>
      <c r="I159" s="190"/>
      <c r="J159" s="193"/>
      <c r="O159" s="177"/>
      <c r="P159" s="177"/>
    </row>
    <row r="160" spans="1:16">
      <c r="A160" s="2553"/>
      <c r="B160" s="2166"/>
      <c r="C160" s="248">
        <v>2019</v>
      </c>
      <c r="D160" s="231"/>
      <c r="E160" s="190"/>
      <c r="F160" s="232"/>
      <c r="G160" s="227">
        <f t="shared" si="13"/>
        <v>0</v>
      </c>
      <c r="H160" s="231"/>
      <c r="I160" s="190"/>
      <c r="J160" s="193"/>
      <c r="O160" s="177"/>
      <c r="P160" s="177"/>
    </row>
    <row r="161" spans="1:18">
      <c r="A161" s="2553"/>
      <c r="B161" s="2166"/>
      <c r="C161" s="248">
        <v>2020</v>
      </c>
      <c r="D161" s="231"/>
      <c r="E161" s="190"/>
      <c r="F161" s="232"/>
      <c r="G161" s="227">
        <f t="shared" si="13"/>
        <v>0</v>
      </c>
      <c r="H161" s="231"/>
      <c r="I161" s="190"/>
      <c r="J161" s="193"/>
      <c r="O161" s="177"/>
      <c r="P161" s="177"/>
    </row>
    <row r="162" spans="1:18" ht="15.75" thickBot="1">
      <c r="A162" s="2026"/>
      <c r="B162" s="2167"/>
      <c r="C162" s="249" t="s">
        <v>12</v>
      </c>
      <c r="D162" s="235">
        <f t="shared" ref="D162:J162" si="14">SUM(D155:D161)</f>
        <v>0</v>
      </c>
      <c r="E162" s="195">
        <f t="shared" si="14"/>
        <v>0</v>
      </c>
      <c r="F162" s="236">
        <f t="shared" si="14"/>
        <v>0</v>
      </c>
      <c r="G162" s="236">
        <f t="shared" si="14"/>
        <v>0</v>
      </c>
      <c r="H162" s="235">
        <f t="shared" si="14"/>
        <v>0</v>
      </c>
      <c r="I162" s="195">
        <f t="shared" si="14"/>
        <v>0</v>
      </c>
      <c r="J162" s="250">
        <f t="shared" si="14"/>
        <v>0</v>
      </c>
    </row>
    <row r="163" spans="1:18" ht="15.75" thickBot="1">
      <c r="A163" s="251"/>
      <c r="B163" s="252"/>
      <c r="C163" s="253"/>
      <c r="D163" s="177"/>
      <c r="E163" s="1418"/>
      <c r="F163" s="177"/>
      <c r="G163" s="177"/>
      <c r="H163" s="177"/>
      <c r="I163" s="177"/>
      <c r="J163" s="255"/>
      <c r="K163" s="256"/>
    </row>
    <row r="164" spans="1:18" ht="120" customHeight="1">
      <c r="A164" s="506" t="s">
        <v>102</v>
      </c>
      <c r="B164" s="1446" t="s">
        <v>397</v>
      </c>
      <c r="C164" s="1447" t="s">
        <v>8</v>
      </c>
      <c r="D164" s="260" t="s">
        <v>104</v>
      </c>
      <c r="E164" s="260" t="s">
        <v>105</v>
      </c>
      <c r="F164" s="508" t="s">
        <v>106</v>
      </c>
      <c r="G164" s="260" t="s">
        <v>107</v>
      </c>
      <c r="H164" s="260" t="s">
        <v>108</v>
      </c>
      <c r="I164" s="262" t="s">
        <v>109</v>
      </c>
      <c r="J164" s="509" t="s">
        <v>110</v>
      </c>
      <c r="K164" s="509" t="s">
        <v>111</v>
      </c>
      <c r="L164" s="1371"/>
    </row>
    <row r="165" spans="1:18">
      <c r="A165" s="2605" t="s">
        <v>398</v>
      </c>
      <c r="B165" s="2170"/>
      <c r="C165" s="265">
        <v>2014</v>
      </c>
      <c r="D165" s="187"/>
      <c r="E165" s="187"/>
      <c r="F165" s="187"/>
      <c r="G165" s="187"/>
      <c r="H165" s="187"/>
      <c r="I165" s="188"/>
      <c r="J165" s="266">
        <v>0</v>
      </c>
      <c r="K165" s="267">
        <v>0</v>
      </c>
      <c r="L165" s="1371"/>
    </row>
    <row r="166" spans="1:18">
      <c r="A166" s="2606"/>
      <c r="B166" s="2166"/>
      <c r="C166" s="268">
        <v>2015</v>
      </c>
      <c r="D166" s="269"/>
      <c r="E166" s="269"/>
      <c r="F166" s="269"/>
      <c r="G166" s="269"/>
      <c r="H166" s="269"/>
      <c r="I166" s="270"/>
      <c r="J166" s="1448">
        <v>0</v>
      </c>
      <c r="K166" s="1449">
        <v>0</v>
      </c>
      <c r="L166" s="1371"/>
    </row>
    <row r="167" spans="1:18">
      <c r="A167" s="2606"/>
      <c r="B167" s="2166"/>
      <c r="C167" s="268">
        <v>2016</v>
      </c>
      <c r="D167" s="269"/>
      <c r="E167" s="269"/>
      <c r="F167" s="269"/>
      <c r="G167" s="269"/>
      <c r="H167" s="269"/>
      <c r="I167" s="270"/>
      <c r="J167" s="1450">
        <v>0</v>
      </c>
      <c r="K167" s="1451">
        <v>0</v>
      </c>
    </row>
    <row r="168" spans="1:18">
      <c r="A168" s="2606"/>
      <c r="B168" s="2166"/>
      <c r="C168" s="268">
        <v>2017</v>
      </c>
      <c r="D168" s="269"/>
      <c r="E168" s="177"/>
      <c r="F168" s="269"/>
      <c r="G168" s="269"/>
      <c r="H168" s="269"/>
      <c r="I168" s="270"/>
      <c r="J168" s="1452">
        <v>0</v>
      </c>
      <c r="K168" s="1451">
        <v>0</v>
      </c>
    </row>
    <row r="169" spans="1:18">
      <c r="A169" s="2606"/>
      <c r="B169" s="2166"/>
      <c r="C169" s="273">
        <v>2018</v>
      </c>
      <c r="D169" s="269"/>
      <c r="E169" s="269"/>
      <c r="F169" s="269"/>
      <c r="G169" s="274"/>
      <c r="H169" s="269"/>
      <c r="I169" s="270"/>
      <c r="J169" s="1452">
        <v>0</v>
      </c>
      <c r="K169" s="1451">
        <v>0</v>
      </c>
      <c r="L169" s="1371"/>
    </row>
    <row r="170" spans="1:18">
      <c r="A170" s="2606"/>
      <c r="B170" s="2166"/>
      <c r="C170" s="268">
        <v>2019</v>
      </c>
      <c r="D170" s="177"/>
      <c r="E170" s="269"/>
      <c r="F170" s="269"/>
      <c r="G170" s="269"/>
      <c r="H170" s="274"/>
      <c r="I170" s="270"/>
      <c r="J170" s="1448">
        <v>0</v>
      </c>
      <c r="K170" s="1453">
        <v>0</v>
      </c>
      <c r="L170" s="1371"/>
    </row>
    <row r="171" spans="1:18">
      <c r="A171" s="2606"/>
      <c r="B171" s="2166"/>
      <c r="C171" s="273">
        <v>2020</v>
      </c>
      <c r="D171" s="269"/>
      <c r="E171" s="269"/>
      <c r="F171" s="269"/>
      <c r="G171" s="269"/>
      <c r="H171" s="269"/>
      <c r="I171" s="270"/>
      <c r="J171" s="1450">
        <v>0</v>
      </c>
      <c r="K171" s="1453">
        <v>0</v>
      </c>
      <c r="L171" s="1371"/>
    </row>
    <row r="172" spans="1:18" ht="15.75" thickBot="1">
      <c r="A172" s="2607"/>
      <c r="B172" s="2167"/>
      <c r="C172" s="275" t="s">
        <v>12</v>
      </c>
      <c r="D172" s="195"/>
      <c r="E172" s="195">
        <v>0</v>
      </c>
      <c r="F172" s="195"/>
      <c r="G172" s="1454">
        <v>0</v>
      </c>
      <c r="H172" s="195"/>
      <c r="I172" s="196">
        <v>0</v>
      </c>
      <c r="J172" s="1455">
        <v>0</v>
      </c>
      <c r="K172" s="1456">
        <v>0</v>
      </c>
      <c r="L172" s="1371"/>
    </row>
    <row r="173" spans="1:18">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ht="15.75" thickBot="1">
      <c r="A176" s="2584" t="s">
        <v>113</v>
      </c>
      <c r="B176" s="2610" t="s">
        <v>385</v>
      </c>
      <c r="C176" s="2586" t="s">
        <v>8</v>
      </c>
      <c r="D176" s="510" t="s">
        <v>115</v>
      </c>
      <c r="E176" s="511"/>
      <c r="F176" s="511"/>
      <c r="G176" s="512"/>
      <c r="H176" s="513"/>
      <c r="I176" s="2021" t="s">
        <v>116</v>
      </c>
      <c r="J176" s="2232"/>
      <c r="K176" s="2232"/>
      <c r="L176" s="2232"/>
      <c r="M176" s="2232"/>
      <c r="N176" s="2232"/>
      <c r="O176" s="2233"/>
      <c r="P176" s="31"/>
      <c r="Q176" s="31"/>
      <c r="R176" s="31"/>
    </row>
    <row r="177" spans="1:18" ht="135" customHeight="1">
      <c r="A177" s="2018"/>
      <c r="B177" s="2611"/>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c r="P177" s="31"/>
      <c r="Q177" s="31"/>
      <c r="R177" s="31"/>
    </row>
    <row r="178" spans="1:18">
      <c r="A178" s="2553" t="s">
        <v>399</v>
      </c>
      <c r="B178" s="2166"/>
      <c r="C178" s="112">
        <v>2014</v>
      </c>
      <c r="D178" s="33"/>
      <c r="E178" s="34"/>
      <c r="F178" s="34"/>
      <c r="G178" s="293">
        <f t="shared" ref="G178:G184" si="15">SUM(D178:E178)</f>
        <v>0</v>
      </c>
      <c r="H178" s="141"/>
      <c r="I178" s="167"/>
      <c r="J178" s="34"/>
      <c r="K178" s="34"/>
      <c r="L178" s="34"/>
      <c r="M178" s="34"/>
      <c r="N178" s="34"/>
      <c r="O178" s="37"/>
    </row>
    <row r="179" spans="1:18">
      <c r="A179" s="2553"/>
      <c r="B179" s="2166"/>
      <c r="C179" s="116">
        <v>2015</v>
      </c>
      <c r="D179" s="50"/>
      <c r="E179" s="42"/>
      <c r="F179" s="42"/>
      <c r="G179" s="293">
        <f t="shared" si="15"/>
        <v>0</v>
      </c>
      <c r="H179" s="141"/>
      <c r="I179" s="118"/>
      <c r="J179" s="42"/>
      <c r="K179" s="42"/>
      <c r="L179" s="42"/>
      <c r="M179" s="42"/>
      <c r="N179" s="42"/>
      <c r="O179" s="99"/>
    </row>
    <row r="180" spans="1:18">
      <c r="A180" s="2553"/>
      <c r="B180" s="2166"/>
      <c r="C180" s="116">
        <v>2016</v>
      </c>
      <c r="D180" s="50"/>
      <c r="E180" s="42"/>
      <c r="F180" s="42"/>
      <c r="G180" s="293">
        <f t="shared" si="15"/>
        <v>0</v>
      </c>
      <c r="H180" s="141"/>
      <c r="I180" s="118"/>
      <c r="J180" s="42"/>
      <c r="K180" s="42"/>
      <c r="L180" s="42"/>
      <c r="M180" s="42"/>
      <c r="N180" s="42"/>
      <c r="O180" s="99"/>
    </row>
    <row r="181" spans="1:18">
      <c r="A181" s="2553"/>
      <c r="B181" s="2166"/>
      <c r="C181" s="116">
        <v>2017</v>
      </c>
      <c r="D181" s="50"/>
      <c r="E181" s="42"/>
      <c r="F181" s="42"/>
      <c r="G181" s="293">
        <f t="shared" si="15"/>
        <v>0</v>
      </c>
      <c r="H181" s="141"/>
      <c r="I181" s="118"/>
      <c r="J181" s="42"/>
      <c r="K181" s="42"/>
      <c r="L181" s="42"/>
      <c r="M181" s="42"/>
      <c r="N181" s="42"/>
      <c r="O181" s="99"/>
    </row>
    <row r="182" spans="1:18">
      <c r="A182" s="2553"/>
      <c r="B182" s="2166"/>
      <c r="C182" s="116">
        <v>2018</v>
      </c>
      <c r="D182" s="50"/>
      <c r="E182" s="42"/>
      <c r="F182" s="42"/>
      <c r="G182" s="293">
        <f t="shared" si="15"/>
        <v>0</v>
      </c>
      <c r="H182" s="141"/>
      <c r="I182" s="118"/>
      <c r="J182" s="42"/>
      <c r="K182" s="42"/>
      <c r="L182" s="42"/>
      <c r="M182" s="42"/>
      <c r="N182" s="42"/>
      <c r="O182" s="99"/>
    </row>
    <row r="183" spans="1:18">
      <c r="A183" s="2553"/>
      <c r="B183" s="2166"/>
      <c r="C183" s="116">
        <v>2019</v>
      </c>
      <c r="D183" s="50"/>
      <c r="E183" s="42"/>
      <c r="F183" s="42"/>
      <c r="G183" s="293">
        <f t="shared" si="15"/>
        <v>0</v>
      </c>
      <c r="H183" s="141"/>
      <c r="I183" s="118"/>
      <c r="J183" s="42"/>
      <c r="K183" s="42"/>
      <c r="L183" s="42"/>
      <c r="M183" s="42"/>
      <c r="N183" s="42"/>
      <c r="O183" s="99"/>
    </row>
    <row r="184" spans="1:18">
      <c r="A184" s="2553"/>
      <c r="B184" s="2166"/>
      <c r="C184" s="116">
        <v>2020</v>
      </c>
      <c r="D184" s="50"/>
      <c r="E184" s="42"/>
      <c r="F184" s="42"/>
      <c r="G184" s="293">
        <f t="shared" si="15"/>
        <v>0</v>
      </c>
      <c r="H184" s="141"/>
      <c r="I184" s="118"/>
      <c r="J184" s="42"/>
      <c r="K184" s="42"/>
      <c r="L184" s="42"/>
      <c r="M184" s="42"/>
      <c r="N184" s="42"/>
      <c r="O184" s="99"/>
    </row>
    <row r="185" spans="1:18" ht="87.75" customHeight="1" thickBot="1">
      <c r="A185" s="2026"/>
      <c r="B185" s="2167"/>
      <c r="C185" s="122" t="s">
        <v>12</v>
      </c>
      <c r="D185" s="151">
        <f>SUM(D178:D184)</f>
        <v>0</v>
      </c>
      <c r="E185" s="125">
        <f>SUM(E178:E184)</f>
        <v>0</v>
      </c>
      <c r="F185" s="125">
        <f>SUM(F178:F184)</f>
        <v>0</v>
      </c>
      <c r="G185" s="234">
        <f t="shared" ref="G185:O185" si="16">SUM(G178:G184)</f>
        <v>0</v>
      </c>
      <c r="H185" s="295">
        <f t="shared" si="16"/>
        <v>0</v>
      </c>
      <c r="I185" s="124">
        <f t="shared" si="16"/>
        <v>0</v>
      </c>
      <c r="J185" s="125">
        <f t="shared" si="16"/>
        <v>0</v>
      </c>
      <c r="K185" s="125">
        <f t="shared" si="16"/>
        <v>0</v>
      </c>
      <c r="L185" s="125">
        <f t="shared" si="16"/>
        <v>0</v>
      </c>
      <c r="M185" s="125">
        <f t="shared" si="16"/>
        <v>0</v>
      </c>
      <c r="N185" s="125">
        <f t="shared" si="16"/>
        <v>0</v>
      </c>
      <c r="O185" s="126">
        <f t="shared" si="16"/>
        <v>0</v>
      </c>
    </row>
    <row r="186" spans="1:18" ht="15.75" thickBot="1"/>
    <row r="187" spans="1:18">
      <c r="A187" s="2235" t="s">
        <v>122</v>
      </c>
      <c r="B187" s="2610" t="s">
        <v>385</v>
      </c>
      <c r="C187" s="1998" t="s">
        <v>8</v>
      </c>
      <c r="D187" s="2000" t="s">
        <v>123</v>
      </c>
      <c r="E187" s="2219"/>
      <c r="F187" s="2219"/>
      <c r="G187" s="2220"/>
      <c r="H187" s="2221" t="s">
        <v>124</v>
      </c>
      <c r="I187" s="1998"/>
      <c r="J187" s="1998"/>
      <c r="K187" s="1998"/>
      <c r="L187" s="2004"/>
    </row>
    <row r="188" spans="1:18" ht="123.75" customHeight="1">
      <c r="A188" s="1995"/>
      <c r="B188" s="2611"/>
      <c r="C188" s="1999"/>
      <c r="D188" s="296" t="s">
        <v>125</v>
      </c>
      <c r="E188" s="296" t="s">
        <v>126</v>
      </c>
      <c r="F188" s="296" t="s">
        <v>127</v>
      </c>
      <c r="G188" s="297" t="s">
        <v>12</v>
      </c>
      <c r="H188" s="298" t="s">
        <v>128</v>
      </c>
      <c r="I188" s="296" t="s">
        <v>129</v>
      </c>
      <c r="J188" s="296" t="s">
        <v>130</v>
      </c>
      <c r="K188" s="296" t="s">
        <v>131</v>
      </c>
      <c r="L188" s="299" t="s">
        <v>132</v>
      </c>
    </row>
    <row r="189" spans="1:18">
      <c r="A189" s="2557" t="s">
        <v>400</v>
      </c>
      <c r="B189" s="2168"/>
      <c r="C189" s="392">
        <v>2014</v>
      </c>
      <c r="D189" s="142"/>
      <c r="E189" s="115"/>
      <c r="F189" s="115"/>
      <c r="G189" s="301">
        <f>SUM(D189:F189)</f>
        <v>0</v>
      </c>
      <c r="H189" s="114"/>
      <c r="I189" s="115"/>
      <c r="J189" s="115"/>
      <c r="K189" s="115"/>
      <c r="L189" s="143"/>
    </row>
    <row r="190" spans="1:18">
      <c r="A190" s="2557"/>
      <c r="B190" s="2168"/>
      <c r="C190" s="86">
        <v>2015</v>
      </c>
      <c r="D190" s="50"/>
      <c r="E190" s="42"/>
      <c r="F190" s="42"/>
      <c r="G190" s="301">
        <f t="shared" ref="G190:G195" si="17">SUM(D190:F190)</f>
        <v>0</v>
      </c>
      <c r="H190" s="118"/>
      <c r="I190" s="42"/>
      <c r="J190" s="42"/>
      <c r="K190" s="42"/>
      <c r="L190" s="99"/>
    </row>
    <row r="191" spans="1:18">
      <c r="A191" s="2557"/>
      <c r="B191" s="2168"/>
      <c r="C191" s="86">
        <v>2016</v>
      </c>
      <c r="D191" s="50"/>
      <c r="E191" s="42"/>
      <c r="F191" s="42"/>
      <c r="G191" s="301">
        <f t="shared" si="17"/>
        <v>0</v>
      </c>
      <c r="H191" s="118"/>
      <c r="I191" s="42"/>
      <c r="J191" s="42"/>
      <c r="K191" s="42"/>
      <c r="L191" s="99"/>
    </row>
    <row r="192" spans="1:18">
      <c r="A192" s="2557"/>
      <c r="B192" s="2168"/>
      <c r="C192" s="86">
        <v>2017</v>
      </c>
      <c r="D192" s="50"/>
      <c r="E192" s="42"/>
      <c r="F192" s="42"/>
      <c r="G192" s="301">
        <f t="shared" si="17"/>
        <v>0</v>
      </c>
      <c r="H192" s="118"/>
      <c r="I192" s="42"/>
      <c r="J192" s="42"/>
      <c r="K192" s="42"/>
      <c r="L192" s="99"/>
    </row>
    <row r="193" spans="1:18">
      <c r="A193" s="2557"/>
      <c r="B193" s="2168"/>
      <c r="C193" s="86">
        <v>2018</v>
      </c>
      <c r="D193" s="50"/>
      <c r="E193" s="42"/>
      <c r="F193" s="42"/>
      <c r="G193" s="301">
        <f t="shared" si="17"/>
        <v>0</v>
      </c>
      <c r="H193" s="118"/>
      <c r="I193" s="42"/>
      <c r="J193" s="42"/>
      <c r="K193" s="42"/>
      <c r="L193" s="99"/>
    </row>
    <row r="194" spans="1:18">
      <c r="A194" s="2557"/>
      <c r="B194" s="2168"/>
      <c r="C194" s="86">
        <v>2019</v>
      </c>
      <c r="D194" s="50"/>
      <c r="E194" s="42"/>
      <c r="F194" s="42"/>
      <c r="G194" s="301">
        <f t="shared" si="17"/>
        <v>0</v>
      </c>
      <c r="H194" s="118"/>
      <c r="I194" s="42"/>
      <c r="J194" s="42"/>
      <c r="K194" s="42"/>
      <c r="L194" s="99"/>
    </row>
    <row r="195" spans="1:18">
      <c r="A195" s="2557"/>
      <c r="B195" s="2168"/>
      <c r="C195" s="86">
        <v>2020</v>
      </c>
      <c r="D195" s="50"/>
      <c r="E195" s="42"/>
      <c r="F195" s="42"/>
      <c r="G195" s="301">
        <f t="shared" si="17"/>
        <v>0</v>
      </c>
      <c r="H195" s="118"/>
      <c r="I195" s="42"/>
      <c r="J195" s="42"/>
      <c r="K195" s="42"/>
      <c r="L195" s="99"/>
    </row>
    <row r="196" spans="1:18" ht="15.75" thickBot="1">
      <c r="A196" s="2114"/>
      <c r="B196" s="2169"/>
      <c r="C196" s="148" t="s">
        <v>12</v>
      </c>
      <c r="D196" s="151">
        <f t="shared" ref="D196:L196" si="18">SUM(D189:D195)</f>
        <v>0</v>
      </c>
      <c r="E196" s="125">
        <f t="shared" si="18"/>
        <v>0</v>
      </c>
      <c r="F196" s="125">
        <f t="shared" si="18"/>
        <v>0</v>
      </c>
      <c r="G196" s="304">
        <f t="shared" si="18"/>
        <v>0</v>
      </c>
      <c r="H196" s="124">
        <f t="shared" si="18"/>
        <v>0</v>
      </c>
      <c r="I196" s="125">
        <f t="shared" si="18"/>
        <v>0</v>
      </c>
      <c r="J196" s="125">
        <f t="shared" si="18"/>
        <v>0</v>
      </c>
      <c r="K196" s="125">
        <f t="shared" si="18"/>
        <v>0</v>
      </c>
      <c r="L196" s="126">
        <f t="shared" si="18"/>
        <v>0</v>
      </c>
    </row>
    <row r="199" spans="1:18" ht="21">
      <c r="A199" s="305" t="s">
        <v>134</v>
      </c>
      <c r="B199" s="305"/>
      <c r="C199" s="306"/>
      <c r="D199" s="306"/>
      <c r="E199" s="306"/>
      <c r="F199" s="306"/>
      <c r="G199" s="306"/>
      <c r="H199" s="306"/>
      <c r="I199" s="306"/>
      <c r="J199" s="306"/>
      <c r="K199" s="306"/>
      <c r="L199" s="306"/>
      <c r="M199" s="77"/>
      <c r="N199" s="77"/>
    </row>
    <row r="200" spans="1:18" ht="15.75" thickBot="1">
      <c r="A200" s="307"/>
      <c r="B200" s="307"/>
      <c r="C200" s="306"/>
      <c r="D200" s="306"/>
      <c r="E200" s="306"/>
      <c r="F200" s="306"/>
      <c r="G200" s="306"/>
      <c r="H200" s="306"/>
      <c r="I200" s="306"/>
      <c r="J200" s="306"/>
      <c r="K200" s="306"/>
      <c r="L200" s="306"/>
    </row>
    <row r="201" spans="1:18" ht="154.5" customHeight="1">
      <c r="A201" s="1422" t="s">
        <v>135</v>
      </c>
      <c r="B201" s="1457" t="s">
        <v>385</v>
      </c>
      <c r="C201" s="310" t="s">
        <v>8</v>
      </c>
      <c r="D201" s="515" t="s">
        <v>136</v>
      </c>
      <c r="E201" s="312" t="s">
        <v>137</v>
      </c>
      <c r="F201" s="312" t="s">
        <v>138</v>
      </c>
      <c r="G201" s="310" t="s">
        <v>139</v>
      </c>
      <c r="H201" s="516" t="s">
        <v>140</v>
      </c>
      <c r="I201" s="517" t="s">
        <v>141</v>
      </c>
      <c r="J201" s="518" t="s">
        <v>142</v>
      </c>
      <c r="K201" s="312" t="s">
        <v>143</v>
      </c>
      <c r="L201" s="316" t="s">
        <v>144</v>
      </c>
      <c r="M201" s="31"/>
      <c r="N201" s="31"/>
      <c r="O201" s="31"/>
      <c r="P201" s="31"/>
      <c r="Q201" s="31"/>
      <c r="R201" s="31"/>
    </row>
    <row r="202" spans="1:18">
      <c r="A202" s="2551" t="s">
        <v>401</v>
      </c>
      <c r="B202" s="2196"/>
      <c r="C202" s="84">
        <v>2014</v>
      </c>
      <c r="D202" s="33"/>
      <c r="E202" s="34"/>
      <c r="F202" s="34"/>
      <c r="G202" s="32"/>
      <c r="H202" s="317"/>
      <c r="I202" s="318"/>
      <c r="J202" s="319"/>
      <c r="K202" s="34"/>
      <c r="L202" s="37"/>
    </row>
    <row r="203" spans="1:18">
      <c r="A203" s="2551"/>
      <c r="B203" s="2168"/>
      <c r="C203" s="86">
        <v>2015</v>
      </c>
      <c r="D203" s="50"/>
      <c r="E203" s="42"/>
      <c r="F203" s="42"/>
      <c r="G203" s="39"/>
      <c r="H203" s="320"/>
      <c r="I203" s="321"/>
      <c r="J203" s="322"/>
      <c r="K203" s="42"/>
      <c r="L203" s="99"/>
    </row>
    <row r="204" spans="1:18">
      <c r="A204" s="2551"/>
      <c r="B204" s="2168"/>
      <c r="C204" s="86">
        <v>2016</v>
      </c>
      <c r="D204" s="50"/>
      <c r="E204" s="42"/>
      <c r="F204" s="42"/>
      <c r="G204" s="39"/>
      <c r="H204" s="320"/>
      <c r="I204" s="321"/>
      <c r="J204" s="322"/>
      <c r="K204" s="42"/>
      <c r="L204" s="99"/>
    </row>
    <row r="205" spans="1:18">
      <c r="A205" s="2551"/>
      <c r="B205" s="2168"/>
      <c r="C205" s="86">
        <v>2017</v>
      </c>
      <c r="D205" s="50"/>
      <c r="E205" s="42"/>
      <c r="F205" s="42"/>
      <c r="G205" s="39"/>
      <c r="H205" s="320"/>
      <c r="I205" s="321"/>
      <c r="J205" s="322"/>
      <c r="K205" s="42"/>
      <c r="L205" s="99"/>
    </row>
    <row r="206" spans="1:18">
      <c r="A206" s="2551"/>
      <c r="B206" s="2168"/>
      <c r="C206" s="86">
        <v>2018</v>
      </c>
      <c r="D206" s="50"/>
      <c r="E206" s="42"/>
      <c r="F206" s="42"/>
      <c r="G206" s="39"/>
      <c r="H206" s="320"/>
      <c r="I206" s="321"/>
      <c r="J206" s="322"/>
      <c r="K206" s="42"/>
      <c r="L206" s="99"/>
    </row>
    <row r="207" spans="1:18">
      <c r="A207" s="2551"/>
      <c r="B207" s="2168"/>
      <c r="C207" s="86">
        <v>2019</v>
      </c>
      <c r="D207" s="50"/>
      <c r="E207" s="42"/>
      <c r="F207" s="42"/>
      <c r="G207" s="39"/>
      <c r="H207" s="320"/>
      <c r="I207" s="321"/>
      <c r="J207" s="322"/>
      <c r="K207" s="42"/>
      <c r="L207" s="99"/>
    </row>
    <row r="208" spans="1:18">
      <c r="A208" s="2551"/>
      <c r="B208" s="2168"/>
      <c r="C208" s="86">
        <v>2020</v>
      </c>
      <c r="D208" s="1429"/>
      <c r="E208" s="324"/>
      <c r="F208" s="324"/>
      <c r="G208" s="325"/>
      <c r="H208" s="326"/>
      <c r="I208" s="327"/>
      <c r="J208" s="328"/>
      <c r="K208" s="324"/>
      <c r="L208" s="329"/>
    </row>
    <row r="209" spans="1:21" ht="72" customHeight="1" thickBot="1">
      <c r="A209" s="1989"/>
      <c r="B209" s="2169"/>
      <c r="C209" s="148" t="s">
        <v>12</v>
      </c>
      <c r="D209" s="151">
        <f>SUM(D202:D207)</f>
        <v>0</v>
      </c>
      <c r="E209" s="125">
        <f>SUM(E202:E207)</f>
        <v>0</v>
      </c>
      <c r="F209" s="125"/>
      <c r="G209" s="234"/>
      <c r="H209" s="1458">
        <f>SUM(H202:H207)</f>
        <v>0</v>
      </c>
      <c r="I209" s="1459">
        <f>SUM(I202:I207)</f>
        <v>0</v>
      </c>
      <c r="J209" s="1460"/>
      <c r="K209" s="125"/>
      <c r="L209" s="126">
        <f>SUM(L202:L207)</f>
        <v>0</v>
      </c>
    </row>
    <row r="211" spans="1:21" ht="15.75" thickBot="1"/>
    <row r="212" spans="1:21" ht="47.25" customHeight="1">
      <c r="A212" s="1424" t="s">
        <v>145</v>
      </c>
      <c r="B212" s="331" t="s">
        <v>146</v>
      </c>
      <c r="C212" s="332">
        <v>2014</v>
      </c>
      <c r="D212" s="333">
        <v>2015</v>
      </c>
      <c r="E212" s="333">
        <v>2016</v>
      </c>
      <c r="F212" s="333">
        <v>2017</v>
      </c>
      <c r="G212" s="333">
        <v>2018</v>
      </c>
      <c r="H212" s="333">
        <v>2019</v>
      </c>
      <c r="I212" s="334">
        <v>2020</v>
      </c>
    </row>
    <row r="213" spans="1:21">
      <c r="A213" t="s">
        <v>147</v>
      </c>
      <c r="B213" s="2196"/>
      <c r="C213" s="84"/>
      <c r="D213" s="147"/>
      <c r="E213" s="147"/>
      <c r="F213" s="147"/>
      <c r="G213" s="147"/>
      <c r="H213" s="147"/>
      <c r="I213" s="335"/>
    </row>
    <row r="214" spans="1:21">
      <c r="A214" t="s">
        <v>149</v>
      </c>
      <c r="B214" s="2168"/>
      <c r="C214" s="84"/>
      <c r="D214" s="147"/>
      <c r="E214" s="147"/>
      <c r="F214" s="147"/>
      <c r="G214" s="147"/>
      <c r="H214" s="147"/>
      <c r="I214" s="335"/>
      <c r="U214" s="408"/>
    </row>
    <row r="215" spans="1:21">
      <c r="A215" t="s">
        <v>150</v>
      </c>
      <c r="B215" s="2168"/>
      <c r="C215" s="84"/>
      <c r="D215" s="147"/>
      <c r="E215" s="147"/>
      <c r="F215" s="147"/>
      <c r="G215" s="147"/>
      <c r="H215" s="147"/>
      <c r="I215" s="335"/>
      <c r="U215" s="408"/>
    </row>
    <row r="216" spans="1:21">
      <c r="A216" t="s">
        <v>151</v>
      </c>
      <c r="B216" s="2168"/>
      <c r="C216" s="84"/>
      <c r="D216" s="403">
        <v>304800</v>
      </c>
      <c r="E216" s="403">
        <v>558575</v>
      </c>
      <c r="F216" s="147"/>
      <c r="G216" s="147"/>
      <c r="H216" s="147"/>
      <c r="I216" s="335"/>
      <c r="U216" s="408"/>
    </row>
    <row r="217" spans="1:21">
      <c r="A217" t="s">
        <v>152</v>
      </c>
      <c r="B217" s="2168"/>
      <c r="C217" s="84"/>
      <c r="D217" s="147"/>
      <c r="E217" s="147"/>
      <c r="F217" s="147"/>
      <c r="G217" s="147"/>
      <c r="H217" s="147"/>
      <c r="I217" s="335"/>
    </row>
    <row r="218" spans="1:21">
      <c r="A218" s="31" t="s">
        <v>153</v>
      </c>
      <c r="B218" s="2168"/>
      <c r="C218" s="84"/>
      <c r="D218" s="1461" t="s">
        <v>402</v>
      </c>
      <c r="E218" s="1461" t="s">
        <v>403</v>
      </c>
      <c r="F218" s="147"/>
      <c r="G218" s="147"/>
      <c r="H218" s="147"/>
      <c r="I218" s="335"/>
    </row>
    <row r="219" spans="1:21" ht="15.75" thickBot="1">
      <c r="A219" s="1428"/>
      <c r="B219" s="2169"/>
      <c r="C219" s="54" t="s">
        <v>12</v>
      </c>
      <c r="D219" s="405">
        <f t="shared" ref="D219:I219" si="19">SUM(D214:D218)</f>
        <v>304800</v>
      </c>
      <c r="E219" s="405">
        <f t="shared" si="19"/>
        <v>558575</v>
      </c>
      <c r="F219" s="337">
        <f t="shared" si="19"/>
        <v>0</v>
      </c>
      <c r="G219" s="337">
        <f t="shared" si="19"/>
        <v>0</v>
      </c>
      <c r="H219" s="337">
        <f t="shared" si="19"/>
        <v>0</v>
      </c>
      <c r="I219" s="337">
        <f t="shared" si="19"/>
        <v>0</v>
      </c>
    </row>
    <row r="226" spans="4:6">
      <c r="F226" s="408"/>
    </row>
    <row r="227" spans="4:6">
      <c r="D227" s="408"/>
    </row>
    <row r="228" spans="4:6">
      <c r="F228" s="408"/>
    </row>
  </sheetData>
  <mergeCells count="72">
    <mergeCell ref="A202:A209"/>
    <mergeCell ref="B202:B209"/>
    <mergeCell ref="B213:B219"/>
    <mergeCell ref="A187:A188"/>
    <mergeCell ref="B187:B188"/>
    <mergeCell ref="C187:C188"/>
    <mergeCell ref="D187:G187"/>
    <mergeCell ref="H187:L187"/>
    <mergeCell ref="A189:A196"/>
    <mergeCell ref="B189:B196"/>
    <mergeCell ref="A176:A177"/>
    <mergeCell ref="B176:B177"/>
    <mergeCell ref="C176:C177"/>
    <mergeCell ref="I176:O176"/>
    <mergeCell ref="A178:A185"/>
    <mergeCell ref="B178:B185"/>
    <mergeCell ref="A165:A172"/>
    <mergeCell ref="B165:B172"/>
    <mergeCell ref="A142:A143"/>
    <mergeCell ref="B142:B143"/>
    <mergeCell ref="C142:C143"/>
    <mergeCell ref="A153:A154"/>
    <mergeCell ref="B153:B154"/>
    <mergeCell ref="C153:C154"/>
    <mergeCell ref="A155:A162"/>
    <mergeCell ref="B155:B162"/>
    <mergeCell ref="J142:N142"/>
    <mergeCell ref="A144:A151"/>
    <mergeCell ref="B144:B151"/>
    <mergeCell ref="A120:A127"/>
    <mergeCell ref="B120:B127"/>
    <mergeCell ref="A129:A130"/>
    <mergeCell ref="B129:B130"/>
    <mergeCell ref="A131:A137"/>
    <mergeCell ref="B131:B137"/>
    <mergeCell ref="D118:D119"/>
    <mergeCell ref="A98:A105"/>
    <mergeCell ref="B98:B105"/>
    <mergeCell ref="A107:A108"/>
    <mergeCell ref="B107:B108"/>
    <mergeCell ref="C107:C108"/>
    <mergeCell ref="D107:D108"/>
    <mergeCell ref="A109:A116"/>
    <mergeCell ref="B109:B116"/>
    <mergeCell ref="A118:A119"/>
    <mergeCell ref="B118:B119"/>
    <mergeCell ref="C118:C119"/>
    <mergeCell ref="D96:E96"/>
    <mergeCell ref="A60:A61"/>
    <mergeCell ref="C60:C61"/>
    <mergeCell ref="D60:D61"/>
    <mergeCell ref="A62:A69"/>
    <mergeCell ref="B62:B69"/>
    <mergeCell ref="A72:A79"/>
    <mergeCell ref="B72:B79"/>
    <mergeCell ref="A85:A92"/>
    <mergeCell ref="B85:B92"/>
    <mergeCell ref="A96:A97"/>
    <mergeCell ref="B96:B97"/>
    <mergeCell ref="C96:C97"/>
    <mergeCell ref="A28:A35"/>
    <mergeCell ref="B28:B35"/>
    <mergeCell ref="A40:A47"/>
    <mergeCell ref="B40:B47"/>
    <mergeCell ref="A50:A58"/>
    <mergeCell ref="B50:B58"/>
    <mergeCell ref="D26:G26"/>
    <mergeCell ref="F3:O3"/>
    <mergeCell ref="A4:O10"/>
    <mergeCell ref="D15:G15"/>
    <mergeCell ref="A17:A24"/>
    <mergeCell ref="B17:B2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Y228"/>
  <sheetViews>
    <sheetView topLeftCell="A205" workbookViewId="0">
      <selection activeCell="E223" sqref="E223"/>
    </sheetView>
  </sheetViews>
  <sheetFormatPr defaultRowHeight="15"/>
  <cols>
    <col min="1" max="1" width="92.5703125" customWidth="1"/>
    <col min="2" max="2" width="37.85546875" customWidth="1"/>
    <col min="3" max="15" width="14.140625" customWidth="1"/>
  </cols>
  <sheetData>
    <row r="1" spans="1:25" s="1741" customFormat="1" ht="31.5">
      <c r="A1" s="1738" t="s">
        <v>0</v>
      </c>
      <c r="B1" s="1739" t="s">
        <v>570</v>
      </c>
      <c r="C1" s="1740"/>
      <c r="D1" s="1740"/>
      <c r="E1" s="1740"/>
      <c r="F1" s="1740"/>
    </row>
    <row r="2" spans="1:25" s="1741" customFormat="1" ht="20.100000000000001" customHeight="1" thickBot="1">
      <c r="A2"/>
      <c r="B2"/>
      <c r="C2"/>
      <c r="D2"/>
      <c r="E2"/>
      <c r="F2"/>
    </row>
    <row r="3" spans="1:25" s="1742" customFormat="1" ht="20.100000000000001" customHeight="1">
      <c r="A3" s="2645" t="s">
        <v>1</v>
      </c>
      <c r="B3" s="2645"/>
      <c r="C3" s="2645"/>
      <c r="D3" s="2645"/>
      <c r="E3" s="2645"/>
      <c r="F3" s="2646"/>
      <c r="G3" s="2646"/>
      <c r="H3" s="2646"/>
      <c r="I3" s="2646"/>
      <c r="J3" s="2646"/>
      <c r="K3" s="2646"/>
      <c r="L3" s="2646"/>
      <c r="M3" s="2646"/>
      <c r="N3" s="2646"/>
      <c r="O3" s="2646"/>
    </row>
    <row r="4" spans="1:25" ht="20.100000000000001" customHeight="1" thickBot="1">
      <c r="A4" s="2647" t="s">
        <v>553</v>
      </c>
      <c r="B4" s="2647"/>
      <c r="C4" s="2647"/>
      <c r="D4" s="2647"/>
      <c r="E4" s="2647"/>
      <c r="F4" s="2647"/>
      <c r="G4" s="2647"/>
      <c r="H4" s="2647"/>
      <c r="I4" s="2647"/>
      <c r="J4" s="2647"/>
      <c r="K4" s="2647"/>
      <c r="L4" s="2647"/>
      <c r="M4" s="2647"/>
      <c r="N4" s="2647"/>
      <c r="O4" s="2647"/>
    </row>
    <row r="5" spans="1:25" ht="20.100000000000001" customHeight="1" thickBot="1">
      <c r="A5" s="2647"/>
      <c r="B5" s="2647"/>
      <c r="C5" s="2647"/>
      <c r="D5" s="2647"/>
      <c r="E5" s="2647"/>
      <c r="F5" s="2647"/>
      <c r="G5" s="2647"/>
      <c r="H5" s="2647"/>
      <c r="I5" s="2647"/>
      <c r="J5" s="2647"/>
      <c r="K5" s="2647"/>
      <c r="L5" s="2647"/>
      <c r="M5" s="2647"/>
      <c r="N5" s="2647"/>
      <c r="O5" s="2647"/>
    </row>
    <row r="6" spans="1:25" ht="20.100000000000001" customHeight="1" thickBot="1">
      <c r="A6" s="2647"/>
      <c r="B6" s="2647"/>
      <c r="C6" s="2647"/>
      <c r="D6" s="2647"/>
      <c r="E6" s="2647"/>
      <c r="F6" s="2647"/>
      <c r="G6" s="2647"/>
      <c r="H6" s="2647"/>
      <c r="I6" s="2647"/>
      <c r="J6" s="2647"/>
      <c r="K6" s="2647"/>
      <c r="L6" s="2647"/>
      <c r="M6" s="2647"/>
      <c r="N6" s="2647"/>
      <c r="O6" s="2647"/>
    </row>
    <row r="7" spans="1:25" ht="20.100000000000001" customHeight="1" thickBot="1">
      <c r="A7" s="2647"/>
      <c r="B7" s="2647"/>
      <c r="C7" s="2647"/>
      <c r="D7" s="2647"/>
      <c r="E7" s="2647"/>
      <c r="F7" s="2647"/>
      <c r="G7" s="2647"/>
      <c r="H7" s="2647"/>
      <c r="I7" s="2647"/>
      <c r="J7" s="2647"/>
      <c r="K7" s="2647"/>
      <c r="L7" s="2647"/>
      <c r="M7" s="2647"/>
      <c r="N7" s="2647"/>
      <c r="O7" s="2647"/>
    </row>
    <row r="8" spans="1:25" ht="20.100000000000001" customHeight="1" thickBot="1">
      <c r="A8" s="2647"/>
      <c r="B8" s="2647"/>
      <c r="C8" s="2647"/>
      <c r="D8" s="2647"/>
      <c r="E8" s="2647"/>
      <c r="F8" s="2647"/>
      <c r="G8" s="2647"/>
      <c r="H8" s="2647"/>
      <c r="I8" s="2647"/>
      <c r="J8" s="2647"/>
      <c r="K8" s="2647"/>
      <c r="L8" s="2647"/>
      <c r="M8" s="2647"/>
      <c r="N8" s="2647"/>
      <c r="O8" s="2647"/>
    </row>
    <row r="9" spans="1:25" ht="20.100000000000001" customHeight="1" thickBot="1">
      <c r="A9" s="2647"/>
      <c r="B9" s="2647"/>
      <c r="C9" s="2647"/>
      <c r="D9" s="2647"/>
      <c r="E9" s="2647"/>
      <c r="F9" s="2647"/>
      <c r="G9" s="2647"/>
      <c r="H9" s="2647"/>
      <c r="I9" s="2647"/>
      <c r="J9" s="2647"/>
      <c r="K9" s="2647"/>
      <c r="L9" s="2647"/>
      <c r="M9" s="2647"/>
      <c r="N9" s="2647"/>
      <c r="O9" s="2647"/>
    </row>
    <row r="10" spans="1:25" ht="87" customHeight="1" thickBot="1">
      <c r="A10" s="2647"/>
      <c r="B10" s="2647"/>
      <c r="C10" s="2647"/>
      <c r="D10" s="2647"/>
      <c r="E10" s="2647"/>
      <c r="F10" s="2647"/>
      <c r="G10" s="2647"/>
      <c r="H10" s="2647"/>
      <c r="I10" s="2647"/>
      <c r="J10" s="2647"/>
      <c r="K10" s="2647"/>
      <c r="L10" s="2647"/>
      <c r="M10" s="2647"/>
      <c r="N10" s="2647"/>
      <c r="O10" s="2647"/>
    </row>
    <row r="11" spans="1:25" s="1741" customFormat="1" ht="20.100000000000001" customHeight="1"/>
    <row r="13" spans="1:25" ht="21">
      <c r="A13" s="1743" t="s">
        <v>3</v>
      </c>
      <c r="B13" s="1743"/>
      <c r="C13" s="1744"/>
      <c r="D13" s="1744"/>
      <c r="E13" s="1744"/>
      <c r="F13" s="1744"/>
      <c r="G13" s="1744"/>
      <c r="H13" s="1744"/>
      <c r="I13" s="1744"/>
      <c r="J13" s="1744"/>
      <c r="K13" s="1744"/>
      <c r="L13" s="1744"/>
      <c r="M13" s="1744"/>
      <c r="N13" s="1744"/>
      <c r="O13" s="1744"/>
    </row>
    <row r="14" spans="1:25" ht="15.75" thickBot="1">
      <c r="P14" s="8"/>
      <c r="Q14" s="8"/>
      <c r="R14" s="8"/>
      <c r="S14" s="8"/>
      <c r="T14" s="8"/>
      <c r="U14" s="8"/>
      <c r="V14" s="8"/>
      <c r="W14" s="8"/>
      <c r="X14" s="8"/>
    </row>
    <row r="15" spans="1:25" s="19" customFormat="1" ht="22.5" customHeight="1">
      <c r="A15" s="1745"/>
      <c r="B15" s="1746"/>
      <c r="C15" s="1976"/>
      <c r="D15" s="2648" t="s">
        <v>4</v>
      </c>
      <c r="E15" s="2648"/>
      <c r="F15" s="2648"/>
      <c r="G15" s="2648"/>
      <c r="H15" s="1747"/>
      <c r="I15" s="1748" t="s">
        <v>5</v>
      </c>
      <c r="J15" s="1749"/>
      <c r="K15" s="1749"/>
      <c r="L15" s="1749"/>
      <c r="M15" s="1749"/>
      <c r="N15" s="1749"/>
      <c r="O15" s="1750"/>
      <c r="P15" s="1751"/>
      <c r="Q15" s="1752"/>
      <c r="R15" s="1753"/>
      <c r="S15" s="1753"/>
      <c r="T15" s="1753"/>
      <c r="U15" s="1753"/>
      <c r="V15" s="1753"/>
      <c r="W15" s="1751"/>
      <c r="X15" s="1751"/>
      <c r="Y15" s="1752"/>
    </row>
    <row r="16" spans="1:25" s="31" customFormat="1" ht="129" customHeight="1">
      <c r="A16" s="1754" t="s">
        <v>6</v>
      </c>
      <c r="B16" s="1755" t="s">
        <v>554</v>
      </c>
      <c r="C16" s="1756" t="s">
        <v>8</v>
      </c>
      <c r="D16" s="1757" t="s">
        <v>9</v>
      </c>
      <c r="E16" s="1758" t="s">
        <v>10</v>
      </c>
      <c r="F16" s="1758" t="s">
        <v>11</v>
      </c>
      <c r="G16" s="1759" t="s">
        <v>12</v>
      </c>
      <c r="H16" s="1760" t="s">
        <v>13</v>
      </c>
      <c r="I16" s="1761" t="s">
        <v>14</v>
      </c>
      <c r="J16" s="1761" t="s">
        <v>15</v>
      </c>
      <c r="K16" s="1761" t="s">
        <v>16</v>
      </c>
      <c r="L16" s="1761" t="s">
        <v>312</v>
      </c>
      <c r="M16" s="1762" t="s">
        <v>18</v>
      </c>
      <c r="N16" s="1761" t="s">
        <v>19</v>
      </c>
      <c r="O16" s="1763" t="s">
        <v>20</v>
      </c>
      <c r="P16" s="1764"/>
      <c r="Q16" s="1764"/>
      <c r="R16" s="1764"/>
      <c r="S16" s="1764"/>
      <c r="T16" s="1764"/>
      <c r="U16" s="1764"/>
      <c r="V16" s="1764"/>
      <c r="W16" s="1764"/>
      <c r="X16" s="1764"/>
      <c r="Y16" s="1764"/>
    </row>
    <row r="17" spans="1:25" ht="15" customHeight="1" thickBot="1">
      <c r="A17" s="2622" t="s">
        <v>555</v>
      </c>
      <c r="B17" s="2622"/>
      <c r="C17" s="1765">
        <v>2014</v>
      </c>
      <c r="D17" s="1766"/>
      <c r="E17" s="1767"/>
      <c r="F17" s="1767"/>
      <c r="G17" s="1768">
        <f>SUM(D17:F17)</f>
        <v>0</v>
      </c>
      <c r="H17" s="1769"/>
      <c r="I17" s="1767"/>
      <c r="J17" s="1767"/>
      <c r="K17" s="1767"/>
      <c r="L17" s="1767"/>
      <c r="M17" s="1767"/>
      <c r="N17" s="1767"/>
      <c r="O17" s="1770"/>
      <c r="P17" s="8"/>
      <c r="Q17" s="8"/>
      <c r="R17" s="8"/>
      <c r="S17" s="8"/>
      <c r="T17" s="8"/>
      <c r="U17" s="8"/>
      <c r="V17" s="8"/>
      <c r="W17" s="8"/>
      <c r="X17" s="8"/>
      <c r="Y17" s="8"/>
    </row>
    <row r="18" spans="1:25" ht="15.75" thickBot="1">
      <c r="A18" s="2622"/>
      <c r="B18" s="2622"/>
      <c r="C18" s="39">
        <v>2015</v>
      </c>
      <c r="D18" s="50">
        <v>0</v>
      </c>
      <c r="E18" s="50">
        <v>42</v>
      </c>
      <c r="F18" s="50">
        <v>1</v>
      </c>
      <c r="G18" s="1768">
        <f>SUM(D18:F18)</f>
        <v>43</v>
      </c>
      <c r="H18" s="51">
        <v>7</v>
      </c>
      <c r="I18" s="50">
        <v>1</v>
      </c>
      <c r="J18" s="50">
        <v>2</v>
      </c>
      <c r="K18" s="50">
        <v>3</v>
      </c>
      <c r="L18" s="50">
        <v>0</v>
      </c>
      <c r="M18" s="50">
        <v>0</v>
      </c>
      <c r="N18" s="50">
        <v>2</v>
      </c>
      <c r="O18" s="1771">
        <v>28</v>
      </c>
      <c r="P18" s="8"/>
      <c r="Q18" s="8"/>
      <c r="R18" s="8"/>
      <c r="S18" s="8"/>
      <c r="T18" s="8"/>
      <c r="U18" s="8"/>
      <c r="V18" s="8"/>
      <c r="W18" s="8"/>
      <c r="X18" s="8"/>
      <c r="Y18" s="8"/>
    </row>
    <row r="19" spans="1:25" ht="15.75" thickBot="1">
      <c r="A19" s="2622"/>
      <c r="B19" s="2622"/>
      <c r="C19" s="39">
        <v>2016</v>
      </c>
      <c r="D19" s="50">
        <v>1</v>
      </c>
      <c r="E19" s="42">
        <v>25</v>
      </c>
      <c r="F19" s="42">
        <v>3</v>
      </c>
      <c r="G19" s="1768">
        <f>'[1]RAZEM GZ'!G19+'[1]RAZEM PB'!G19+'[1]RAZEM ROW'!G19+'[1]RAZEM SSO'!G19+'[1]RAZEM SAR'!G19+'[1]RAZEM RR'!G19+'[1]RAZEM BPT'!G19</f>
        <v>29</v>
      </c>
      <c r="H19" s="51">
        <v>6</v>
      </c>
      <c r="I19" s="42">
        <v>13</v>
      </c>
      <c r="J19" s="42">
        <v>0</v>
      </c>
      <c r="K19" s="42">
        <v>4</v>
      </c>
      <c r="L19" s="42">
        <v>1</v>
      </c>
      <c r="M19" s="42">
        <v>0</v>
      </c>
      <c r="N19" s="42">
        <v>0</v>
      </c>
      <c r="O19" s="1772">
        <v>5</v>
      </c>
      <c r="P19" s="8"/>
      <c r="Q19" s="8"/>
      <c r="R19" s="8"/>
      <c r="S19" s="8"/>
      <c r="T19" s="8"/>
      <c r="U19" s="8"/>
      <c r="V19" s="8"/>
      <c r="W19" s="8"/>
      <c r="X19" s="8"/>
      <c r="Y19" s="8"/>
    </row>
    <row r="20" spans="1:25" ht="15.75" thickBot="1">
      <c r="A20" s="2622"/>
      <c r="B20" s="2622"/>
      <c r="C20" s="39">
        <v>2017</v>
      </c>
      <c r="D20" s="50"/>
      <c r="E20" s="42"/>
      <c r="F20" s="42"/>
      <c r="G20" s="1768">
        <f>SUM(D20:F20)</f>
        <v>0</v>
      </c>
      <c r="H20" s="51"/>
      <c r="I20" s="42"/>
      <c r="J20" s="42"/>
      <c r="K20" s="42"/>
      <c r="L20" s="42"/>
      <c r="M20" s="42"/>
      <c r="N20" s="42"/>
      <c r="O20" s="1772"/>
      <c r="P20" s="8"/>
      <c r="Q20" s="8"/>
      <c r="R20" s="8"/>
      <c r="S20" s="8"/>
      <c r="T20" s="8"/>
      <c r="U20" s="8"/>
      <c r="V20" s="8"/>
      <c r="W20" s="8"/>
      <c r="X20" s="8"/>
      <c r="Y20" s="8"/>
    </row>
    <row r="21" spans="1:25" ht="15.75" thickBot="1">
      <c r="A21" s="2622"/>
      <c r="B21" s="2622"/>
      <c r="C21" s="39">
        <v>2018</v>
      </c>
      <c r="D21" s="50"/>
      <c r="E21" s="42"/>
      <c r="F21" s="42"/>
      <c r="G21" s="1768">
        <f>SUM(D21:F21)</f>
        <v>0</v>
      </c>
      <c r="H21" s="51"/>
      <c r="I21" s="42"/>
      <c r="J21" s="42"/>
      <c r="K21" s="42"/>
      <c r="L21" s="42"/>
      <c r="M21" s="42"/>
      <c r="N21" s="42"/>
      <c r="O21" s="1772"/>
      <c r="P21" s="8"/>
      <c r="Q21" s="8"/>
      <c r="R21" s="8"/>
      <c r="S21" s="8"/>
      <c r="T21" s="8"/>
      <c r="U21" s="8"/>
      <c r="V21" s="8"/>
      <c r="W21" s="8"/>
      <c r="X21" s="8"/>
      <c r="Y21" s="8"/>
    </row>
    <row r="22" spans="1:25" ht="15.75" thickBot="1">
      <c r="A22" s="2622"/>
      <c r="B22" s="2622"/>
      <c r="C22" s="39">
        <v>2019</v>
      </c>
      <c r="D22" s="50"/>
      <c r="E22" s="42"/>
      <c r="F22" s="42"/>
      <c r="G22" s="1768">
        <f>SUM(D22:F22)</f>
        <v>0</v>
      </c>
      <c r="H22" s="51"/>
      <c r="I22" s="42"/>
      <c r="J22" s="42"/>
      <c r="K22" s="42"/>
      <c r="L22" s="42"/>
      <c r="M22" s="42"/>
      <c r="N22" s="42"/>
      <c r="O22" s="1772"/>
      <c r="P22" s="8"/>
      <c r="Q22" s="8"/>
      <c r="R22" s="8"/>
      <c r="S22" s="8"/>
      <c r="T22" s="8"/>
      <c r="U22" s="8"/>
      <c r="V22" s="8"/>
      <c r="W22" s="8"/>
      <c r="X22" s="8"/>
      <c r="Y22" s="8"/>
    </row>
    <row r="23" spans="1:25" ht="15.75" thickBot="1">
      <c r="A23" s="2622"/>
      <c r="B23" s="2622"/>
      <c r="C23" s="39">
        <v>2020</v>
      </c>
      <c r="D23" s="50"/>
      <c r="E23" s="42"/>
      <c r="F23" s="42"/>
      <c r="G23" s="1768">
        <f>SUM(D23:F23)</f>
        <v>0</v>
      </c>
      <c r="H23" s="51"/>
      <c r="I23" s="42"/>
      <c r="J23" s="42"/>
      <c r="K23" s="42"/>
      <c r="L23" s="42"/>
      <c r="M23" s="42"/>
      <c r="N23" s="42"/>
      <c r="O23" s="1772"/>
      <c r="P23" s="8"/>
      <c r="Q23" s="8"/>
      <c r="R23" s="8"/>
      <c r="S23" s="8"/>
      <c r="T23" s="8"/>
      <c r="U23" s="8"/>
      <c r="V23" s="8"/>
      <c r="W23" s="8"/>
      <c r="X23" s="8"/>
      <c r="Y23" s="8"/>
    </row>
    <row r="24" spans="1:25" ht="19.5" customHeight="1" thickBot="1">
      <c r="A24" s="2622"/>
      <c r="B24" s="2622"/>
      <c r="C24" s="1773" t="s">
        <v>12</v>
      </c>
      <c r="D24" s="1774">
        <f>SUM(D17:D23)</f>
        <v>1</v>
      </c>
      <c r="E24" s="1775">
        <f>SUM(E17:E23)</f>
        <v>67</v>
      </c>
      <c r="F24" s="1775">
        <f>SUM(F17:F23)</f>
        <v>4</v>
      </c>
      <c r="G24" s="1776">
        <f>SUM(D24:F24)</f>
        <v>72</v>
      </c>
      <c r="H24" s="1777">
        <f t="shared" ref="H24:O24" si="0">SUM(H17:H23)</f>
        <v>13</v>
      </c>
      <c r="I24" s="1778">
        <f t="shared" si="0"/>
        <v>14</v>
      </c>
      <c r="J24" s="1778">
        <f t="shared" si="0"/>
        <v>2</v>
      </c>
      <c r="K24" s="1778">
        <f t="shared" si="0"/>
        <v>7</v>
      </c>
      <c r="L24" s="1778">
        <f t="shared" si="0"/>
        <v>1</v>
      </c>
      <c r="M24" s="1778">
        <f t="shared" si="0"/>
        <v>0</v>
      </c>
      <c r="N24" s="1778">
        <f t="shared" si="0"/>
        <v>2</v>
      </c>
      <c r="O24" s="1779">
        <f t="shared" si="0"/>
        <v>33</v>
      </c>
      <c r="P24" s="8"/>
      <c r="Q24" s="8"/>
      <c r="R24" s="8"/>
      <c r="S24" s="8"/>
      <c r="T24" s="8"/>
      <c r="U24" s="8"/>
      <c r="V24" s="8"/>
      <c r="W24" s="8"/>
      <c r="X24" s="8"/>
      <c r="Y24" s="8"/>
    </row>
    <row r="25" spans="1:25" ht="15.75" thickBot="1">
      <c r="C25" s="1780"/>
      <c r="H25" s="8"/>
      <c r="I25" s="8"/>
      <c r="J25" s="8"/>
      <c r="K25" s="8"/>
      <c r="L25" s="8"/>
      <c r="M25" s="8"/>
      <c r="N25" s="8"/>
      <c r="O25" s="8"/>
      <c r="P25" s="8"/>
      <c r="Q25" s="8"/>
    </row>
    <row r="26" spans="1:25" s="19" customFormat="1" ht="30.75" customHeight="1">
      <c r="A26" s="1745"/>
      <c r="B26" s="1746"/>
      <c r="C26" s="1781"/>
      <c r="D26" s="2644" t="s">
        <v>4</v>
      </c>
      <c r="E26" s="2644"/>
      <c r="F26" s="2644"/>
      <c r="G26" s="2644"/>
      <c r="H26" s="1751"/>
      <c r="I26" s="1752"/>
      <c r="J26" s="1753"/>
      <c r="K26" s="1753"/>
      <c r="L26" s="1753"/>
      <c r="M26" s="1753"/>
      <c r="N26" s="1753"/>
      <c r="O26" s="1751"/>
      <c r="P26" s="1751"/>
    </row>
    <row r="27" spans="1:25" s="31" customFormat="1" ht="93" customHeight="1">
      <c r="A27" s="1782" t="s">
        <v>22</v>
      </c>
      <c r="B27" s="1755" t="s">
        <v>554</v>
      </c>
      <c r="C27" s="1783" t="s">
        <v>8</v>
      </c>
      <c r="D27" s="1784" t="s">
        <v>9</v>
      </c>
      <c r="E27" s="1758" t="s">
        <v>10</v>
      </c>
      <c r="F27" s="1758" t="s">
        <v>11</v>
      </c>
      <c r="G27" s="1785" t="s">
        <v>12</v>
      </c>
      <c r="H27" s="1764"/>
      <c r="I27" s="1764"/>
      <c r="J27" s="1764"/>
      <c r="K27" s="1764"/>
      <c r="L27" s="1764"/>
      <c r="M27" s="1764"/>
      <c r="N27" s="1764"/>
      <c r="O27" s="1764"/>
      <c r="P27" s="1764"/>
      <c r="Q27" s="19"/>
    </row>
    <row r="28" spans="1:25" ht="15" customHeight="1" thickBot="1">
      <c r="A28" s="2622" t="s">
        <v>556</v>
      </c>
      <c r="B28" s="2622"/>
      <c r="C28" s="1786">
        <v>2014</v>
      </c>
      <c r="D28" s="1769"/>
      <c r="E28" s="1767"/>
      <c r="F28" s="1767"/>
      <c r="G28" s="1787">
        <f t="shared" ref="G28:G35" si="1">SUM(D28:F28)</f>
        <v>0</v>
      </c>
      <c r="H28" s="8"/>
      <c r="I28" s="8"/>
      <c r="J28" s="8"/>
      <c r="K28" s="8"/>
      <c r="L28" s="8"/>
      <c r="M28" s="8"/>
      <c r="N28" s="8"/>
      <c r="O28" s="8"/>
      <c r="P28" s="8"/>
      <c r="Q28" s="8"/>
    </row>
    <row r="29" spans="1:25" ht="15.75" thickBot="1">
      <c r="A29" s="2622"/>
      <c r="B29" s="2622"/>
      <c r="C29" s="70">
        <v>2015</v>
      </c>
      <c r="D29" s="50">
        <v>0</v>
      </c>
      <c r="E29" s="50">
        <f>275394+1026</f>
        <v>276420</v>
      </c>
      <c r="F29" s="50">
        <v>26</v>
      </c>
      <c r="G29" s="1787">
        <f t="shared" si="1"/>
        <v>276446</v>
      </c>
      <c r="H29" s="8"/>
      <c r="I29" s="8"/>
      <c r="J29" s="8"/>
      <c r="K29" s="8"/>
      <c r="L29" s="8"/>
      <c r="M29" s="8"/>
      <c r="N29" s="8"/>
      <c r="O29" s="8"/>
      <c r="P29" s="8"/>
      <c r="Q29" s="8"/>
    </row>
    <row r="30" spans="1:25" ht="15.75" thickBot="1">
      <c r="A30" s="2622"/>
      <c r="B30" s="2622"/>
      <c r="C30" s="70">
        <v>2016</v>
      </c>
      <c r="D30" s="50">
        <v>200</v>
      </c>
      <c r="E30" s="50">
        <v>594270</v>
      </c>
      <c r="F30" s="50">
        <v>428554</v>
      </c>
      <c r="G30" s="1787">
        <f t="shared" si="1"/>
        <v>1023024</v>
      </c>
      <c r="H30" s="8"/>
      <c r="I30" s="8"/>
      <c r="J30" s="8"/>
      <c r="K30" s="8"/>
      <c r="L30" s="8"/>
      <c r="M30" s="8"/>
      <c r="N30" s="8"/>
      <c r="O30" s="8"/>
      <c r="P30" s="8"/>
      <c r="Q30" s="8"/>
    </row>
    <row r="31" spans="1:25" ht="15.75" thickBot="1">
      <c r="A31" s="2622"/>
      <c r="B31" s="2622"/>
      <c r="C31" s="70">
        <v>2017</v>
      </c>
      <c r="D31" s="51"/>
      <c r="E31" s="42"/>
      <c r="F31" s="42"/>
      <c r="G31" s="1787">
        <f t="shared" si="1"/>
        <v>0</v>
      </c>
      <c r="H31" s="8"/>
      <c r="I31" s="8"/>
      <c r="J31" s="8"/>
      <c r="K31" s="8"/>
      <c r="L31" s="8"/>
      <c r="M31" s="8"/>
      <c r="N31" s="8"/>
      <c r="O31" s="8"/>
      <c r="P31" s="8"/>
      <c r="Q31" s="8"/>
    </row>
    <row r="32" spans="1:25" ht="15.75" thickBot="1">
      <c r="A32" s="2622"/>
      <c r="B32" s="2622"/>
      <c r="C32" s="70">
        <v>2018</v>
      </c>
      <c r="D32" s="51"/>
      <c r="E32" s="42"/>
      <c r="F32" s="42"/>
      <c r="G32" s="1787">
        <f t="shared" si="1"/>
        <v>0</v>
      </c>
      <c r="H32" s="8"/>
      <c r="I32" s="8"/>
      <c r="J32" s="8"/>
      <c r="K32" s="8"/>
      <c r="L32" s="8"/>
      <c r="M32" s="8"/>
      <c r="N32" s="8"/>
      <c r="O32" s="8"/>
      <c r="P32" s="8"/>
      <c r="Q32" s="8"/>
    </row>
    <row r="33" spans="1:17" ht="15.75" thickBot="1">
      <c r="A33" s="2622"/>
      <c r="B33" s="2622"/>
      <c r="C33" s="70">
        <v>2019</v>
      </c>
      <c r="D33" s="51"/>
      <c r="E33" s="42"/>
      <c r="F33" s="42"/>
      <c r="G33" s="1787">
        <f t="shared" si="1"/>
        <v>0</v>
      </c>
      <c r="H33" s="8"/>
      <c r="I33" s="8"/>
      <c r="J33" s="8"/>
      <c r="K33" s="8"/>
      <c r="L33" s="8"/>
      <c r="M33" s="8"/>
      <c r="N33" s="8"/>
      <c r="O33" s="8"/>
      <c r="P33" s="8"/>
      <c r="Q33" s="8"/>
    </row>
    <row r="34" spans="1:17" ht="15.75" thickBot="1">
      <c r="A34" s="2622"/>
      <c r="B34" s="2622"/>
      <c r="C34" s="70">
        <v>2020</v>
      </c>
      <c r="D34" s="51"/>
      <c r="E34" s="42"/>
      <c r="F34" s="42"/>
      <c r="G34" s="1787">
        <f t="shared" si="1"/>
        <v>0</v>
      </c>
      <c r="H34" s="8"/>
      <c r="I34" s="8"/>
      <c r="J34" s="8"/>
      <c r="K34" s="8"/>
      <c r="L34" s="8"/>
      <c r="M34" s="8"/>
      <c r="N34" s="8"/>
      <c r="O34" s="8"/>
      <c r="P34" s="8"/>
      <c r="Q34" s="8"/>
    </row>
    <row r="35" spans="1:17" ht="149.25" customHeight="1" thickBot="1">
      <c r="A35" s="2622"/>
      <c r="B35" s="2622"/>
      <c r="C35" s="1788" t="s">
        <v>12</v>
      </c>
      <c r="D35" s="1777">
        <f>SUM(D28:D34)</f>
        <v>200</v>
      </c>
      <c r="E35" s="1775">
        <f>SUM(E28:E34)</f>
        <v>870690</v>
      </c>
      <c r="F35" s="1775">
        <f>SUM(F28:F34)</f>
        <v>428580</v>
      </c>
      <c r="G35" s="1779">
        <f t="shared" si="1"/>
        <v>1299470</v>
      </c>
      <c r="H35" s="8"/>
      <c r="I35" s="8"/>
      <c r="J35" s="8"/>
      <c r="K35" s="8"/>
      <c r="L35" s="8"/>
      <c r="M35" s="8"/>
      <c r="N35" s="8"/>
      <c r="O35" s="8"/>
      <c r="P35" s="8"/>
      <c r="Q35" s="8"/>
    </row>
    <row r="36" spans="1:17">
      <c r="A36" s="74"/>
      <c r="B36" s="74"/>
      <c r="C36" s="1780"/>
      <c r="H36" s="8"/>
      <c r="I36" s="8"/>
      <c r="J36" s="8"/>
      <c r="K36" s="8"/>
      <c r="L36" s="8"/>
      <c r="M36" s="8"/>
      <c r="N36" s="8"/>
      <c r="O36" s="8"/>
      <c r="P36" s="8"/>
      <c r="Q36" s="8"/>
    </row>
    <row r="37" spans="1:17" ht="21">
      <c r="A37" s="1789" t="s">
        <v>24</v>
      </c>
      <c r="B37" s="1789"/>
      <c r="C37" s="1790"/>
      <c r="D37" s="1790"/>
      <c r="E37" s="1790"/>
      <c r="F37" s="8"/>
      <c r="G37" s="8"/>
      <c r="H37" s="8"/>
    </row>
    <row r="38" spans="1:17" ht="15.75" thickBot="1">
      <c r="G38" s="8"/>
      <c r="H38" s="8"/>
    </row>
    <row r="39" spans="1:17" ht="52.5">
      <c r="A39" s="1791" t="s">
        <v>25</v>
      </c>
      <c r="B39" s="1792" t="s">
        <v>554</v>
      </c>
      <c r="C39" s="1793" t="s">
        <v>8</v>
      </c>
      <c r="D39" s="1794" t="s">
        <v>26</v>
      </c>
      <c r="E39" s="1795" t="s">
        <v>27</v>
      </c>
      <c r="F39" s="1796"/>
      <c r="G39" s="1764"/>
      <c r="H39" s="1764"/>
    </row>
    <row r="40" spans="1:17" ht="15.75" thickBot="1">
      <c r="A40" s="2622" t="s">
        <v>557</v>
      </c>
      <c r="B40" s="2622"/>
      <c r="C40" s="1797">
        <v>2014</v>
      </c>
      <c r="D40" s="1766"/>
      <c r="E40" s="1765"/>
      <c r="F40" s="8"/>
      <c r="G40" s="8"/>
      <c r="H40" s="8"/>
    </row>
    <row r="41" spans="1:17" ht="15.75" thickBot="1">
      <c r="A41" s="2622"/>
      <c r="B41" s="2622"/>
      <c r="C41" s="232">
        <v>2015</v>
      </c>
      <c r="D41" s="50">
        <v>169681</v>
      </c>
      <c r="E41" s="39">
        <v>37883</v>
      </c>
      <c r="F41" s="8"/>
      <c r="G41" s="8"/>
      <c r="H41" s="8"/>
    </row>
    <row r="42" spans="1:17" ht="15.75" thickBot="1">
      <c r="A42" s="2622"/>
      <c r="B42" s="2622"/>
      <c r="C42" s="232">
        <v>2016</v>
      </c>
      <c r="D42" s="50">
        <v>0</v>
      </c>
      <c r="E42" s="50">
        <v>0</v>
      </c>
      <c r="F42" s="8"/>
      <c r="G42" s="8"/>
      <c r="H42" s="8"/>
    </row>
    <row r="43" spans="1:17" ht="15.75" thickBot="1">
      <c r="A43" s="2622"/>
      <c r="B43" s="2622"/>
      <c r="C43" s="232">
        <v>2017</v>
      </c>
      <c r="D43" s="50"/>
      <c r="E43" s="39"/>
      <c r="F43" s="8"/>
      <c r="G43" s="8"/>
      <c r="H43" s="8"/>
    </row>
    <row r="44" spans="1:17" ht="15.75" thickBot="1">
      <c r="A44" s="2622"/>
      <c r="B44" s="2622"/>
      <c r="C44" s="232">
        <v>2018</v>
      </c>
      <c r="D44" s="50"/>
      <c r="E44" s="39"/>
      <c r="F44" s="8"/>
      <c r="G44" s="8"/>
      <c r="H44" s="8"/>
    </row>
    <row r="45" spans="1:17" ht="15.75" thickBot="1">
      <c r="A45" s="2622"/>
      <c r="B45" s="2622"/>
      <c r="C45" s="232">
        <v>2019</v>
      </c>
      <c r="D45" s="50"/>
      <c r="E45" s="39"/>
      <c r="F45" s="8"/>
      <c r="G45" s="8"/>
      <c r="H45" s="8"/>
    </row>
    <row r="46" spans="1:17" ht="15.75" thickBot="1">
      <c r="A46" s="2622"/>
      <c r="B46" s="2622"/>
      <c r="C46" s="232">
        <v>2020</v>
      </c>
      <c r="D46" s="50"/>
      <c r="E46" s="39"/>
      <c r="F46" s="8"/>
      <c r="G46" s="8"/>
      <c r="H46" s="8"/>
    </row>
    <row r="47" spans="1:17" ht="15.75" thickBot="1">
      <c r="A47" s="2622"/>
      <c r="B47" s="2622"/>
      <c r="C47" s="1773" t="s">
        <v>12</v>
      </c>
      <c r="D47" s="1774">
        <f>SUM(D40:D46)</f>
        <v>169681</v>
      </c>
      <c r="E47" s="1798">
        <f>SUM(E40:E46)</f>
        <v>37883</v>
      </c>
      <c r="F47" s="1799"/>
      <c r="G47" s="8"/>
      <c r="H47" s="8"/>
    </row>
    <row r="48" spans="1:17" s="8" customFormat="1" ht="15.75" thickBot="1">
      <c r="A48" s="1800"/>
      <c r="B48" s="1801"/>
      <c r="C48" s="1802"/>
    </row>
    <row r="49" spans="1:15" ht="116.25">
      <c r="A49" s="1803" t="s">
        <v>29</v>
      </c>
      <c r="B49" s="1792" t="s">
        <v>554</v>
      </c>
      <c r="C49" s="1804" t="s">
        <v>8</v>
      </c>
      <c r="D49" s="1794" t="s">
        <v>30</v>
      </c>
      <c r="E49" s="1805" t="s">
        <v>31</v>
      </c>
      <c r="F49" s="1805" t="s">
        <v>32</v>
      </c>
      <c r="G49" s="1805" t="s">
        <v>33</v>
      </c>
      <c r="H49" s="1805" t="s">
        <v>34</v>
      </c>
      <c r="I49" s="1805" t="s">
        <v>35</v>
      </c>
      <c r="J49" s="1805" t="s">
        <v>36</v>
      </c>
      <c r="K49" s="1806" t="s">
        <v>37</v>
      </c>
    </row>
    <row r="50" spans="1:15" ht="15.75" thickBot="1">
      <c r="A50" s="2641" t="s">
        <v>557</v>
      </c>
      <c r="B50" s="2641"/>
      <c r="C50" s="1807" t="s">
        <v>38</v>
      </c>
      <c r="D50" s="1766"/>
      <c r="E50" s="1767"/>
      <c r="F50" s="1767"/>
      <c r="G50" s="1767"/>
      <c r="H50" s="1767"/>
      <c r="I50" s="1767"/>
      <c r="J50" s="1767"/>
      <c r="K50" s="1770"/>
    </row>
    <row r="51" spans="1:15" ht="15.75" thickBot="1">
      <c r="A51" s="2641"/>
      <c r="B51" s="2641"/>
      <c r="C51" s="232">
        <v>2014</v>
      </c>
      <c r="D51" s="50"/>
      <c r="E51" s="42"/>
      <c r="F51" s="42"/>
      <c r="G51" s="42"/>
      <c r="H51" s="42"/>
      <c r="I51" s="42"/>
      <c r="J51" s="42"/>
      <c r="K51" s="99"/>
    </row>
    <row r="52" spans="1:15" ht="15.75" thickBot="1">
      <c r="A52" s="2641"/>
      <c r="B52" s="2641"/>
      <c r="C52" s="232">
        <v>2015</v>
      </c>
      <c r="D52" s="50">
        <v>2</v>
      </c>
      <c r="E52" s="42"/>
      <c r="F52" s="42"/>
      <c r="G52" s="42">
        <v>563</v>
      </c>
      <c r="H52" s="42">
        <v>9</v>
      </c>
      <c r="I52" s="42">
        <v>11</v>
      </c>
      <c r="J52" s="42">
        <v>66</v>
      </c>
      <c r="K52" s="99">
        <v>1719</v>
      </c>
    </row>
    <row r="53" spans="1:15" ht="15.75" thickBot="1">
      <c r="A53" s="2641"/>
      <c r="B53" s="2641"/>
      <c r="C53" s="232">
        <v>2016</v>
      </c>
      <c r="D53" s="50">
        <v>0</v>
      </c>
      <c r="E53" s="50">
        <v>0</v>
      </c>
      <c r="F53" s="50">
        <v>0</v>
      </c>
      <c r="G53" s="50">
        <v>0</v>
      </c>
      <c r="H53" s="50">
        <v>0</v>
      </c>
      <c r="I53" s="50">
        <v>0</v>
      </c>
      <c r="J53" s="50">
        <v>0</v>
      </c>
      <c r="K53" s="50">
        <v>0</v>
      </c>
    </row>
    <row r="54" spans="1:15" ht="15.75" thickBot="1">
      <c r="A54" s="2641"/>
      <c r="B54" s="2641"/>
      <c r="C54" s="232">
        <v>2017</v>
      </c>
      <c r="D54" s="50"/>
      <c r="E54" s="42"/>
      <c r="F54" s="42"/>
      <c r="G54" s="42"/>
      <c r="H54" s="42"/>
      <c r="I54" s="42"/>
      <c r="J54" s="42"/>
      <c r="K54" s="99"/>
    </row>
    <row r="55" spans="1:15" ht="15.75" thickBot="1">
      <c r="A55" s="2641"/>
      <c r="B55" s="2641"/>
      <c r="C55" s="232">
        <v>2018</v>
      </c>
      <c r="D55" s="50"/>
      <c r="E55" s="42"/>
      <c r="F55" s="42"/>
      <c r="G55" s="42"/>
      <c r="H55" s="42"/>
      <c r="I55" s="42"/>
      <c r="J55" s="42"/>
      <c r="K55" s="99"/>
    </row>
    <row r="56" spans="1:15" ht="15.75" thickBot="1">
      <c r="A56" s="2641"/>
      <c r="B56" s="2641"/>
      <c r="C56" s="232">
        <v>2019</v>
      </c>
      <c r="D56" s="50"/>
      <c r="E56" s="42"/>
      <c r="F56" s="42"/>
      <c r="G56" s="42"/>
      <c r="H56" s="42"/>
      <c r="I56" s="42"/>
      <c r="J56" s="42"/>
      <c r="K56" s="99"/>
    </row>
    <row r="57" spans="1:15" ht="15.75" thickBot="1">
      <c r="A57" s="2641"/>
      <c r="B57" s="2641"/>
      <c r="C57" s="232">
        <v>2020</v>
      </c>
      <c r="D57" s="50"/>
      <c r="E57" s="42"/>
      <c r="F57" s="42"/>
      <c r="G57" s="42"/>
      <c r="H57" s="42"/>
      <c r="I57" s="42"/>
      <c r="J57" s="42"/>
      <c r="K57" s="100"/>
    </row>
    <row r="58" spans="1:15" ht="15.75" thickBot="1">
      <c r="A58" s="2641"/>
      <c r="B58" s="2641"/>
      <c r="C58" s="1773" t="s">
        <v>12</v>
      </c>
      <c r="D58" s="1774">
        <f t="shared" ref="D58:J58" si="2">SUM(D51:D57)</f>
        <v>2</v>
      </c>
      <c r="E58" s="1775">
        <f t="shared" si="2"/>
        <v>0</v>
      </c>
      <c r="F58" s="1775">
        <f t="shared" si="2"/>
        <v>0</v>
      </c>
      <c r="G58" s="1775">
        <f t="shared" si="2"/>
        <v>563</v>
      </c>
      <c r="H58" s="1775">
        <f t="shared" si="2"/>
        <v>9</v>
      </c>
      <c r="I58" s="1775">
        <f t="shared" si="2"/>
        <v>11</v>
      </c>
      <c r="J58" s="1775">
        <f t="shared" si="2"/>
        <v>66</v>
      </c>
      <c r="K58" s="1779">
        <f>SUM(K50:K56)</f>
        <v>1719</v>
      </c>
    </row>
    <row r="60" spans="1:15" ht="18.75" customHeight="1" thickBot="1">
      <c r="A60" s="2642" t="s">
        <v>39</v>
      </c>
      <c r="B60" s="1808"/>
      <c r="C60" s="2643" t="s">
        <v>8</v>
      </c>
      <c r="D60" s="2640" t="s">
        <v>40</v>
      </c>
      <c r="E60" s="2639" t="s">
        <v>5</v>
      </c>
      <c r="F60" s="2639"/>
      <c r="G60" s="2639"/>
      <c r="H60" s="2639"/>
      <c r="I60" s="2639"/>
      <c r="J60" s="2639"/>
      <c r="K60" s="2639"/>
      <c r="L60" s="2639"/>
    </row>
    <row r="61" spans="1:15" ht="141">
      <c r="A61" s="2642"/>
      <c r="B61" s="1809" t="s">
        <v>554</v>
      </c>
      <c r="C61" s="2643"/>
      <c r="D61" s="2640"/>
      <c r="E61" s="1810" t="s">
        <v>13</v>
      </c>
      <c r="F61" s="1811" t="s">
        <v>14</v>
      </c>
      <c r="G61" s="1811" t="s">
        <v>15</v>
      </c>
      <c r="H61" s="1812" t="s">
        <v>16</v>
      </c>
      <c r="I61" s="1812" t="s">
        <v>312</v>
      </c>
      <c r="J61" s="1813" t="s">
        <v>18</v>
      </c>
      <c r="K61" s="1811" t="s">
        <v>19</v>
      </c>
      <c r="L61" s="1814" t="s">
        <v>20</v>
      </c>
      <c r="M61" s="111"/>
      <c r="N61" s="8"/>
      <c r="O61" s="8"/>
    </row>
    <row r="62" spans="1:15" ht="15.75" thickBot="1">
      <c r="A62" s="2622" t="s">
        <v>558</v>
      </c>
      <c r="B62" s="2622"/>
      <c r="C62" s="1797">
        <v>2014</v>
      </c>
      <c r="D62" s="1815"/>
      <c r="E62" s="1816"/>
      <c r="F62" s="1817"/>
      <c r="G62" s="1817"/>
      <c r="H62" s="1817"/>
      <c r="I62" s="1817"/>
      <c r="J62" s="1817"/>
      <c r="K62" s="1817"/>
      <c r="L62" s="1770"/>
      <c r="M62" s="8"/>
      <c r="N62" s="8"/>
      <c r="O62" s="8"/>
    </row>
    <row r="63" spans="1:15" ht="15.75" thickBot="1">
      <c r="A63" s="2622"/>
      <c r="B63" s="2622"/>
      <c r="C63" s="232">
        <v>2015</v>
      </c>
      <c r="D63" s="50">
        <v>17</v>
      </c>
      <c r="E63" s="118">
        <v>0</v>
      </c>
      <c r="F63" s="42">
        <v>1</v>
      </c>
      <c r="G63" s="42">
        <v>0</v>
      </c>
      <c r="H63" s="42">
        <v>0</v>
      </c>
      <c r="I63" s="42">
        <v>0</v>
      </c>
      <c r="J63" s="42">
        <v>0</v>
      </c>
      <c r="K63" s="42">
        <v>0</v>
      </c>
      <c r="L63" s="99">
        <v>16</v>
      </c>
      <c r="M63" s="8"/>
      <c r="N63" s="8"/>
      <c r="O63" s="8"/>
    </row>
    <row r="64" spans="1:15" ht="15.75" thickBot="1">
      <c r="A64" s="2622"/>
      <c r="B64" s="2622"/>
      <c r="C64" s="232">
        <v>2016</v>
      </c>
      <c r="D64" s="50">
        <v>15</v>
      </c>
      <c r="E64" s="118">
        <v>6</v>
      </c>
      <c r="F64" s="42">
        <v>1</v>
      </c>
      <c r="G64" s="42">
        <v>5</v>
      </c>
      <c r="H64" s="42">
        <v>0</v>
      </c>
      <c r="I64" s="42">
        <v>0</v>
      </c>
      <c r="J64" s="42">
        <v>0</v>
      </c>
      <c r="K64" s="42">
        <v>0</v>
      </c>
      <c r="L64" s="99">
        <v>3</v>
      </c>
      <c r="M64" s="8"/>
      <c r="N64" s="8"/>
      <c r="O64" s="8"/>
    </row>
    <row r="65" spans="1:20" ht="15.75" thickBot="1">
      <c r="A65" s="2622"/>
      <c r="B65" s="2622"/>
      <c r="C65" s="232">
        <v>2017</v>
      </c>
      <c r="D65" s="190"/>
      <c r="E65" s="118"/>
      <c r="F65" s="42"/>
      <c r="G65" s="42"/>
      <c r="H65" s="42"/>
      <c r="I65" s="42"/>
      <c r="J65" s="42"/>
      <c r="K65" s="42"/>
      <c r="L65" s="99"/>
      <c r="M65" s="8"/>
      <c r="N65" s="8"/>
      <c r="O65" s="8"/>
    </row>
    <row r="66" spans="1:20" ht="15.75" thickBot="1">
      <c r="A66" s="2622"/>
      <c r="B66" s="2622"/>
      <c r="C66" s="232">
        <v>2018</v>
      </c>
      <c r="D66" s="190"/>
      <c r="E66" s="118"/>
      <c r="F66" s="42"/>
      <c r="G66" s="42"/>
      <c r="H66" s="42"/>
      <c r="I66" s="42"/>
      <c r="J66" s="42"/>
      <c r="K66" s="42"/>
      <c r="L66" s="99"/>
      <c r="M66" s="8"/>
      <c r="N66" s="8"/>
      <c r="O66" s="8"/>
    </row>
    <row r="67" spans="1:20" ht="15.75" thickBot="1">
      <c r="A67" s="2622"/>
      <c r="B67" s="2622"/>
      <c r="C67" s="232">
        <v>2019</v>
      </c>
      <c r="D67" s="190"/>
      <c r="E67" s="118"/>
      <c r="F67" s="42"/>
      <c r="G67" s="42"/>
      <c r="H67" s="42"/>
      <c r="I67" s="42"/>
      <c r="J67" s="42"/>
      <c r="K67" s="42"/>
      <c r="L67" s="99"/>
      <c r="M67" s="8"/>
      <c r="N67" s="8"/>
      <c r="O67" s="8"/>
    </row>
    <row r="68" spans="1:20" ht="15.75" thickBot="1">
      <c r="A68" s="2622"/>
      <c r="B68" s="2622"/>
      <c r="C68" s="232">
        <v>2020</v>
      </c>
      <c r="D68" s="190"/>
      <c r="E68" s="118"/>
      <c r="F68" s="42"/>
      <c r="G68" s="42"/>
      <c r="H68" s="42"/>
      <c r="I68" s="42"/>
      <c r="J68" s="42"/>
      <c r="K68" s="42"/>
      <c r="L68" s="99"/>
      <c r="M68" s="1799"/>
      <c r="N68" s="1799"/>
      <c r="O68" s="1799"/>
    </row>
    <row r="69" spans="1:20" ht="15.75" thickBot="1">
      <c r="A69" s="2622"/>
      <c r="B69" s="2622"/>
      <c r="C69" s="1818" t="s">
        <v>12</v>
      </c>
      <c r="D69" s="1819">
        <f t="shared" ref="D69:I69" si="3">SUM(D62:D68)</f>
        <v>32</v>
      </c>
      <c r="E69" s="1820">
        <f t="shared" si="3"/>
        <v>6</v>
      </c>
      <c r="F69" s="1821">
        <f t="shared" si="3"/>
        <v>2</v>
      </c>
      <c r="G69" s="1821">
        <f t="shared" si="3"/>
        <v>5</v>
      </c>
      <c r="H69" s="1821">
        <f t="shared" si="3"/>
        <v>0</v>
      </c>
      <c r="I69" s="1821">
        <f t="shared" si="3"/>
        <v>0</v>
      </c>
      <c r="J69" s="1821"/>
      <c r="K69" s="1821">
        <f>SUM(K62:K68)</f>
        <v>0</v>
      </c>
      <c r="L69" s="1822">
        <f>SUM(L62:L68)</f>
        <v>19</v>
      </c>
      <c r="M69" s="1799"/>
      <c r="N69" s="1799"/>
      <c r="O69" s="1799"/>
    </row>
    <row r="70" spans="1:20" ht="15.75" thickBot="1">
      <c r="A70" s="127"/>
      <c r="B70" s="1801"/>
      <c r="C70" s="1823"/>
      <c r="D70" s="1824"/>
      <c r="E70" s="1824"/>
      <c r="F70" s="1824"/>
      <c r="G70" s="1824"/>
      <c r="H70" s="1823"/>
      <c r="I70" s="1825"/>
      <c r="J70" s="1825"/>
      <c r="K70" s="1825"/>
      <c r="L70" s="1825"/>
      <c r="M70" s="1825"/>
      <c r="N70" s="1825"/>
      <c r="O70" s="1825"/>
      <c r="P70" s="31"/>
      <c r="Q70" s="31"/>
      <c r="R70" s="31"/>
      <c r="S70" s="31"/>
      <c r="T70" s="31"/>
    </row>
    <row r="71" spans="1:20" ht="141.75">
      <c r="A71" s="1791" t="s">
        <v>42</v>
      </c>
      <c r="B71" s="1792" t="s">
        <v>554</v>
      </c>
      <c r="C71" s="1793" t="s">
        <v>8</v>
      </c>
      <c r="D71" s="1826" t="s">
        <v>43</v>
      </c>
      <c r="E71" s="1826" t="s">
        <v>317</v>
      </c>
      <c r="F71" s="1827" t="s">
        <v>318</v>
      </c>
      <c r="G71" s="1828" t="s">
        <v>46</v>
      </c>
      <c r="H71" s="1829" t="s">
        <v>13</v>
      </c>
      <c r="I71" s="1826" t="s">
        <v>14</v>
      </c>
      <c r="J71" s="1830" t="s">
        <v>15</v>
      </c>
      <c r="K71" s="1826" t="s">
        <v>16</v>
      </c>
      <c r="L71" s="1826" t="s">
        <v>312</v>
      </c>
      <c r="M71" s="1831" t="s">
        <v>18</v>
      </c>
      <c r="N71" s="1830" t="s">
        <v>19</v>
      </c>
      <c r="O71" s="1832" t="s">
        <v>20</v>
      </c>
    </row>
    <row r="72" spans="1:20" ht="15.75" thickBot="1">
      <c r="A72" s="2622" t="s">
        <v>559</v>
      </c>
      <c r="B72" s="2622"/>
      <c r="C72" s="1797">
        <v>2014</v>
      </c>
      <c r="D72" s="1815"/>
      <c r="E72" s="1815"/>
      <c r="F72" s="1815"/>
      <c r="G72" s="1833">
        <f>SUM(D72:F72)</f>
        <v>0</v>
      </c>
      <c r="H72" s="1766"/>
      <c r="I72" s="1834"/>
      <c r="J72" s="1817"/>
      <c r="K72" s="1817"/>
      <c r="L72" s="1817"/>
      <c r="M72" s="1817"/>
      <c r="N72" s="1817"/>
      <c r="O72" s="1835"/>
    </row>
    <row r="73" spans="1:20" ht="15.75" thickBot="1">
      <c r="A73" s="2622"/>
      <c r="B73" s="2622"/>
      <c r="C73" s="232">
        <v>2015</v>
      </c>
      <c r="D73" s="50">
        <v>63</v>
      </c>
      <c r="E73" s="190">
        <v>0</v>
      </c>
      <c r="F73" s="190">
        <v>5</v>
      </c>
      <c r="G73" s="1833">
        <f>D73+E73+F73</f>
        <v>68</v>
      </c>
      <c r="H73" s="50">
        <v>0</v>
      </c>
      <c r="I73" s="50">
        <v>0</v>
      </c>
      <c r="J73" s="42">
        <v>0</v>
      </c>
      <c r="K73" s="42">
        <v>0</v>
      </c>
      <c r="L73" s="42">
        <v>0</v>
      </c>
      <c r="M73" s="42">
        <v>0</v>
      </c>
      <c r="N73" s="42">
        <v>0</v>
      </c>
      <c r="O73" s="99">
        <v>68</v>
      </c>
    </row>
    <row r="74" spans="1:20" ht="15.75" thickBot="1">
      <c r="A74" s="2622"/>
      <c r="B74" s="2622"/>
      <c r="C74" s="232">
        <v>2016</v>
      </c>
      <c r="D74" s="50">
        <v>182</v>
      </c>
      <c r="E74" s="190">
        <v>1</v>
      </c>
      <c r="F74" s="190">
        <v>0</v>
      </c>
      <c r="G74" s="1833">
        <f>'[1]RAZEM GZ'!G74+'[1]RAZEM PB'!G74+'[1]RAZEM ROW'!G74+'[1]RAZEM SSO'!G74+'[1]RAZEM SAR'!G74+'[1]RAZEM RR'!G74+'[1]RAZEM BPT'!G74</f>
        <v>183</v>
      </c>
      <c r="H74" s="50">
        <v>0</v>
      </c>
      <c r="I74" s="50">
        <v>76</v>
      </c>
      <c r="J74" s="42">
        <v>38</v>
      </c>
      <c r="K74" s="42">
        <v>0</v>
      </c>
      <c r="L74" s="42">
        <v>67</v>
      </c>
      <c r="M74" s="42">
        <v>2</v>
      </c>
      <c r="N74" s="42">
        <v>0</v>
      </c>
      <c r="O74" s="99">
        <v>0</v>
      </c>
    </row>
    <row r="75" spans="1:20" ht="15.75" thickBot="1">
      <c r="A75" s="2622"/>
      <c r="B75" s="2622"/>
      <c r="C75" s="232">
        <v>2017</v>
      </c>
      <c r="D75" s="190"/>
      <c r="E75" s="190"/>
      <c r="F75" s="190"/>
      <c r="G75" s="1833">
        <f>SUM(D75:F75)</f>
        <v>0</v>
      </c>
      <c r="H75" s="50"/>
      <c r="I75" s="50"/>
      <c r="J75" s="42"/>
      <c r="K75" s="42"/>
      <c r="L75" s="42"/>
      <c r="M75" s="42"/>
      <c r="N75" s="42"/>
      <c r="O75" s="99"/>
    </row>
    <row r="76" spans="1:20" ht="15.75" thickBot="1">
      <c r="A76" s="2622"/>
      <c r="B76" s="2622"/>
      <c r="C76" s="232">
        <v>2018</v>
      </c>
      <c r="D76" s="190"/>
      <c r="E76" s="190"/>
      <c r="F76" s="190"/>
      <c r="G76" s="1833">
        <f>SUM(D76:F76)</f>
        <v>0</v>
      </c>
      <c r="H76" s="50"/>
      <c r="I76" s="50"/>
      <c r="J76" s="42"/>
      <c r="K76" s="42"/>
      <c r="L76" s="42"/>
      <c r="M76" s="42"/>
      <c r="N76" s="42"/>
      <c r="O76" s="99"/>
    </row>
    <row r="77" spans="1:20" ht="15.75" thickBot="1">
      <c r="A77" s="2622"/>
      <c r="B77" s="2622"/>
      <c r="C77" s="232">
        <v>2019</v>
      </c>
      <c r="D77" s="190"/>
      <c r="E77" s="190"/>
      <c r="F77" s="190"/>
      <c r="G77" s="1833">
        <f>SUM(D77:F77)</f>
        <v>0</v>
      </c>
      <c r="H77" s="50"/>
      <c r="I77" s="50"/>
      <c r="J77" s="42"/>
      <c r="K77" s="42"/>
      <c r="L77" s="42"/>
      <c r="M77" s="42"/>
      <c r="N77" s="42"/>
      <c r="O77" s="99"/>
    </row>
    <row r="78" spans="1:20" ht="15.75" thickBot="1">
      <c r="A78" s="2622"/>
      <c r="B78" s="2622"/>
      <c r="C78" s="232">
        <v>2020</v>
      </c>
      <c r="D78" s="190"/>
      <c r="E78" s="190"/>
      <c r="F78" s="190"/>
      <c r="G78" s="1833">
        <f>SUM(D78:F78)</f>
        <v>0</v>
      </c>
      <c r="H78" s="50"/>
      <c r="I78" s="50"/>
      <c r="J78" s="42"/>
      <c r="K78" s="42"/>
      <c r="L78" s="42"/>
      <c r="M78" s="42"/>
      <c r="N78" s="42"/>
      <c r="O78" s="99"/>
    </row>
    <row r="79" spans="1:20" ht="15.75" thickBot="1">
      <c r="A79" s="2622"/>
      <c r="B79" s="2622"/>
      <c r="C79" s="1818" t="s">
        <v>12</v>
      </c>
      <c r="D79" s="1819">
        <f>SUM(D72:D78)</f>
        <v>245</v>
      </c>
      <c r="E79" s="1819">
        <f>SUM(E72:E78)</f>
        <v>1</v>
      </c>
      <c r="F79" s="1819">
        <f>SUM(F72:F78)</f>
        <v>5</v>
      </c>
      <c r="G79" s="1836">
        <f>SUM(G72:G78)</f>
        <v>251</v>
      </c>
      <c r="H79" s="1837">
        <v>0</v>
      </c>
      <c r="I79" s="1838">
        <f t="shared" ref="I79:O79" si="4">SUM(I72:I78)</f>
        <v>76</v>
      </c>
      <c r="J79" s="1821">
        <f t="shared" si="4"/>
        <v>38</v>
      </c>
      <c r="K79" s="1821">
        <f t="shared" si="4"/>
        <v>0</v>
      </c>
      <c r="L79" s="1821">
        <f t="shared" si="4"/>
        <v>67</v>
      </c>
      <c r="M79" s="1821">
        <f t="shared" si="4"/>
        <v>2</v>
      </c>
      <c r="N79" s="1821">
        <f t="shared" si="4"/>
        <v>0</v>
      </c>
      <c r="O79" s="1822">
        <f t="shared" si="4"/>
        <v>68</v>
      </c>
    </row>
    <row r="81" spans="1:16">
      <c r="A81" s="152"/>
      <c r="B81" s="1801"/>
      <c r="C81" s="1839"/>
      <c r="D81" s="1840"/>
      <c r="E81" s="1799"/>
      <c r="F81" s="1799"/>
      <c r="G81" s="1799"/>
      <c r="H81" s="1799"/>
      <c r="I81" s="1799"/>
      <c r="J81" s="1799"/>
      <c r="K81" s="1799"/>
    </row>
    <row r="82" spans="1:16" ht="21">
      <c r="A82" s="1841" t="s">
        <v>48</v>
      </c>
      <c r="B82" s="1841"/>
      <c r="C82" s="1842"/>
      <c r="D82" s="1842"/>
      <c r="E82" s="1842"/>
      <c r="F82" s="1842"/>
      <c r="G82" s="1842"/>
      <c r="H82" s="1842"/>
      <c r="I82" s="1842"/>
      <c r="J82" s="1842"/>
      <c r="K82" s="1842"/>
      <c r="L82" s="1843"/>
    </row>
    <row r="83" spans="1:16" ht="15.75" thickBot="1">
      <c r="A83" s="1844"/>
      <c r="B83" s="1844"/>
    </row>
    <row r="84" spans="1:16" s="31" customFormat="1" ht="141.75">
      <c r="A84" s="1845" t="s">
        <v>320</v>
      </c>
      <c r="B84" s="1846" t="s">
        <v>560</v>
      </c>
      <c r="C84" s="1847" t="s">
        <v>8</v>
      </c>
      <c r="D84" s="1848" t="s">
        <v>322</v>
      </c>
      <c r="E84" s="1849" t="s">
        <v>323</v>
      </c>
      <c r="F84" s="1850" t="s">
        <v>53</v>
      </c>
      <c r="G84" s="1850" t="s">
        <v>54</v>
      </c>
      <c r="H84" s="1850" t="s">
        <v>55</v>
      </c>
      <c r="I84" s="1850" t="s">
        <v>56</v>
      </c>
      <c r="J84" s="1850" t="s">
        <v>57</v>
      </c>
      <c r="K84" s="1851" t="s">
        <v>58</v>
      </c>
    </row>
    <row r="85" spans="1:16" ht="15.75" thickBot="1">
      <c r="A85" s="2622" t="s">
        <v>557</v>
      </c>
      <c r="B85" s="2622"/>
      <c r="C85" s="1797">
        <v>2014</v>
      </c>
      <c r="D85" s="1852"/>
      <c r="E85" s="1853"/>
      <c r="F85" s="1767"/>
      <c r="G85" s="1767"/>
      <c r="H85" s="1767"/>
      <c r="I85" s="1767"/>
      <c r="J85" s="1767"/>
      <c r="K85" s="1770"/>
    </row>
    <row r="86" spans="1:16" ht="15.75" thickBot="1">
      <c r="A86" s="2622"/>
      <c r="B86" s="2622"/>
      <c r="C86" s="232">
        <v>2015</v>
      </c>
      <c r="D86" s="168"/>
      <c r="E86" s="118"/>
      <c r="F86" s="42"/>
      <c r="G86" s="42"/>
      <c r="H86" s="42"/>
      <c r="I86" s="42"/>
      <c r="J86" s="42"/>
      <c r="K86" s="99"/>
    </row>
    <row r="87" spans="1:16" ht="15.75" thickBot="1">
      <c r="A87" s="2622"/>
      <c r="B87" s="2622"/>
      <c r="C87" s="232">
        <v>2016</v>
      </c>
      <c r="D87" s="50">
        <v>0</v>
      </c>
      <c r="E87" s="118">
        <v>0</v>
      </c>
      <c r="F87" s="42">
        <v>0</v>
      </c>
      <c r="G87" s="42">
        <v>0</v>
      </c>
      <c r="H87" s="42">
        <v>0</v>
      </c>
      <c r="I87" s="42">
        <v>0</v>
      </c>
      <c r="J87" s="42">
        <v>0</v>
      </c>
      <c r="K87" s="99">
        <v>0</v>
      </c>
    </row>
    <row r="88" spans="1:16" ht="15.75" thickBot="1">
      <c r="A88" s="2622"/>
      <c r="B88" s="2622"/>
      <c r="C88" s="232">
        <v>2017</v>
      </c>
      <c r="D88" s="168"/>
      <c r="E88" s="118"/>
      <c r="F88" s="42"/>
      <c r="G88" s="42"/>
      <c r="H88" s="42"/>
      <c r="I88" s="42"/>
      <c r="J88" s="42"/>
      <c r="K88" s="99"/>
    </row>
    <row r="89" spans="1:16" ht="15.75" thickBot="1">
      <c r="A89" s="2622"/>
      <c r="B89" s="2622"/>
      <c r="C89" s="232">
        <v>2018</v>
      </c>
      <c r="D89" s="168"/>
      <c r="E89" s="118"/>
      <c r="F89" s="42"/>
      <c r="G89" s="42"/>
      <c r="H89" s="42"/>
      <c r="I89" s="42"/>
      <c r="J89" s="42"/>
      <c r="K89" s="99"/>
    </row>
    <row r="90" spans="1:16" ht="15.75" thickBot="1">
      <c r="A90" s="2622"/>
      <c r="B90" s="2622"/>
      <c r="C90" s="232">
        <v>2019</v>
      </c>
      <c r="D90" s="168"/>
      <c r="E90" s="118"/>
      <c r="F90" s="42"/>
      <c r="G90" s="42"/>
      <c r="H90" s="42"/>
      <c r="I90" s="42"/>
      <c r="J90" s="42"/>
      <c r="K90" s="99"/>
    </row>
    <row r="91" spans="1:16" ht="15.75" thickBot="1">
      <c r="A91" s="2622"/>
      <c r="B91" s="2622"/>
      <c r="C91" s="232">
        <v>2020</v>
      </c>
      <c r="D91" s="168"/>
      <c r="E91" s="118"/>
      <c r="F91" s="42"/>
      <c r="G91" s="42"/>
      <c r="H91" s="42"/>
      <c r="I91" s="42"/>
      <c r="J91" s="42"/>
      <c r="K91" s="99"/>
    </row>
    <row r="92" spans="1:16" ht="15.75" thickBot="1">
      <c r="A92" s="2622"/>
      <c r="B92" s="2622"/>
      <c r="C92" s="1818" t="s">
        <v>12</v>
      </c>
      <c r="D92" s="1854">
        <f t="shared" ref="D92:K92" si="5">SUM(D85:D91)</f>
        <v>0</v>
      </c>
      <c r="E92" s="1820">
        <f t="shared" si="5"/>
        <v>0</v>
      </c>
      <c r="F92" s="1821">
        <f t="shared" si="5"/>
        <v>0</v>
      </c>
      <c r="G92" s="1821">
        <f t="shared" si="5"/>
        <v>0</v>
      </c>
      <c r="H92" s="1821">
        <f t="shared" si="5"/>
        <v>0</v>
      </c>
      <c r="I92" s="1821">
        <f t="shared" si="5"/>
        <v>0</v>
      </c>
      <c r="J92" s="1821">
        <f t="shared" si="5"/>
        <v>0</v>
      </c>
      <c r="K92" s="1822">
        <f t="shared" si="5"/>
        <v>0</v>
      </c>
    </row>
    <row r="94" spans="1:16" ht="21">
      <c r="A94" s="1855" t="s">
        <v>59</v>
      </c>
      <c r="B94" s="1855"/>
      <c r="C94" s="1856"/>
      <c r="D94" s="1856"/>
      <c r="E94" s="1856"/>
      <c r="F94" s="1856"/>
      <c r="G94" s="1856"/>
      <c r="H94" s="1856"/>
      <c r="I94" s="1856"/>
      <c r="J94" s="1856"/>
      <c r="K94" s="1856"/>
      <c r="L94" s="1856"/>
      <c r="M94" s="1856"/>
      <c r="N94" s="1857"/>
      <c r="O94" s="1857"/>
      <c r="P94" s="1857"/>
    </row>
    <row r="95" spans="1:16" ht="21.75" thickBot="1">
      <c r="A95" s="1858"/>
      <c r="B95" s="1858"/>
    </row>
    <row r="96" spans="1:16" ht="15" customHeight="1" thickBot="1">
      <c r="A96" s="2634" t="s">
        <v>60</v>
      </c>
      <c r="B96" s="2635" t="s">
        <v>561</v>
      </c>
      <c r="C96" s="2638" t="s">
        <v>8</v>
      </c>
      <c r="D96" s="2636" t="s">
        <v>62</v>
      </c>
      <c r="E96" s="2636"/>
      <c r="F96" s="2637" t="s">
        <v>63</v>
      </c>
      <c r="G96" s="2637"/>
      <c r="H96" s="2637"/>
      <c r="I96" s="2637"/>
      <c r="J96" s="2637"/>
      <c r="K96" s="2637"/>
      <c r="L96" s="2637"/>
      <c r="M96" s="2637"/>
      <c r="N96" s="1859"/>
      <c r="O96" s="1859"/>
      <c r="P96" s="1859"/>
    </row>
    <row r="97" spans="1:16" ht="132.75">
      <c r="A97" s="2634"/>
      <c r="B97" s="2635"/>
      <c r="C97" s="2638"/>
      <c r="D97" s="1860" t="s">
        <v>64</v>
      </c>
      <c r="E97" s="1861" t="s">
        <v>65</v>
      </c>
      <c r="F97" s="1862" t="s">
        <v>13</v>
      </c>
      <c r="G97" s="1863" t="s">
        <v>66</v>
      </c>
      <c r="H97" s="1864" t="s">
        <v>54</v>
      </c>
      <c r="I97" s="1865" t="s">
        <v>55</v>
      </c>
      <c r="J97" s="1865" t="s">
        <v>56</v>
      </c>
      <c r="K97" s="1866" t="s">
        <v>67</v>
      </c>
      <c r="L97" s="1864" t="s">
        <v>57</v>
      </c>
      <c r="M97" s="1867" t="s">
        <v>58</v>
      </c>
      <c r="N97" s="1859"/>
      <c r="O97" s="1859"/>
      <c r="P97" s="1859"/>
    </row>
    <row r="98" spans="1:16" ht="15.75" thickBot="1">
      <c r="A98" s="2622" t="s">
        <v>557</v>
      </c>
      <c r="B98" s="2622"/>
      <c r="C98" s="1797">
        <v>2014</v>
      </c>
      <c r="D98" s="1766"/>
      <c r="E98" s="1767"/>
      <c r="F98" s="1868"/>
      <c r="G98" s="1815"/>
      <c r="H98" s="1815"/>
      <c r="I98" s="1815"/>
      <c r="J98" s="1815"/>
      <c r="K98" s="1815"/>
      <c r="L98" s="1815"/>
      <c r="M98" s="1869"/>
      <c r="N98" s="1859"/>
      <c r="O98" s="1859"/>
      <c r="P98" s="1859"/>
    </row>
    <row r="99" spans="1:16" ht="15.75" thickBot="1">
      <c r="A99" s="2622"/>
      <c r="B99" s="2622"/>
      <c r="C99" s="232">
        <v>2015</v>
      </c>
      <c r="D99" s="50">
        <v>5</v>
      </c>
      <c r="E99" s="42">
        <v>2</v>
      </c>
      <c r="F99" s="189">
        <v>1</v>
      </c>
      <c r="G99" s="190"/>
      <c r="H99" s="190"/>
      <c r="I99" s="190">
        <v>1</v>
      </c>
      <c r="J99" s="190">
        <v>1</v>
      </c>
      <c r="K99" s="190"/>
      <c r="L99" s="190"/>
      <c r="M99" s="193">
        <v>2</v>
      </c>
      <c r="N99" s="1859"/>
      <c r="O99" s="1859"/>
      <c r="P99" s="1859"/>
    </row>
    <row r="100" spans="1:16" ht="15.75" thickBot="1">
      <c r="A100" s="2622"/>
      <c r="B100" s="2622"/>
      <c r="C100" s="232">
        <v>2016</v>
      </c>
      <c r="D100" s="50">
        <v>0</v>
      </c>
      <c r="E100" s="42">
        <v>0</v>
      </c>
      <c r="F100" s="189">
        <v>0</v>
      </c>
      <c r="G100" s="190">
        <v>0</v>
      </c>
      <c r="H100" s="190">
        <v>0</v>
      </c>
      <c r="I100" s="190">
        <v>0</v>
      </c>
      <c r="J100" s="190">
        <v>0</v>
      </c>
      <c r="K100" s="190">
        <v>0</v>
      </c>
      <c r="L100" s="190">
        <v>0</v>
      </c>
      <c r="M100" s="193">
        <v>0</v>
      </c>
      <c r="N100" s="1859"/>
      <c r="O100" s="1859"/>
      <c r="P100" s="1859"/>
    </row>
    <row r="101" spans="1:16" ht="15.75" thickBot="1">
      <c r="A101" s="2622"/>
      <c r="B101" s="2622"/>
      <c r="C101" s="232">
        <v>2017</v>
      </c>
      <c r="D101" s="50"/>
      <c r="E101" s="42"/>
      <c r="F101" s="189"/>
      <c r="G101" s="190"/>
      <c r="H101" s="190"/>
      <c r="I101" s="190"/>
      <c r="J101" s="190"/>
      <c r="K101" s="190"/>
      <c r="L101" s="190"/>
      <c r="M101" s="193"/>
      <c r="N101" s="1859"/>
      <c r="O101" s="1859"/>
      <c r="P101" s="1859"/>
    </row>
    <row r="102" spans="1:16" ht="15.75" thickBot="1">
      <c r="A102" s="2622"/>
      <c r="B102" s="2622"/>
      <c r="C102" s="232">
        <v>2018</v>
      </c>
      <c r="D102" s="50"/>
      <c r="E102" s="42"/>
      <c r="F102" s="189"/>
      <c r="G102" s="190"/>
      <c r="H102" s="190"/>
      <c r="I102" s="190"/>
      <c r="J102" s="190"/>
      <c r="K102" s="190"/>
      <c r="L102" s="190"/>
      <c r="M102" s="193"/>
      <c r="N102" s="1859"/>
      <c r="O102" s="1859"/>
      <c r="P102" s="1859"/>
    </row>
    <row r="103" spans="1:16" ht="15.75" thickBot="1">
      <c r="A103" s="2622"/>
      <c r="B103" s="2622"/>
      <c r="C103" s="232">
        <v>2019</v>
      </c>
      <c r="D103" s="50"/>
      <c r="E103" s="42"/>
      <c r="F103" s="189"/>
      <c r="G103" s="190"/>
      <c r="H103" s="190"/>
      <c r="I103" s="190"/>
      <c r="J103" s="190"/>
      <c r="K103" s="190"/>
      <c r="L103" s="190"/>
      <c r="M103" s="193"/>
      <c r="N103" s="1859"/>
      <c r="O103" s="1859"/>
      <c r="P103" s="1859"/>
    </row>
    <row r="104" spans="1:16" ht="15.75" thickBot="1">
      <c r="A104" s="2622"/>
      <c r="B104" s="2622"/>
      <c r="C104" s="232">
        <v>2020</v>
      </c>
      <c r="D104" s="50"/>
      <c r="E104" s="42"/>
      <c r="F104" s="189"/>
      <c r="G104" s="190"/>
      <c r="H104" s="190"/>
      <c r="I104" s="190"/>
      <c r="J104" s="190"/>
      <c r="K104" s="190"/>
      <c r="L104" s="190"/>
      <c r="M104" s="193"/>
      <c r="N104" s="1859"/>
      <c r="O104" s="1859"/>
      <c r="P104" s="1859"/>
    </row>
    <row r="105" spans="1:16" ht="15.75" thickBot="1">
      <c r="A105" s="2622"/>
      <c r="B105" s="2622"/>
      <c r="C105" s="1818" t="s">
        <v>12</v>
      </c>
      <c r="D105" s="1838">
        <f t="shared" ref="D105:M105" si="6">SUM(D98:D104)</f>
        <v>5</v>
      </c>
      <c r="E105" s="1821">
        <f t="shared" si="6"/>
        <v>2</v>
      </c>
      <c r="F105" s="1870">
        <f t="shared" si="6"/>
        <v>1</v>
      </c>
      <c r="G105" s="1871">
        <f t="shared" si="6"/>
        <v>0</v>
      </c>
      <c r="H105" s="1871">
        <f t="shared" si="6"/>
        <v>0</v>
      </c>
      <c r="I105" s="1871">
        <f t="shared" si="6"/>
        <v>1</v>
      </c>
      <c r="J105" s="1871">
        <f t="shared" si="6"/>
        <v>1</v>
      </c>
      <c r="K105" s="1871">
        <f t="shared" si="6"/>
        <v>0</v>
      </c>
      <c r="L105" s="1871">
        <f t="shared" si="6"/>
        <v>0</v>
      </c>
      <c r="M105" s="1872">
        <f t="shared" si="6"/>
        <v>2</v>
      </c>
      <c r="N105" s="1859"/>
      <c r="O105" s="1859"/>
      <c r="P105" s="1859"/>
    </row>
    <row r="106" spans="1:16" ht="15.75" thickBot="1">
      <c r="A106" s="197"/>
      <c r="B106" s="197"/>
      <c r="C106" s="1802"/>
      <c r="D106" s="8"/>
      <c r="E106" s="8"/>
      <c r="H106" s="199"/>
      <c r="I106" s="199"/>
      <c r="J106" s="199"/>
      <c r="K106" s="199"/>
      <c r="L106" s="199"/>
      <c r="M106" s="199"/>
      <c r="N106" s="199"/>
    </row>
    <row r="107" spans="1:16" ht="15" customHeight="1" thickBot="1">
      <c r="A107" s="2634" t="s">
        <v>327</v>
      </c>
      <c r="B107" s="2635" t="s">
        <v>561</v>
      </c>
      <c r="C107" s="2638" t="s">
        <v>8</v>
      </c>
      <c r="D107" s="2636" t="s">
        <v>70</v>
      </c>
      <c r="E107" s="2637" t="s">
        <v>71</v>
      </c>
      <c r="F107" s="2637"/>
      <c r="G107" s="2637"/>
      <c r="H107" s="2637"/>
      <c r="I107" s="2637"/>
      <c r="J107" s="2637"/>
      <c r="K107" s="2637"/>
      <c r="L107" s="2637"/>
      <c r="M107" s="199"/>
      <c r="N107" s="199"/>
    </row>
    <row r="108" spans="1:16" ht="132.75">
      <c r="A108" s="2634"/>
      <c r="B108" s="2635"/>
      <c r="C108" s="2638"/>
      <c r="D108" s="2636"/>
      <c r="E108" s="1862" t="s">
        <v>13</v>
      </c>
      <c r="F108" s="1863" t="s">
        <v>66</v>
      </c>
      <c r="G108" s="1864" t="s">
        <v>54</v>
      </c>
      <c r="H108" s="1865" t="s">
        <v>55</v>
      </c>
      <c r="I108" s="1865" t="s">
        <v>56</v>
      </c>
      <c r="J108" s="1866" t="s">
        <v>67</v>
      </c>
      <c r="K108" s="1864" t="s">
        <v>57</v>
      </c>
      <c r="L108" s="1867" t="s">
        <v>58</v>
      </c>
      <c r="M108" s="199"/>
      <c r="N108" s="199"/>
    </row>
    <row r="109" spans="1:16" ht="15.75" thickBot="1">
      <c r="A109" s="2622" t="s">
        <v>557</v>
      </c>
      <c r="B109" s="2622"/>
      <c r="C109" s="1797">
        <v>2014</v>
      </c>
      <c r="D109" s="1767"/>
      <c r="E109" s="1868"/>
      <c r="F109" s="1815"/>
      <c r="G109" s="1815"/>
      <c r="H109" s="1815"/>
      <c r="I109" s="1815"/>
      <c r="J109" s="1815"/>
      <c r="K109" s="1815"/>
      <c r="L109" s="1869"/>
      <c r="M109" s="199"/>
      <c r="N109" s="199"/>
    </row>
    <row r="110" spans="1:16" ht="15.75" thickBot="1">
      <c r="A110" s="2622"/>
      <c r="B110" s="2622"/>
      <c r="C110" s="232">
        <v>2015</v>
      </c>
      <c r="D110" s="42">
        <v>1</v>
      </c>
      <c r="E110" s="189"/>
      <c r="F110" s="190"/>
      <c r="G110" s="190"/>
      <c r="H110" s="190"/>
      <c r="I110" s="190"/>
      <c r="J110" s="190"/>
      <c r="K110" s="190"/>
      <c r="L110" s="193">
        <v>1</v>
      </c>
      <c r="M110" s="199"/>
      <c r="N110" s="199"/>
    </row>
    <row r="111" spans="1:16" ht="15.75" thickBot="1">
      <c r="A111" s="2622"/>
      <c r="B111" s="2622"/>
      <c r="C111" s="232">
        <v>2016</v>
      </c>
      <c r="D111" s="50">
        <v>0</v>
      </c>
      <c r="E111" s="189">
        <v>0</v>
      </c>
      <c r="F111" s="190">
        <v>0</v>
      </c>
      <c r="G111" s="190">
        <v>0</v>
      </c>
      <c r="H111" s="190">
        <v>0</v>
      </c>
      <c r="I111" s="190">
        <v>0</v>
      </c>
      <c r="J111" s="190">
        <v>0</v>
      </c>
      <c r="K111" s="190">
        <v>0</v>
      </c>
      <c r="L111" s="193">
        <v>0</v>
      </c>
      <c r="M111" s="199"/>
      <c r="N111" s="199"/>
    </row>
    <row r="112" spans="1:16" ht="15.75" thickBot="1">
      <c r="A112" s="2622"/>
      <c r="B112" s="2622"/>
      <c r="C112" s="232">
        <v>2017</v>
      </c>
      <c r="D112" s="42"/>
      <c r="E112" s="189"/>
      <c r="F112" s="190"/>
      <c r="G112" s="190"/>
      <c r="H112" s="190"/>
      <c r="I112" s="190"/>
      <c r="J112" s="190"/>
      <c r="K112" s="190"/>
      <c r="L112" s="193"/>
      <c r="M112" s="199"/>
      <c r="N112" s="199"/>
    </row>
    <row r="113" spans="1:14" ht="15.75" thickBot="1">
      <c r="A113" s="2622"/>
      <c r="B113" s="2622"/>
      <c r="C113" s="232">
        <v>2018</v>
      </c>
      <c r="D113" s="42"/>
      <c r="E113" s="189"/>
      <c r="F113" s="190"/>
      <c r="G113" s="190"/>
      <c r="H113" s="190"/>
      <c r="I113" s="190"/>
      <c r="J113" s="190"/>
      <c r="K113" s="190"/>
      <c r="L113" s="193"/>
      <c r="M113" s="199"/>
      <c r="N113" s="199"/>
    </row>
    <row r="114" spans="1:14" ht="15.75" thickBot="1">
      <c r="A114" s="2622"/>
      <c r="B114" s="2622"/>
      <c r="C114" s="232">
        <v>2019</v>
      </c>
      <c r="D114" s="42"/>
      <c r="E114" s="189"/>
      <c r="F114" s="190"/>
      <c r="G114" s="190"/>
      <c r="H114" s="190"/>
      <c r="I114" s="190"/>
      <c r="J114" s="190"/>
      <c r="K114" s="190"/>
      <c r="L114" s="193"/>
      <c r="M114" s="199"/>
      <c r="N114" s="199"/>
    </row>
    <row r="115" spans="1:14" ht="15.75" thickBot="1">
      <c r="A115" s="2622"/>
      <c r="B115" s="2622"/>
      <c r="C115" s="232">
        <v>2020</v>
      </c>
      <c r="D115" s="42"/>
      <c r="E115" s="189"/>
      <c r="F115" s="190"/>
      <c r="G115" s="190"/>
      <c r="H115" s="190"/>
      <c r="I115" s="190"/>
      <c r="J115" s="190"/>
      <c r="K115" s="190"/>
      <c r="L115" s="193"/>
      <c r="M115" s="199"/>
      <c r="N115" s="199"/>
    </row>
    <row r="116" spans="1:14" ht="15.75" thickBot="1">
      <c r="A116" s="2622"/>
      <c r="B116" s="2622"/>
      <c r="C116" s="1818" t="s">
        <v>12</v>
      </c>
      <c r="D116" s="1821">
        <f t="shared" ref="D116:I116" si="7">SUM(D109:D115)</f>
        <v>1</v>
      </c>
      <c r="E116" s="1870">
        <f t="shared" si="7"/>
        <v>0</v>
      </c>
      <c r="F116" s="1871">
        <f t="shared" si="7"/>
        <v>0</v>
      </c>
      <c r="G116" s="1871">
        <f t="shared" si="7"/>
        <v>0</v>
      </c>
      <c r="H116" s="1871">
        <f t="shared" si="7"/>
        <v>0</v>
      </c>
      <c r="I116" s="1871">
        <f t="shared" si="7"/>
        <v>0</v>
      </c>
      <c r="J116" s="1871"/>
      <c r="K116" s="1871">
        <f>SUM(K109:K115)</f>
        <v>0</v>
      </c>
      <c r="L116" s="1872">
        <f>SUM(L109:L115)</f>
        <v>1</v>
      </c>
      <c r="M116" s="199"/>
      <c r="N116" s="199"/>
    </row>
    <row r="117" spans="1:14" ht="21.75" thickBot="1">
      <c r="A117" s="1858"/>
      <c r="B117" s="1873"/>
      <c r="M117" s="199"/>
      <c r="N117" s="199"/>
    </row>
    <row r="118" spans="1:14" ht="15" customHeight="1" thickBot="1">
      <c r="A118" s="2634" t="s">
        <v>72</v>
      </c>
      <c r="B118" s="2635" t="s">
        <v>561</v>
      </c>
      <c r="C118" s="2638" t="s">
        <v>8</v>
      </c>
      <c r="D118" s="2636" t="s">
        <v>73</v>
      </c>
      <c r="E118" s="2637" t="s">
        <v>71</v>
      </c>
      <c r="F118" s="2637"/>
      <c r="G118" s="2637"/>
      <c r="H118" s="2637"/>
      <c r="I118" s="2637"/>
      <c r="J118" s="2637"/>
      <c r="K118" s="2637"/>
      <c r="L118" s="2637"/>
      <c r="M118" s="199"/>
      <c r="N118" s="199"/>
    </row>
    <row r="119" spans="1:14" ht="132.75">
      <c r="A119" s="2634"/>
      <c r="B119" s="2635"/>
      <c r="C119" s="2638"/>
      <c r="D119" s="2636"/>
      <c r="E119" s="1862" t="s">
        <v>13</v>
      </c>
      <c r="F119" s="1863" t="s">
        <v>66</v>
      </c>
      <c r="G119" s="1864" t="s">
        <v>54</v>
      </c>
      <c r="H119" s="1865" t="s">
        <v>55</v>
      </c>
      <c r="I119" s="1865" t="s">
        <v>56</v>
      </c>
      <c r="J119" s="1866" t="s">
        <v>67</v>
      </c>
      <c r="K119" s="1864" t="s">
        <v>57</v>
      </c>
      <c r="L119" s="1867" t="s">
        <v>58</v>
      </c>
      <c r="M119" s="199"/>
      <c r="N119" s="199"/>
    </row>
    <row r="120" spans="1:14" ht="15.75" thickBot="1">
      <c r="A120" s="2622" t="s">
        <v>557</v>
      </c>
      <c r="B120" s="2622"/>
      <c r="C120" s="1797">
        <v>2014</v>
      </c>
      <c r="D120" s="1767"/>
      <c r="E120" s="1868"/>
      <c r="F120" s="1815"/>
      <c r="G120" s="1815"/>
      <c r="H120" s="1815"/>
      <c r="I120" s="1815"/>
      <c r="J120" s="1815"/>
      <c r="K120" s="1815"/>
      <c r="L120" s="1869"/>
      <c r="M120" s="199"/>
      <c r="N120" s="199"/>
    </row>
    <row r="121" spans="1:14" ht="15.75" thickBot="1">
      <c r="A121" s="2622"/>
      <c r="B121" s="2622"/>
      <c r="C121" s="232">
        <v>2015</v>
      </c>
      <c r="D121" s="42"/>
      <c r="E121" s="189"/>
      <c r="F121" s="190"/>
      <c r="G121" s="190"/>
      <c r="H121" s="190"/>
      <c r="I121" s="190"/>
      <c r="J121" s="190"/>
      <c r="K121" s="190"/>
      <c r="L121" s="193"/>
      <c r="M121" s="199"/>
      <c r="N121" s="199"/>
    </row>
    <row r="122" spans="1:14" ht="15.75" thickBot="1">
      <c r="A122" s="2622"/>
      <c r="B122" s="2622"/>
      <c r="C122" s="232">
        <v>2016</v>
      </c>
      <c r="D122" s="50">
        <v>0</v>
      </c>
      <c r="E122" s="189">
        <v>0</v>
      </c>
      <c r="F122" s="190">
        <v>0</v>
      </c>
      <c r="G122" s="190">
        <v>0</v>
      </c>
      <c r="H122" s="190">
        <v>0</v>
      </c>
      <c r="I122" s="190">
        <v>0</v>
      </c>
      <c r="J122" s="190">
        <v>0</v>
      </c>
      <c r="K122" s="190">
        <v>0</v>
      </c>
      <c r="L122" s="193">
        <v>0</v>
      </c>
      <c r="M122" s="199"/>
      <c r="N122" s="199"/>
    </row>
    <row r="123" spans="1:14" ht="15.75" thickBot="1">
      <c r="A123" s="2622"/>
      <c r="B123" s="2622"/>
      <c r="C123" s="232">
        <v>2017</v>
      </c>
      <c r="D123" s="42"/>
      <c r="E123" s="189"/>
      <c r="F123" s="190"/>
      <c r="G123" s="190"/>
      <c r="H123" s="190"/>
      <c r="I123" s="190"/>
      <c r="J123" s="190"/>
      <c r="K123" s="190"/>
      <c r="L123" s="193"/>
      <c r="M123" s="199"/>
      <c r="N123" s="199"/>
    </row>
    <row r="124" spans="1:14" ht="15.75" thickBot="1">
      <c r="A124" s="2622"/>
      <c r="B124" s="2622"/>
      <c r="C124" s="232">
        <v>2018</v>
      </c>
      <c r="D124" s="42"/>
      <c r="E124" s="189"/>
      <c r="F124" s="190"/>
      <c r="G124" s="190"/>
      <c r="H124" s="190"/>
      <c r="I124" s="190"/>
      <c r="J124" s="190"/>
      <c r="K124" s="190"/>
      <c r="L124" s="193"/>
      <c r="M124" s="199"/>
      <c r="N124" s="199"/>
    </row>
    <row r="125" spans="1:14" ht="15.75" thickBot="1">
      <c r="A125" s="2622"/>
      <c r="B125" s="2622"/>
      <c r="C125" s="232">
        <v>2019</v>
      </c>
      <c r="D125" s="42"/>
      <c r="E125" s="189"/>
      <c r="F125" s="190"/>
      <c r="G125" s="190"/>
      <c r="H125" s="190"/>
      <c r="I125" s="190"/>
      <c r="J125" s="190"/>
      <c r="K125" s="190"/>
      <c r="L125" s="193"/>
      <c r="M125" s="199"/>
      <c r="N125" s="199"/>
    </row>
    <row r="126" spans="1:14" ht="15.75" thickBot="1">
      <c r="A126" s="2622"/>
      <c r="B126" s="2622"/>
      <c r="C126" s="232">
        <v>2020</v>
      </c>
      <c r="D126" s="42"/>
      <c r="E126" s="189"/>
      <c r="F126" s="190"/>
      <c r="G126" s="190"/>
      <c r="H126" s="190"/>
      <c r="I126" s="190"/>
      <c r="J126" s="190"/>
      <c r="K126" s="190"/>
      <c r="L126" s="193"/>
      <c r="M126" s="199"/>
      <c r="N126" s="199"/>
    </row>
    <row r="127" spans="1:14" ht="15.75" thickBot="1">
      <c r="A127" s="2622"/>
      <c r="B127" s="2622"/>
      <c r="C127" s="1818" t="s">
        <v>12</v>
      </c>
      <c r="D127" s="1821">
        <f t="shared" ref="D127:I127" si="8">SUM(D120:D126)</f>
        <v>0</v>
      </c>
      <c r="E127" s="1870">
        <f t="shared" si="8"/>
        <v>0</v>
      </c>
      <c r="F127" s="1871">
        <f t="shared" si="8"/>
        <v>0</v>
      </c>
      <c r="G127" s="1871">
        <f t="shared" si="8"/>
        <v>0</v>
      </c>
      <c r="H127" s="1871">
        <f t="shared" si="8"/>
        <v>0</v>
      </c>
      <c r="I127" s="1871">
        <f t="shared" si="8"/>
        <v>0</v>
      </c>
      <c r="J127" s="1871"/>
      <c r="K127" s="1871">
        <f>SUM(K120:K126)</f>
        <v>0</v>
      </c>
      <c r="L127" s="1872">
        <f>SUM(L120:L126)</f>
        <v>0</v>
      </c>
      <c r="M127" s="199"/>
      <c r="N127" s="199"/>
    </row>
    <row r="128" spans="1:14" ht="15.75" thickBot="1">
      <c r="A128" s="197"/>
      <c r="B128" s="197"/>
      <c r="C128" s="1802"/>
      <c r="D128" s="8"/>
      <c r="E128" s="8"/>
      <c r="H128" s="199"/>
      <c r="I128" s="199"/>
      <c r="J128" s="199"/>
      <c r="K128" s="199"/>
      <c r="L128" s="199"/>
      <c r="M128" s="199"/>
      <c r="N128" s="199"/>
    </row>
    <row r="129" spans="1:16" ht="15" customHeight="1" thickBot="1">
      <c r="A129" s="2634" t="s">
        <v>74</v>
      </c>
      <c r="B129" s="2635" t="s">
        <v>561</v>
      </c>
      <c r="C129" s="1874" t="s">
        <v>8</v>
      </c>
      <c r="D129" s="2636" t="s">
        <v>75</v>
      </c>
      <c r="E129" s="2636"/>
      <c r="F129" s="2636"/>
      <c r="G129" s="2636"/>
      <c r="H129" s="199"/>
      <c r="I129" s="199"/>
      <c r="J129" s="199"/>
      <c r="K129" s="199"/>
      <c r="L129" s="199"/>
      <c r="M129" s="199"/>
      <c r="N129" s="199"/>
    </row>
    <row r="130" spans="1:16" ht="90">
      <c r="A130" s="2634"/>
      <c r="B130" s="2635"/>
      <c r="C130" s="1875"/>
      <c r="D130" s="1860" t="s">
        <v>76</v>
      </c>
      <c r="E130" s="1861" t="s">
        <v>77</v>
      </c>
      <c r="F130" s="1861" t="s">
        <v>78</v>
      </c>
      <c r="G130" s="1876" t="s">
        <v>12</v>
      </c>
      <c r="H130" s="199"/>
      <c r="I130" s="199"/>
      <c r="J130" s="199"/>
      <c r="K130" s="199"/>
      <c r="L130" s="199"/>
      <c r="M130" s="199"/>
      <c r="N130" s="199"/>
    </row>
    <row r="131" spans="1:16" ht="15.75" thickBot="1">
      <c r="A131" s="2622" t="s">
        <v>557</v>
      </c>
      <c r="B131" s="2622"/>
      <c r="C131" s="1877">
        <v>2015</v>
      </c>
      <c r="D131" s="557">
        <v>103</v>
      </c>
      <c r="E131" s="342">
        <v>284</v>
      </c>
      <c r="F131" s="342"/>
      <c r="G131" s="1878">
        <f t="shared" ref="G131:G136" si="9">SUM(D131:F131)</f>
        <v>387</v>
      </c>
      <c r="H131" s="199"/>
      <c r="I131" s="199"/>
      <c r="J131" s="199"/>
      <c r="K131" s="199"/>
      <c r="L131" s="199"/>
      <c r="M131" s="199"/>
      <c r="N131" s="199"/>
    </row>
    <row r="132" spans="1:16" ht="15.75" thickBot="1">
      <c r="A132" s="2622"/>
      <c r="B132" s="2622"/>
      <c r="C132" s="232">
        <v>2016</v>
      </c>
      <c r="D132" s="50">
        <v>0</v>
      </c>
      <c r="E132" s="42">
        <v>0</v>
      </c>
      <c r="F132" s="42">
        <v>0</v>
      </c>
      <c r="G132" s="1878">
        <f t="shared" si="9"/>
        <v>0</v>
      </c>
      <c r="H132" s="199"/>
      <c r="I132" s="199"/>
      <c r="J132" s="199"/>
      <c r="K132" s="199"/>
      <c r="L132" s="199"/>
      <c r="M132" s="199"/>
      <c r="N132" s="199"/>
    </row>
    <row r="133" spans="1:16" ht="15.75" thickBot="1">
      <c r="A133" s="2622"/>
      <c r="B133" s="2622"/>
      <c r="C133" s="232">
        <v>2017</v>
      </c>
      <c r="D133" s="50"/>
      <c r="E133" s="42"/>
      <c r="F133" s="42"/>
      <c r="G133" s="1878">
        <f t="shared" si="9"/>
        <v>0</v>
      </c>
      <c r="H133" s="199"/>
      <c r="I133" s="199"/>
      <c r="J133" s="199"/>
      <c r="K133" s="199"/>
      <c r="L133" s="199"/>
      <c r="M133" s="199"/>
      <c r="N133" s="199"/>
    </row>
    <row r="134" spans="1:16" ht="15.75" thickBot="1">
      <c r="A134" s="2622"/>
      <c r="B134" s="2622"/>
      <c r="C134" s="232">
        <v>2018</v>
      </c>
      <c r="D134" s="50"/>
      <c r="E134" s="42"/>
      <c r="F134" s="42"/>
      <c r="G134" s="1878">
        <f t="shared" si="9"/>
        <v>0</v>
      </c>
      <c r="H134" s="199"/>
      <c r="I134" s="199"/>
      <c r="J134" s="199"/>
      <c r="K134" s="199"/>
      <c r="L134" s="199"/>
      <c r="M134" s="199"/>
      <c r="N134" s="199"/>
    </row>
    <row r="135" spans="1:16" ht="15.75" thickBot="1">
      <c r="A135" s="2622"/>
      <c r="B135" s="2622"/>
      <c r="C135" s="232">
        <v>2019</v>
      </c>
      <c r="D135" s="50"/>
      <c r="E135" s="42"/>
      <c r="F135" s="42"/>
      <c r="G135" s="1878">
        <f t="shared" si="9"/>
        <v>0</v>
      </c>
      <c r="H135" s="199"/>
      <c r="I135" s="199"/>
      <c r="J135" s="199"/>
      <c r="K135" s="199"/>
      <c r="L135" s="199"/>
      <c r="M135" s="199"/>
      <c r="N135" s="199"/>
    </row>
    <row r="136" spans="1:16" ht="15.75" thickBot="1">
      <c r="A136" s="2622"/>
      <c r="B136" s="2622"/>
      <c r="C136" s="232">
        <v>2020</v>
      </c>
      <c r="D136" s="50"/>
      <c r="E136" s="42"/>
      <c r="F136" s="42"/>
      <c r="G136" s="1878">
        <f t="shared" si="9"/>
        <v>0</v>
      </c>
      <c r="H136" s="199"/>
      <c r="I136" s="199"/>
      <c r="J136" s="199"/>
      <c r="K136" s="199"/>
      <c r="L136" s="199"/>
      <c r="M136" s="199"/>
      <c r="N136" s="199"/>
    </row>
    <row r="137" spans="1:16" ht="15.75" thickBot="1">
      <c r="A137" s="2622"/>
      <c r="B137" s="2622"/>
      <c r="C137" s="1818" t="s">
        <v>12</v>
      </c>
      <c r="D137" s="1838">
        <f>SUM(D131:D136)</f>
        <v>103</v>
      </c>
      <c r="E137" s="1838">
        <f>SUM(E131:E136)</f>
        <v>284</v>
      </c>
      <c r="F137" s="1838">
        <f>SUM(F131:F136)</f>
        <v>0</v>
      </c>
      <c r="G137" s="1879">
        <f>SUM(G131:G136)</f>
        <v>387</v>
      </c>
      <c r="H137" s="199"/>
      <c r="I137" s="199"/>
      <c r="J137" s="199"/>
      <c r="K137" s="199"/>
      <c r="L137" s="199"/>
      <c r="M137" s="199"/>
      <c r="N137" s="199"/>
    </row>
    <row r="138" spans="1:16">
      <c r="A138" s="197"/>
      <c r="B138" s="197"/>
      <c r="C138" s="1802"/>
      <c r="D138" s="8"/>
      <c r="E138" s="8"/>
      <c r="H138" s="199"/>
      <c r="I138" s="199"/>
      <c r="J138" s="199"/>
      <c r="K138" s="199"/>
      <c r="L138" s="199"/>
      <c r="M138" s="199"/>
      <c r="N138" s="199"/>
    </row>
    <row r="139" spans="1:16">
      <c r="A139" s="1880"/>
      <c r="B139" s="1801"/>
      <c r="C139" s="1802"/>
      <c r="D139" s="8"/>
      <c r="E139" s="8"/>
      <c r="F139" s="8"/>
      <c r="G139" s="8"/>
      <c r="H139" s="8"/>
      <c r="I139" s="1881"/>
      <c r="J139" s="199"/>
      <c r="K139" s="199"/>
      <c r="L139" s="199"/>
      <c r="M139" s="199"/>
      <c r="N139" s="199"/>
      <c r="O139" s="199"/>
      <c r="P139" s="199"/>
    </row>
    <row r="140" spans="1:16" ht="21">
      <c r="A140" s="1882" t="s">
        <v>79</v>
      </c>
      <c r="B140" s="1882"/>
      <c r="C140" s="1883"/>
      <c r="D140" s="1883"/>
      <c r="E140" s="1883"/>
      <c r="F140" s="1883"/>
      <c r="G140" s="1883"/>
      <c r="H140" s="1883"/>
      <c r="I140" s="1883"/>
      <c r="J140" s="1883"/>
      <c r="K140" s="1883"/>
      <c r="L140" s="1883"/>
      <c r="M140" s="1883"/>
      <c r="N140" s="1883"/>
      <c r="O140" s="1857"/>
      <c r="P140" s="1857"/>
    </row>
    <row r="141" spans="1:16" ht="15.75" thickBot="1">
      <c r="A141" s="1884"/>
      <c r="B141" s="1801"/>
      <c r="C141" s="1839"/>
      <c r="D141" s="1799"/>
      <c r="E141" s="1799"/>
      <c r="F141" s="1799"/>
      <c r="G141" s="1799"/>
      <c r="H141" s="1799"/>
      <c r="I141" s="1859"/>
      <c r="J141" s="1859"/>
      <c r="K141" s="1859"/>
      <c r="L141" s="1859"/>
      <c r="M141" s="1859"/>
      <c r="N141" s="1859"/>
      <c r="O141" s="1859"/>
      <c r="P141" s="1859"/>
    </row>
    <row r="142" spans="1:16" ht="15" customHeight="1" thickBot="1">
      <c r="A142" s="2631" t="s">
        <v>80</v>
      </c>
      <c r="B142" s="2627" t="s">
        <v>561</v>
      </c>
      <c r="C142" s="2632" t="s">
        <v>8</v>
      </c>
      <c r="D142" s="2633" t="s">
        <v>81</v>
      </c>
      <c r="E142" s="2633"/>
      <c r="F142" s="2633"/>
      <c r="G142" s="2633"/>
      <c r="H142" s="2633"/>
      <c r="I142" s="2633"/>
      <c r="J142" s="2625" t="s">
        <v>82</v>
      </c>
      <c r="K142" s="2625"/>
      <c r="L142" s="2625"/>
      <c r="M142" s="2625"/>
      <c r="N142" s="2625"/>
      <c r="O142" s="1859"/>
      <c r="P142" s="1859"/>
    </row>
    <row r="143" spans="1:16" ht="128.25">
      <c r="A143" s="2631"/>
      <c r="B143" s="2627"/>
      <c r="C143" s="2632"/>
      <c r="D143" s="1885" t="s">
        <v>83</v>
      </c>
      <c r="E143" s="1886" t="s">
        <v>84</v>
      </c>
      <c r="F143" s="1887" t="s">
        <v>85</v>
      </c>
      <c r="G143" s="1887" t="s">
        <v>86</v>
      </c>
      <c r="H143" s="1887" t="s">
        <v>87</v>
      </c>
      <c r="I143" s="1888" t="s">
        <v>88</v>
      </c>
      <c r="J143" s="1889" t="s">
        <v>562</v>
      </c>
      <c r="K143" s="1890" t="s">
        <v>90</v>
      </c>
      <c r="L143" s="1889" t="s">
        <v>91</v>
      </c>
      <c r="M143" s="1890" t="s">
        <v>90</v>
      </c>
      <c r="N143" s="1891" t="s">
        <v>92</v>
      </c>
      <c r="O143" s="1859"/>
      <c r="P143" s="1859"/>
    </row>
    <row r="144" spans="1:16" ht="15.75" thickBot="1">
      <c r="A144" s="2622" t="s">
        <v>563</v>
      </c>
      <c r="B144" s="2622"/>
      <c r="C144" s="1797">
        <v>2014</v>
      </c>
      <c r="D144" s="1766"/>
      <c r="E144" s="1766"/>
      <c r="F144" s="1767"/>
      <c r="G144" s="1815"/>
      <c r="H144" s="1815"/>
      <c r="I144" s="1892">
        <f>D144+F144+G144+H144</f>
        <v>0</v>
      </c>
      <c r="J144" s="1893"/>
      <c r="K144" s="1797"/>
      <c r="L144" s="1893"/>
      <c r="M144" s="1797"/>
      <c r="N144" s="1894"/>
      <c r="O144" s="1859"/>
      <c r="P144" s="1859"/>
    </row>
    <row r="145" spans="1:16" ht="15.75" thickBot="1">
      <c r="A145" s="2622"/>
      <c r="B145" s="2622"/>
      <c r="C145" s="232">
        <v>2015</v>
      </c>
      <c r="D145" s="50">
        <v>2</v>
      </c>
      <c r="E145" s="50">
        <v>2</v>
      </c>
      <c r="F145" s="50">
        <v>3</v>
      </c>
      <c r="G145" s="50">
        <v>3</v>
      </c>
      <c r="H145" s="50">
        <v>2</v>
      </c>
      <c r="I145" s="1892">
        <f>SUM(D145:H145)</f>
        <v>12</v>
      </c>
      <c r="J145" s="231">
        <v>5</v>
      </c>
      <c r="K145" s="232">
        <v>1</v>
      </c>
      <c r="L145" s="231">
        <v>0</v>
      </c>
      <c r="M145" s="232">
        <v>0</v>
      </c>
      <c r="N145" s="233">
        <v>0</v>
      </c>
      <c r="O145" s="1859"/>
      <c r="P145" s="1859"/>
    </row>
    <row r="146" spans="1:16" ht="15.75" thickBot="1">
      <c r="A146" s="2622"/>
      <c r="B146" s="2622"/>
      <c r="C146" s="232">
        <v>2016</v>
      </c>
      <c r="D146" s="50">
        <v>0</v>
      </c>
      <c r="E146" s="50">
        <v>1</v>
      </c>
      <c r="F146" s="42">
        <v>4</v>
      </c>
      <c r="G146" s="190">
        <v>12</v>
      </c>
      <c r="H146" s="190">
        <v>4</v>
      </c>
      <c r="I146" s="1892">
        <f>'[1]RAZEM GZ'!I146+'[1]RAZEM PB'!I146+'[1]RAZEM ROW'!I146+'[1]RAZEM SSO'!I146+'[1]RAZEM SAR'!I146+'[1]RAZEM RR'!I146+'[1]RAZEM BPT'!I146</f>
        <v>20</v>
      </c>
      <c r="J146" s="231">
        <f>'[1]RAZEM GZ'!J146+'[1]RAZEM PB'!J146+'[1]RAZEM ROW'!J146+'[1]RAZEM SSO'!J146+'[1]RAZEM SAR'!J146+'[1]RAZEM RR'!J146+'[1]RAZEM BPT'!J146</f>
        <v>20</v>
      </c>
      <c r="K146" s="232">
        <f>'[1]RAZEM GZ'!K146+'[1]RAZEM PB'!K146+'[1]RAZEM ROW'!K146+'[1]RAZEM SSO'!K146+'[1]RAZEM SAR'!K146+'[1]RAZEM RR'!K146+'[1]RAZEM BPT'!K146</f>
        <v>2</v>
      </c>
      <c r="L146" s="231">
        <f>'[1]RAZEM GZ'!L146+'[1]RAZEM PB'!L146+'[1]RAZEM ROW'!L146+'[1]RAZEM SSO'!L146+'[1]RAZEM SAR'!L146+'[1]RAZEM RR'!L146+'[1]RAZEM BPT'!L146</f>
        <v>0</v>
      </c>
      <c r="M146" s="232">
        <f>'[1]RAZEM GZ'!M146+'[1]RAZEM PB'!M146+'[1]RAZEM ROW'!M146+'[1]RAZEM SSO'!M146+'[1]RAZEM SAR'!M146+'[1]RAZEM RR'!M146+'[1]RAZEM BPT'!M146</f>
        <v>0</v>
      </c>
      <c r="N146" s="233">
        <f>'[1]RAZEM GZ'!N146+'[1]RAZEM PB'!N146+'[1]RAZEM ROW'!N146+'[1]RAZEM SSO'!N146+'[1]RAZEM SAR'!N146+'[1]RAZEM RR'!N146+'[1]RAZEM BPT'!N146</f>
        <v>0</v>
      </c>
      <c r="O146" s="1859"/>
      <c r="P146" s="1859"/>
    </row>
    <row r="147" spans="1:16" ht="15.75" thickBot="1">
      <c r="A147" s="2622"/>
      <c r="B147" s="2622"/>
      <c r="C147" s="232">
        <v>2017</v>
      </c>
      <c r="D147" s="50"/>
      <c r="E147" s="50"/>
      <c r="F147" s="42"/>
      <c r="G147" s="190"/>
      <c r="H147" s="190"/>
      <c r="I147" s="1892">
        <f>D147+F147+G147+H147</f>
        <v>0</v>
      </c>
      <c r="J147" s="231"/>
      <c r="K147" s="232"/>
      <c r="L147" s="231"/>
      <c r="M147" s="232"/>
      <c r="N147" s="233"/>
      <c r="O147" s="1859"/>
      <c r="P147" s="1859"/>
    </row>
    <row r="148" spans="1:16" ht="15.75" thickBot="1">
      <c r="A148" s="2622"/>
      <c r="B148" s="2622"/>
      <c r="C148" s="232">
        <v>2018</v>
      </c>
      <c r="D148" s="50"/>
      <c r="E148" s="50"/>
      <c r="F148" s="42"/>
      <c r="G148" s="190"/>
      <c r="H148" s="190"/>
      <c r="I148" s="1892">
        <f>D148+F148+G148+H148</f>
        <v>0</v>
      </c>
      <c r="J148" s="231"/>
      <c r="K148" s="232"/>
      <c r="L148" s="231"/>
      <c r="M148" s="232"/>
      <c r="N148" s="233"/>
      <c r="O148" s="1859"/>
      <c r="P148" s="1859"/>
    </row>
    <row r="149" spans="1:16" ht="15.75" thickBot="1">
      <c r="A149" s="2622"/>
      <c r="B149" s="2622"/>
      <c r="C149" s="232">
        <v>2019</v>
      </c>
      <c r="D149" s="50"/>
      <c r="E149" s="50"/>
      <c r="F149" s="42"/>
      <c r="G149" s="190"/>
      <c r="H149" s="190"/>
      <c r="I149" s="1892">
        <f>D149+F149+G149+H149</f>
        <v>0</v>
      </c>
      <c r="J149" s="231"/>
      <c r="K149" s="232"/>
      <c r="L149" s="231"/>
      <c r="M149" s="232"/>
      <c r="N149" s="233"/>
      <c r="O149" s="1859"/>
      <c r="P149" s="1859"/>
    </row>
    <row r="150" spans="1:16" ht="15.75" thickBot="1">
      <c r="A150" s="2622"/>
      <c r="B150" s="2622"/>
      <c r="C150" s="232">
        <v>2020</v>
      </c>
      <c r="D150" s="50"/>
      <c r="E150" s="50"/>
      <c r="F150" s="42"/>
      <c r="G150" s="190"/>
      <c r="H150" s="190"/>
      <c r="I150" s="1892">
        <f>D150+F150+G150+H150</f>
        <v>0</v>
      </c>
      <c r="J150" s="231"/>
      <c r="K150" s="232"/>
      <c r="L150" s="231"/>
      <c r="M150" s="232"/>
      <c r="N150" s="233"/>
      <c r="O150" s="1859"/>
      <c r="P150" s="1859"/>
    </row>
    <row r="151" spans="1:16" ht="15.75" thickBot="1">
      <c r="A151" s="2622"/>
      <c r="B151" s="2622"/>
      <c r="C151" s="1818" t="s">
        <v>12</v>
      </c>
      <c r="D151" s="1838">
        <f t="shared" ref="D151:N151" si="10">SUM(D144:D150)</f>
        <v>2</v>
      </c>
      <c r="E151" s="1838">
        <f t="shared" si="10"/>
        <v>3</v>
      </c>
      <c r="F151" s="1838">
        <f t="shared" si="10"/>
        <v>7</v>
      </c>
      <c r="G151" s="1838">
        <f t="shared" si="10"/>
        <v>15</v>
      </c>
      <c r="H151" s="1838">
        <f t="shared" si="10"/>
        <v>6</v>
      </c>
      <c r="I151" s="1895">
        <f t="shared" si="10"/>
        <v>32</v>
      </c>
      <c r="J151" s="1896">
        <f t="shared" si="10"/>
        <v>25</v>
      </c>
      <c r="K151" s="1897">
        <f t="shared" si="10"/>
        <v>3</v>
      </c>
      <c r="L151" s="1896">
        <f t="shared" si="10"/>
        <v>0</v>
      </c>
      <c r="M151" s="1897">
        <f t="shared" si="10"/>
        <v>0</v>
      </c>
      <c r="N151" s="1898">
        <f t="shared" si="10"/>
        <v>0</v>
      </c>
      <c r="O151" s="1859"/>
      <c r="P151" s="1859"/>
    </row>
    <row r="152" spans="1:16" ht="15.75" thickBot="1">
      <c r="B152" s="1899"/>
      <c r="O152" s="1859"/>
      <c r="P152" s="1859"/>
    </row>
    <row r="153" spans="1:16" ht="39" customHeight="1" thickBot="1">
      <c r="A153" s="2626" t="s">
        <v>93</v>
      </c>
      <c r="B153" s="2627" t="s">
        <v>561</v>
      </c>
      <c r="C153" s="2628" t="s">
        <v>8</v>
      </c>
      <c r="D153" s="2629" t="s">
        <v>94</v>
      </c>
      <c r="E153" s="2629"/>
      <c r="F153" s="2629"/>
      <c r="G153" s="2629"/>
      <c r="H153" s="2630" t="s">
        <v>95</v>
      </c>
      <c r="I153" s="2630"/>
      <c r="J153" s="2630"/>
      <c r="K153" s="31"/>
      <c r="L153" s="31"/>
      <c r="M153" s="31"/>
      <c r="N153" s="31"/>
      <c r="O153" s="1859"/>
      <c r="P153" s="1859"/>
    </row>
    <row r="154" spans="1:16" ht="77.25">
      <c r="A154" s="2626"/>
      <c r="B154" s="2627"/>
      <c r="C154" s="2628"/>
      <c r="D154" s="1900" t="s">
        <v>96</v>
      </c>
      <c r="E154" s="1901" t="s">
        <v>329</v>
      </c>
      <c r="F154" s="1902" t="s">
        <v>98</v>
      </c>
      <c r="G154" s="1903" t="s">
        <v>99</v>
      </c>
      <c r="H154" s="1900" t="s">
        <v>100</v>
      </c>
      <c r="I154" s="1901" t="s">
        <v>101</v>
      </c>
      <c r="J154" s="1904" t="s">
        <v>92</v>
      </c>
      <c r="K154" s="31"/>
      <c r="L154" s="31"/>
      <c r="M154" s="31"/>
      <c r="N154" s="31"/>
      <c r="O154" s="1859"/>
      <c r="P154" s="1859"/>
    </row>
    <row r="155" spans="1:16" ht="15.75" thickBot="1">
      <c r="A155" s="2622" t="s">
        <v>557</v>
      </c>
      <c r="B155" s="2622"/>
      <c r="C155" s="1905">
        <v>2014</v>
      </c>
      <c r="D155" s="1893"/>
      <c r="E155" s="1815"/>
      <c r="F155" s="1797"/>
      <c r="G155" s="1892">
        <f>SUM(D155:F155)</f>
        <v>0</v>
      </c>
      <c r="H155" s="1893"/>
      <c r="I155" s="1815"/>
      <c r="J155" s="1869"/>
      <c r="O155" s="1859"/>
      <c r="P155" s="1859"/>
    </row>
    <row r="156" spans="1:16" ht="15.75" thickBot="1">
      <c r="A156" s="2622"/>
      <c r="B156" s="2622"/>
      <c r="C156" s="1906">
        <v>2015</v>
      </c>
      <c r="D156" s="231"/>
      <c r="E156" s="190"/>
      <c r="F156" s="232"/>
      <c r="G156" s="1892">
        <f>SUM(D156:F156)</f>
        <v>0</v>
      </c>
      <c r="H156" s="231"/>
      <c r="I156" s="190"/>
      <c r="J156" s="193"/>
      <c r="O156" s="1859"/>
      <c r="P156" s="1859"/>
    </row>
    <row r="157" spans="1:16" ht="15.75" thickBot="1">
      <c r="A157" s="2622"/>
      <c r="B157" s="2622"/>
      <c r="C157" s="1906">
        <v>2016</v>
      </c>
      <c r="D157" s="50">
        <v>0</v>
      </c>
      <c r="E157" s="50">
        <v>0</v>
      </c>
      <c r="F157" s="232">
        <v>0</v>
      </c>
      <c r="G157" s="1892">
        <f>'[1]RAZEM GZ'!G157+'[1]RAZEM PB'!G157+'[1]RAZEM ROW'!G157+'[1]RAZEM SSO'!G157+'[1]RAZEM SAR'!G157+'[1]RAZEM RR'!G157+'[1]RAZEM BPT'!G157</f>
        <v>0</v>
      </c>
      <c r="H157" s="231">
        <v>0</v>
      </c>
      <c r="I157" s="190">
        <v>0</v>
      </c>
      <c r="J157" s="193">
        <v>0</v>
      </c>
      <c r="O157" s="1859"/>
      <c r="P157" s="1859"/>
    </row>
    <row r="158" spans="1:16" ht="15.75" thickBot="1">
      <c r="A158" s="2622"/>
      <c r="B158" s="2622"/>
      <c r="C158" s="1906">
        <v>2017</v>
      </c>
      <c r="D158" s="231"/>
      <c r="E158" s="190"/>
      <c r="F158" s="232"/>
      <c r="G158" s="1892">
        <f>SUM(D158:F158)</f>
        <v>0</v>
      </c>
      <c r="H158" s="231"/>
      <c r="I158" s="190"/>
      <c r="J158" s="193"/>
      <c r="O158" s="1859"/>
      <c r="P158" s="1859"/>
    </row>
    <row r="159" spans="1:16" ht="15.75" thickBot="1">
      <c r="A159" s="2622"/>
      <c r="B159" s="2622"/>
      <c r="C159" s="1906">
        <v>2018</v>
      </c>
      <c r="D159" s="231"/>
      <c r="E159" s="190"/>
      <c r="F159" s="232"/>
      <c r="G159" s="1892">
        <f>SUM(D159:F159)</f>
        <v>0</v>
      </c>
      <c r="H159" s="231"/>
      <c r="I159" s="190"/>
      <c r="J159" s="193"/>
      <c r="O159" s="1859"/>
      <c r="P159" s="1859"/>
    </row>
    <row r="160" spans="1:16" ht="15.75" thickBot="1">
      <c r="A160" s="2622"/>
      <c r="B160" s="2622"/>
      <c r="C160" s="1906">
        <v>2019</v>
      </c>
      <c r="D160" s="231"/>
      <c r="E160" s="190"/>
      <c r="F160" s="232"/>
      <c r="G160" s="1892">
        <f>SUM(D160:F160)</f>
        <v>0</v>
      </c>
      <c r="H160" s="231"/>
      <c r="I160" s="190"/>
      <c r="J160" s="193"/>
      <c r="O160" s="1859"/>
      <c r="P160" s="1859"/>
    </row>
    <row r="161" spans="1:18" ht="15.75" thickBot="1">
      <c r="A161" s="2622"/>
      <c r="B161" s="2622"/>
      <c r="C161" s="1906">
        <v>2020</v>
      </c>
      <c r="D161" s="231"/>
      <c r="E161" s="190"/>
      <c r="F161" s="232"/>
      <c r="G161" s="1892">
        <f>SUM(D161:F161)</f>
        <v>0</v>
      </c>
      <c r="H161" s="231"/>
      <c r="I161" s="190"/>
      <c r="J161" s="193"/>
      <c r="O161" s="1859"/>
      <c r="P161" s="1859"/>
    </row>
    <row r="162" spans="1:18" ht="15.75" thickBot="1">
      <c r="A162" s="2622"/>
      <c r="B162" s="2622"/>
      <c r="C162" s="1907" t="s">
        <v>12</v>
      </c>
      <c r="D162" s="1896">
        <f t="shared" ref="D162:J162" si="11">SUM(D155:D161)</f>
        <v>0</v>
      </c>
      <c r="E162" s="1871">
        <f t="shared" si="11"/>
        <v>0</v>
      </c>
      <c r="F162" s="1897">
        <f t="shared" si="11"/>
        <v>0</v>
      </c>
      <c r="G162" s="1897">
        <f t="shared" si="11"/>
        <v>0</v>
      </c>
      <c r="H162" s="1896">
        <f t="shared" si="11"/>
        <v>0</v>
      </c>
      <c r="I162" s="1871">
        <f t="shared" si="11"/>
        <v>0</v>
      </c>
      <c r="J162" s="1908">
        <f t="shared" si="11"/>
        <v>0</v>
      </c>
    </row>
    <row r="163" spans="1:18" ht="15.75" thickBot="1">
      <c r="A163" s="1884"/>
      <c r="B163" s="1801"/>
      <c r="C163" s="1909"/>
      <c r="D163" s="1859"/>
      <c r="E163" s="1910"/>
      <c r="F163" s="1859"/>
      <c r="G163" s="1859"/>
      <c r="H163" s="1859"/>
      <c r="I163" s="1859"/>
      <c r="J163" s="1840"/>
      <c r="K163" s="1911"/>
    </row>
    <row r="164" spans="1:18" ht="90.75">
      <c r="A164" s="1912" t="s">
        <v>102</v>
      </c>
      <c r="B164" s="1913" t="s">
        <v>560</v>
      </c>
      <c r="C164" s="1914" t="s">
        <v>8</v>
      </c>
      <c r="D164" s="1915" t="s">
        <v>104</v>
      </c>
      <c r="E164" s="1915" t="s">
        <v>105</v>
      </c>
      <c r="F164" s="1916" t="s">
        <v>106</v>
      </c>
      <c r="G164" s="1915" t="s">
        <v>107</v>
      </c>
      <c r="H164" s="1915" t="s">
        <v>108</v>
      </c>
      <c r="I164" s="1917" t="s">
        <v>109</v>
      </c>
      <c r="J164" s="1918" t="s">
        <v>110</v>
      </c>
      <c r="K164" s="1918" t="s">
        <v>111</v>
      </c>
      <c r="L164" s="1371"/>
    </row>
    <row r="165" spans="1:18" ht="15.75" thickBot="1">
      <c r="A165" s="2622" t="s">
        <v>557</v>
      </c>
      <c r="B165" s="2622"/>
      <c r="C165" s="1919">
        <v>2014</v>
      </c>
      <c r="D165" s="1815"/>
      <c r="E165" s="1815"/>
      <c r="F165" s="1815"/>
      <c r="G165" s="1815"/>
      <c r="H165" s="1815"/>
      <c r="I165" s="1869"/>
      <c r="J165" s="1920">
        <f t="shared" ref="J165:K171" si="12">SUM(D165,F165,H165)</f>
        <v>0</v>
      </c>
      <c r="K165" s="1921">
        <f t="shared" si="12"/>
        <v>0</v>
      </c>
      <c r="L165" s="1371"/>
    </row>
    <row r="166" spans="1:18" ht="15.75" thickBot="1">
      <c r="A166" s="2622"/>
      <c r="B166" s="2622"/>
      <c r="C166" s="1922">
        <v>2015</v>
      </c>
      <c r="D166" s="1923"/>
      <c r="E166" s="1923"/>
      <c r="F166" s="1923"/>
      <c r="G166" s="1923"/>
      <c r="H166" s="1923"/>
      <c r="I166" s="1924"/>
      <c r="J166" s="1925">
        <f t="shared" si="12"/>
        <v>0</v>
      </c>
      <c r="K166" s="1926">
        <f t="shared" si="12"/>
        <v>0</v>
      </c>
      <c r="L166" s="1371"/>
    </row>
    <row r="167" spans="1:18" ht="15.75" thickBot="1">
      <c r="A167" s="2622"/>
      <c r="B167" s="2622"/>
      <c r="C167" s="1922">
        <v>2016</v>
      </c>
      <c r="D167" s="50">
        <v>0</v>
      </c>
      <c r="E167" s="1923">
        <v>0</v>
      </c>
      <c r="F167" s="1923">
        <v>0</v>
      </c>
      <c r="G167" s="1923">
        <v>0</v>
      </c>
      <c r="H167" s="1923">
        <v>0</v>
      </c>
      <c r="I167" s="1924">
        <v>0</v>
      </c>
      <c r="J167" s="1925">
        <f t="shared" si="12"/>
        <v>0</v>
      </c>
      <c r="K167" s="1926">
        <f t="shared" si="12"/>
        <v>0</v>
      </c>
    </row>
    <row r="168" spans="1:18" ht="15.75" thickBot="1">
      <c r="A168" s="2622"/>
      <c r="B168" s="2622"/>
      <c r="C168" s="1922">
        <v>2017</v>
      </c>
      <c r="D168" s="1923"/>
      <c r="E168" s="1859"/>
      <c r="F168" s="1923"/>
      <c r="G168" s="1923"/>
      <c r="H168" s="1923"/>
      <c r="I168" s="1924"/>
      <c r="J168" s="1925">
        <f t="shared" si="12"/>
        <v>0</v>
      </c>
      <c r="K168" s="1926">
        <f t="shared" si="12"/>
        <v>0</v>
      </c>
    </row>
    <row r="169" spans="1:18" ht="15.75" thickBot="1">
      <c r="A169" s="2622"/>
      <c r="B169" s="2622"/>
      <c r="C169" s="1927">
        <v>2018</v>
      </c>
      <c r="D169" s="1923"/>
      <c r="E169" s="1923"/>
      <c r="F169" s="1923"/>
      <c r="G169" s="1928"/>
      <c r="H169" s="1923"/>
      <c r="I169" s="1924"/>
      <c r="J169" s="1925">
        <f t="shared" si="12"/>
        <v>0</v>
      </c>
      <c r="K169" s="1926">
        <f t="shared" si="12"/>
        <v>0</v>
      </c>
      <c r="L169" s="1371"/>
    </row>
    <row r="170" spans="1:18" ht="15.75" thickBot="1">
      <c r="A170" s="2622"/>
      <c r="B170" s="2622"/>
      <c r="C170" s="1922">
        <v>2019</v>
      </c>
      <c r="D170" s="1859"/>
      <c r="E170" s="1923"/>
      <c r="F170" s="1923"/>
      <c r="G170" s="1923"/>
      <c r="H170" s="1928"/>
      <c r="I170" s="1924"/>
      <c r="J170" s="1925">
        <f t="shared" si="12"/>
        <v>0</v>
      </c>
      <c r="K170" s="1926">
        <f t="shared" si="12"/>
        <v>0</v>
      </c>
      <c r="L170" s="1371"/>
    </row>
    <row r="171" spans="1:18" ht="15.75" thickBot="1">
      <c r="A171" s="2622"/>
      <c r="B171" s="2622"/>
      <c r="C171" s="1927">
        <v>2020</v>
      </c>
      <c r="D171" s="1923"/>
      <c r="E171" s="1923"/>
      <c r="F171" s="1923"/>
      <c r="G171" s="1923"/>
      <c r="H171" s="1923"/>
      <c r="I171" s="1924"/>
      <c r="J171" s="1925">
        <f t="shared" si="12"/>
        <v>0</v>
      </c>
      <c r="K171" s="1926">
        <f t="shared" si="12"/>
        <v>0</v>
      </c>
      <c r="L171" s="1371"/>
    </row>
    <row r="172" spans="1:18" ht="15.75" thickBot="1">
      <c r="A172" s="2622"/>
      <c r="B172" s="2622"/>
      <c r="C172" s="1929" t="s">
        <v>12</v>
      </c>
      <c r="D172" s="1871">
        <f t="shared" ref="D172:K172" si="13">SUM(D165:D171)</f>
        <v>0</v>
      </c>
      <c r="E172" s="1871">
        <f t="shared" si="13"/>
        <v>0</v>
      </c>
      <c r="F172" s="1871">
        <f t="shared" si="13"/>
        <v>0</v>
      </c>
      <c r="G172" s="1871">
        <f t="shared" si="13"/>
        <v>0</v>
      </c>
      <c r="H172" s="1871">
        <f t="shared" si="13"/>
        <v>0</v>
      </c>
      <c r="I172" s="1930">
        <f t="shared" si="13"/>
        <v>0</v>
      </c>
      <c r="J172" s="1931">
        <f t="shared" si="13"/>
        <v>0</v>
      </c>
      <c r="K172" s="1896">
        <f t="shared" si="13"/>
        <v>0</v>
      </c>
      <c r="L172" s="1371"/>
    </row>
    <row r="173" spans="1:18">
      <c r="A173" s="1884"/>
      <c r="B173" s="1801"/>
      <c r="C173" s="1802"/>
      <c r="D173" s="8"/>
      <c r="E173" s="8"/>
      <c r="F173" s="8"/>
      <c r="G173" s="199"/>
      <c r="H173" s="199"/>
      <c r="I173" s="199"/>
      <c r="J173" s="199"/>
      <c r="K173" s="199"/>
      <c r="L173" s="199"/>
      <c r="M173" s="199"/>
      <c r="N173" s="199"/>
      <c r="O173" s="199"/>
      <c r="P173" s="199"/>
      <c r="Q173" s="199"/>
      <c r="R173" s="1881"/>
    </row>
    <row r="174" spans="1:18" ht="21">
      <c r="A174" s="1932" t="s">
        <v>112</v>
      </c>
      <c r="B174" s="1932"/>
      <c r="C174" s="1933"/>
      <c r="D174" s="1933"/>
      <c r="E174" s="1933"/>
      <c r="F174" s="1933"/>
      <c r="G174" s="1933"/>
      <c r="H174" s="1933"/>
      <c r="I174" s="1933"/>
      <c r="J174" s="1933"/>
      <c r="K174" s="1933"/>
      <c r="L174" s="1933"/>
      <c r="M174" s="1933"/>
      <c r="N174" s="1933"/>
      <c r="O174" s="1933"/>
    </row>
    <row r="175" spans="1:18" ht="21.75" thickBot="1">
      <c r="A175" s="1858"/>
      <c r="B175" s="1858"/>
    </row>
    <row r="176" spans="1:18" s="31" customFormat="1" ht="15.75" customHeight="1" thickBot="1">
      <c r="A176" s="2623" t="s">
        <v>113</v>
      </c>
      <c r="B176" s="2617" t="s">
        <v>564</v>
      </c>
      <c r="C176" s="2624" t="s">
        <v>8</v>
      </c>
      <c r="D176" s="2621" t="s">
        <v>123</v>
      </c>
      <c r="E176" s="2621"/>
      <c r="F176" s="2621"/>
      <c r="G176" s="2621"/>
      <c r="H176" s="1934"/>
      <c r="I176" s="2615" t="s">
        <v>116</v>
      </c>
      <c r="J176" s="2615"/>
      <c r="K176" s="2615"/>
      <c r="L176" s="2615"/>
      <c r="M176" s="2615"/>
      <c r="N176" s="2615"/>
      <c r="O176" s="2615"/>
    </row>
    <row r="177" spans="1:15" ht="141">
      <c r="A177" s="2623"/>
      <c r="B177" s="2617"/>
      <c r="C177" s="2624"/>
      <c r="D177" s="1935" t="s">
        <v>117</v>
      </c>
      <c r="E177" s="1936" t="s">
        <v>118</v>
      </c>
      <c r="F177" s="1936" t="s">
        <v>119</v>
      </c>
      <c r="G177" s="1937" t="s">
        <v>120</v>
      </c>
      <c r="H177" s="1938" t="s">
        <v>121</v>
      </c>
      <c r="I177" s="1939" t="s">
        <v>323</v>
      </c>
      <c r="J177" s="1940" t="s">
        <v>53</v>
      </c>
      <c r="K177" s="1940" t="s">
        <v>54</v>
      </c>
      <c r="L177" s="1940" t="s">
        <v>55</v>
      </c>
      <c r="M177" s="1940" t="s">
        <v>56</v>
      </c>
      <c r="N177" s="1940" t="s">
        <v>57</v>
      </c>
      <c r="O177" s="1941" t="s">
        <v>58</v>
      </c>
    </row>
    <row r="178" spans="1:15" ht="15.75" thickBot="1">
      <c r="A178" s="2613" t="s">
        <v>565</v>
      </c>
      <c r="B178" s="2613"/>
      <c r="C178" s="1797">
        <v>2014</v>
      </c>
      <c r="D178" s="1766"/>
      <c r="E178" s="1767"/>
      <c r="F178" s="1767"/>
      <c r="G178" s="1942">
        <f>SUM(D178:F178)</f>
        <v>0</v>
      </c>
      <c r="H178" s="1853"/>
      <c r="I178" s="1853"/>
      <c r="J178" s="1767"/>
      <c r="K178" s="1767"/>
      <c r="L178" s="1767"/>
      <c r="M178" s="1767"/>
      <c r="N178" s="1767"/>
      <c r="O178" s="1770"/>
    </row>
    <row r="179" spans="1:15" ht="15.75" thickBot="1">
      <c r="A179" s="2613"/>
      <c r="B179" s="2613"/>
      <c r="C179" s="232">
        <v>2015</v>
      </c>
      <c r="D179" s="50">
        <v>7</v>
      </c>
      <c r="E179" s="42">
        <v>7</v>
      </c>
      <c r="F179" s="42">
        <v>1</v>
      </c>
      <c r="G179" s="1942">
        <f>D179+E179+F179</f>
        <v>15</v>
      </c>
      <c r="H179" s="168">
        <v>23</v>
      </c>
      <c r="I179" s="118">
        <v>0</v>
      </c>
      <c r="J179" s="42">
        <v>3</v>
      </c>
      <c r="K179" s="42">
        <v>0</v>
      </c>
      <c r="L179" s="42">
        <v>0</v>
      </c>
      <c r="M179" s="42">
        <v>0</v>
      </c>
      <c r="N179" s="42">
        <v>0</v>
      </c>
      <c r="O179" s="99">
        <v>12</v>
      </c>
    </row>
    <row r="180" spans="1:15" ht="15.75" thickBot="1">
      <c r="A180" s="2613"/>
      <c r="B180" s="2613"/>
      <c r="C180" s="232">
        <v>2016</v>
      </c>
      <c r="D180" s="50">
        <v>30</v>
      </c>
      <c r="E180" s="42">
        <v>1</v>
      </c>
      <c r="F180" s="42">
        <v>5</v>
      </c>
      <c r="G180" s="1942">
        <f>'[1]RAZEM GZ'!G180+'[1]RAZEM PB'!G180+'[1]RAZEM ROW'!G180+'[1]RAZEM SSO'!G180+'[1]RAZEM SAR'!G180+'[1]RAZEM RR'!G180+'[1]RAZEM BPT'!G180</f>
        <v>36</v>
      </c>
      <c r="H180" s="168">
        <v>51</v>
      </c>
      <c r="I180" s="118">
        <v>1</v>
      </c>
      <c r="J180" s="42">
        <v>1</v>
      </c>
      <c r="K180" s="42">
        <v>12</v>
      </c>
      <c r="L180" s="42">
        <v>11</v>
      </c>
      <c r="M180" s="42">
        <v>0</v>
      </c>
      <c r="N180" s="42">
        <v>0</v>
      </c>
      <c r="O180" s="99">
        <v>11</v>
      </c>
    </row>
    <row r="181" spans="1:15" ht="15.75" thickBot="1">
      <c r="A181" s="2613"/>
      <c r="B181" s="2613"/>
      <c r="C181" s="232">
        <v>2017</v>
      </c>
      <c r="D181" s="50"/>
      <c r="E181" s="42"/>
      <c r="F181" s="42"/>
      <c r="G181" s="1942">
        <f>SUM(D181:F181)</f>
        <v>0</v>
      </c>
      <c r="H181" s="168"/>
      <c r="I181" s="118"/>
      <c r="J181" s="42"/>
      <c r="K181" s="42"/>
      <c r="L181" s="42"/>
      <c r="M181" s="42"/>
      <c r="N181" s="42"/>
      <c r="O181" s="99"/>
    </row>
    <row r="182" spans="1:15" ht="15.75" thickBot="1">
      <c r="A182" s="2613"/>
      <c r="B182" s="2613"/>
      <c r="C182" s="232">
        <v>2018</v>
      </c>
      <c r="D182" s="50"/>
      <c r="E182" s="42"/>
      <c r="F182" s="42"/>
      <c r="G182" s="1942">
        <f>SUM(D182:F182)</f>
        <v>0</v>
      </c>
      <c r="H182" s="168"/>
      <c r="I182" s="118"/>
      <c r="J182" s="42"/>
      <c r="K182" s="42"/>
      <c r="L182" s="42"/>
      <c r="M182" s="42"/>
      <c r="N182" s="42"/>
      <c r="O182" s="99"/>
    </row>
    <row r="183" spans="1:15" ht="15.75" thickBot="1">
      <c r="A183" s="2613"/>
      <c r="B183" s="2613"/>
      <c r="C183" s="232">
        <v>2019</v>
      </c>
      <c r="D183" s="50"/>
      <c r="E183" s="42"/>
      <c r="F183" s="42"/>
      <c r="G183" s="1942">
        <f>SUM(D183:F183)</f>
        <v>0</v>
      </c>
      <c r="H183" s="168"/>
      <c r="I183" s="118"/>
      <c r="J183" s="42"/>
      <c r="K183" s="42"/>
      <c r="L183" s="42"/>
      <c r="M183" s="42"/>
      <c r="N183" s="42"/>
      <c r="O183" s="99"/>
    </row>
    <row r="184" spans="1:15" ht="15.75" thickBot="1">
      <c r="A184" s="2613"/>
      <c r="B184" s="2613"/>
      <c r="C184" s="232">
        <v>2020</v>
      </c>
      <c r="D184" s="50"/>
      <c r="E184" s="42"/>
      <c r="F184" s="42"/>
      <c r="G184" s="1942">
        <f>SUM(D184:F184)</f>
        <v>0</v>
      </c>
      <c r="H184" s="168"/>
      <c r="I184" s="118"/>
      <c r="J184" s="42"/>
      <c r="K184" s="42"/>
      <c r="L184" s="42"/>
      <c r="M184" s="42"/>
      <c r="N184" s="42"/>
      <c r="O184" s="99"/>
    </row>
    <row r="185" spans="1:15" ht="15.75" thickBot="1">
      <c r="A185" s="2613"/>
      <c r="B185" s="2613"/>
      <c r="C185" s="1818" t="s">
        <v>12</v>
      </c>
      <c r="D185" s="1838">
        <f t="shared" ref="D185:O185" si="14">SUM(D178:D184)</f>
        <v>37</v>
      </c>
      <c r="E185" s="1821">
        <f t="shared" si="14"/>
        <v>8</v>
      </c>
      <c r="F185" s="1821">
        <f t="shared" si="14"/>
        <v>6</v>
      </c>
      <c r="G185" s="1895">
        <f t="shared" si="14"/>
        <v>51</v>
      </c>
      <c r="H185" s="1943">
        <f t="shared" si="14"/>
        <v>74</v>
      </c>
      <c r="I185" s="1820">
        <f t="shared" si="14"/>
        <v>1</v>
      </c>
      <c r="J185" s="1821">
        <f t="shared" si="14"/>
        <v>4</v>
      </c>
      <c r="K185" s="1821">
        <f t="shared" si="14"/>
        <v>12</v>
      </c>
      <c r="L185" s="1821">
        <f t="shared" si="14"/>
        <v>11</v>
      </c>
      <c r="M185" s="1821">
        <f t="shared" si="14"/>
        <v>0</v>
      </c>
      <c r="N185" s="1821">
        <f t="shared" si="14"/>
        <v>0</v>
      </c>
      <c r="O185" s="1822">
        <f t="shared" si="14"/>
        <v>23</v>
      </c>
    </row>
    <row r="187" spans="1:15" ht="15" customHeight="1" thickBot="1">
      <c r="A187" s="2616" t="s">
        <v>122</v>
      </c>
      <c r="B187" s="2617" t="s">
        <v>564</v>
      </c>
      <c r="C187" s="2618" t="s">
        <v>8</v>
      </c>
      <c r="D187" s="2619" t="s">
        <v>123</v>
      </c>
      <c r="E187" s="2619"/>
      <c r="F187" s="2619"/>
      <c r="G187" s="2619"/>
      <c r="H187" s="2620" t="s">
        <v>124</v>
      </c>
      <c r="I187" s="2620"/>
      <c r="J187" s="2620"/>
      <c r="K187" s="2620"/>
      <c r="L187" s="2620"/>
    </row>
    <row r="188" spans="1:15" ht="115.5">
      <c r="A188" s="2616"/>
      <c r="B188" s="2617"/>
      <c r="C188" s="2618"/>
      <c r="D188" s="1944" t="s">
        <v>125</v>
      </c>
      <c r="E188" s="1944" t="s">
        <v>126</v>
      </c>
      <c r="F188" s="1944" t="s">
        <v>127</v>
      </c>
      <c r="G188" s="1945" t="s">
        <v>12</v>
      </c>
      <c r="H188" s="1946" t="s">
        <v>128</v>
      </c>
      <c r="I188" s="1944" t="s">
        <v>129</v>
      </c>
      <c r="J188" s="1944" t="s">
        <v>130</v>
      </c>
      <c r="K188" s="1944" t="s">
        <v>333</v>
      </c>
      <c r="L188" s="1947" t="s">
        <v>132</v>
      </c>
    </row>
    <row r="189" spans="1:15" ht="15.75" thickBot="1">
      <c r="A189" s="2612" t="s">
        <v>566</v>
      </c>
      <c r="B189" s="2612"/>
      <c r="C189" s="1948">
        <v>2014</v>
      </c>
      <c r="D189" s="1834"/>
      <c r="E189" s="1817"/>
      <c r="F189" s="1817"/>
      <c r="G189" s="1949">
        <f>SUM(D189:F189)</f>
        <v>0</v>
      </c>
      <c r="H189" s="1816"/>
      <c r="I189" s="1817"/>
      <c r="J189" s="1817"/>
      <c r="K189" s="1817"/>
      <c r="L189" s="1835"/>
    </row>
    <row r="190" spans="1:15" ht="15.75" thickBot="1">
      <c r="A190" s="2612"/>
      <c r="B190" s="2612"/>
      <c r="C190" s="232">
        <v>2015</v>
      </c>
      <c r="D190" s="50">
        <v>851</v>
      </c>
      <c r="E190" s="42">
        <v>664</v>
      </c>
      <c r="F190" s="42">
        <v>192</v>
      </c>
      <c r="G190" s="1949">
        <f>D190+E190+F190</f>
        <v>1707</v>
      </c>
      <c r="H190" s="118">
        <v>29</v>
      </c>
      <c r="I190" s="42">
        <v>11</v>
      </c>
      <c r="J190" s="42">
        <v>75</v>
      </c>
      <c r="K190" s="42">
        <v>947</v>
      </c>
      <c r="L190" s="99">
        <v>10</v>
      </c>
    </row>
    <row r="191" spans="1:15" ht="15.75" thickBot="1">
      <c r="A191" s="2612"/>
      <c r="B191" s="2612"/>
      <c r="C191" s="232">
        <v>2016</v>
      </c>
      <c r="D191" s="50">
        <v>3751</v>
      </c>
      <c r="E191" s="42">
        <v>34</v>
      </c>
      <c r="F191" s="42">
        <v>61</v>
      </c>
      <c r="G191" s="1949">
        <f>'[1]RAZEM GZ'!G191+'[1]RAZEM PB'!G191+'[1]RAZEM ROW'!G191+'[1]RAZEM SSO'!G191+'[1]RAZEM SAR'!G191+'[1]RAZEM RR'!G191+'[1]RAZEM BPT'!G191</f>
        <v>3846</v>
      </c>
      <c r="H191" s="118">
        <v>104</v>
      </c>
      <c r="I191" s="42">
        <v>388</v>
      </c>
      <c r="J191" s="42">
        <v>2148</v>
      </c>
      <c r="K191" s="42">
        <v>65</v>
      </c>
      <c r="L191" s="99">
        <v>1141</v>
      </c>
    </row>
    <row r="192" spans="1:15" ht="15.75" thickBot="1">
      <c r="A192" s="2612"/>
      <c r="B192" s="2612"/>
      <c r="C192" s="232">
        <v>2017</v>
      </c>
      <c r="D192" s="50"/>
      <c r="E192" s="42"/>
      <c r="F192" s="42"/>
      <c r="G192" s="1949">
        <f>SUM(D192:F192)</f>
        <v>0</v>
      </c>
      <c r="H192" s="118"/>
      <c r="I192" s="42"/>
      <c r="J192" s="42"/>
      <c r="K192" s="42"/>
      <c r="L192" s="99"/>
    </row>
    <row r="193" spans="1:12" ht="15.75" thickBot="1">
      <c r="A193" s="2612"/>
      <c r="B193" s="2612"/>
      <c r="C193" s="232">
        <v>2018</v>
      </c>
      <c r="D193" s="50"/>
      <c r="E193" s="42"/>
      <c r="F193" s="42"/>
      <c r="G193" s="1949">
        <f>SUM(D193:F193)</f>
        <v>0</v>
      </c>
      <c r="H193" s="118"/>
      <c r="I193" s="42"/>
      <c r="J193" s="42"/>
      <c r="K193" s="42"/>
      <c r="L193" s="99"/>
    </row>
    <row r="194" spans="1:12" ht="15.75" thickBot="1">
      <c r="A194" s="2612"/>
      <c r="B194" s="2612"/>
      <c r="C194" s="232">
        <v>2019</v>
      </c>
      <c r="D194" s="50"/>
      <c r="E194" s="42"/>
      <c r="F194" s="42"/>
      <c r="G194" s="1949">
        <f>SUM(D194:F194)</f>
        <v>0</v>
      </c>
      <c r="H194" s="118"/>
      <c r="I194" s="42"/>
      <c r="J194" s="42"/>
      <c r="K194" s="42"/>
      <c r="L194" s="99"/>
    </row>
    <row r="195" spans="1:12" ht="15.75" thickBot="1">
      <c r="A195" s="2612"/>
      <c r="B195" s="2612"/>
      <c r="C195" s="232">
        <v>2020</v>
      </c>
      <c r="D195" s="50"/>
      <c r="E195" s="42"/>
      <c r="F195" s="42"/>
      <c r="G195" s="1949">
        <f>SUM(D195:F195)</f>
        <v>0</v>
      </c>
      <c r="H195" s="118"/>
      <c r="I195" s="42"/>
      <c r="J195" s="42"/>
      <c r="K195" s="42"/>
      <c r="L195" s="99"/>
    </row>
    <row r="196" spans="1:12" ht="15.75" thickBot="1">
      <c r="A196" s="2612"/>
      <c r="B196" s="2612"/>
      <c r="C196" s="1818" t="s">
        <v>12</v>
      </c>
      <c r="D196" s="1838">
        <f t="shared" ref="D196:L196" si="15">SUM(D189:D195)</f>
        <v>4602</v>
      </c>
      <c r="E196" s="1821">
        <f t="shared" si="15"/>
        <v>698</v>
      </c>
      <c r="F196" s="1821">
        <f t="shared" si="15"/>
        <v>253</v>
      </c>
      <c r="G196" s="1950">
        <f t="shared" si="15"/>
        <v>5553</v>
      </c>
      <c r="H196" s="1820">
        <f t="shared" si="15"/>
        <v>133</v>
      </c>
      <c r="I196" s="1821">
        <f t="shared" si="15"/>
        <v>399</v>
      </c>
      <c r="J196" s="1821">
        <f t="shared" si="15"/>
        <v>2223</v>
      </c>
      <c r="K196" s="1821">
        <f t="shared" si="15"/>
        <v>1012</v>
      </c>
      <c r="L196" s="1822">
        <f t="shared" si="15"/>
        <v>1151</v>
      </c>
    </row>
    <row r="199" spans="1:12" ht="21">
      <c r="A199" s="1951" t="s">
        <v>567</v>
      </c>
      <c r="B199" s="1951"/>
      <c r="C199" s="1952"/>
      <c r="D199" s="1952"/>
      <c r="E199" s="1952"/>
      <c r="F199" s="1952"/>
      <c r="G199" s="1952"/>
      <c r="H199" s="1952"/>
      <c r="I199" s="1952"/>
      <c r="J199" s="1952"/>
      <c r="K199" s="1952"/>
      <c r="L199" s="1952"/>
    </row>
    <row r="200" spans="1:12" ht="15.75" thickBot="1">
      <c r="A200" s="1953"/>
      <c r="B200" s="1953"/>
      <c r="C200" s="1952"/>
      <c r="D200" s="1952"/>
      <c r="E200" s="1952"/>
      <c r="F200" s="1952"/>
      <c r="G200" s="1952"/>
      <c r="H200" s="1952"/>
      <c r="I200" s="1952"/>
      <c r="J200" s="1952"/>
      <c r="K200" s="1952"/>
      <c r="L200" s="1952"/>
    </row>
    <row r="201" spans="1:12" s="31" customFormat="1" ht="90.75">
      <c r="A201" s="1954" t="s">
        <v>335</v>
      </c>
      <c r="B201" s="1955" t="s">
        <v>564</v>
      </c>
      <c r="C201" s="1956" t="s">
        <v>8</v>
      </c>
      <c r="D201" s="1957" t="s">
        <v>136</v>
      </c>
      <c r="E201" s="1958" t="s">
        <v>137</v>
      </c>
      <c r="F201" s="1958" t="s">
        <v>138</v>
      </c>
      <c r="G201" s="1956" t="s">
        <v>139</v>
      </c>
      <c r="H201" s="1959" t="s">
        <v>140</v>
      </c>
      <c r="I201" s="1960" t="s">
        <v>141</v>
      </c>
      <c r="J201" s="1961" t="s">
        <v>142</v>
      </c>
      <c r="K201" s="1958" t="s">
        <v>143</v>
      </c>
      <c r="L201" s="1962" t="s">
        <v>144</v>
      </c>
    </row>
    <row r="202" spans="1:12" ht="15.75" thickBot="1">
      <c r="A202" s="2613" t="s">
        <v>557</v>
      </c>
      <c r="B202" s="2613"/>
      <c r="C202" s="1797">
        <v>2014</v>
      </c>
      <c r="D202" s="1766"/>
      <c r="E202" s="1767"/>
      <c r="F202" s="1767"/>
      <c r="G202" s="1765"/>
      <c r="H202" s="1963"/>
      <c r="I202" s="1964"/>
      <c r="J202" s="1965"/>
      <c r="K202" s="1767"/>
      <c r="L202" s="1770"/>
    </row>
    <row r="203" spans="1:12" ht="15.75" thickBot="1">
      <c r="A203" s="2613"/>
      <c r="B203" s="2613"/>
      <c r="C203" s="232">
        <v>2015</v>
      </c>
      <c r="D203" s="50"/>
      <c r="E203" s="42"/>
      <c r="F203" s="42"/>
      <c r="G203" s="39"/>
      <c r="H203" s="320"/>
      <c r="I203" s="321"/>
      <c r="J203" s="322"/>
      <c r="K203" s="42"/>
      <c r="L203" s="99"/>
    </row>
    <row r="204" spans="1:12" ht="15.75" thickBot="1">
      <c r="A204" s="2613"/>
      <c r="B204" s="2613"/>
      <c r="C204" s="232">
        <v>2016</v>
      </c>
      <c r="D204" s="50">
        <v>0</v>
      </c>
      <c r="E204" s="42">
        <v>0</v>
      </c>
      <c r="F204" s="42">
        <v>0</v>
      </c>
      <c r="G204" s="39">
        <v>0</v>
      </c>
      <c r="H204" s="320">
        <v>0</v>
      </c>
      <c r="I204" s="321">
        <v>0</v>
      </c>
      <c r="J204" s="322">
        <v>0</v>
      </c>
      <c r="K204" s="42">
        <v>0</v>
      </c>
      <c r="L204" s="99">
        <v>0</v>
      </c>
    </row>
    <row r="205" spans="1:12" ht="15.75" thickBot="1">
      <c r="A205" s="2613"/>
      <c r="B205" s="2613"/>
      <c r="C205" s="232">
        <v>2017</v>
      </c>
      <c r="D205" s="50"/>
      <c r="E205" s="42"/>
      <c r="F205" s="42"/>
      <c r="G205" s="39"/>
      <c r="H205" s="320"/>
      <c r="I205" s="321"/>
      <c r="J205" s="322"/>
      <c r="K205" s="42"/>
      <c r="L205" s="99"/>
    </row>
    <row r="206" spans="1:12" ht="15.75" thickBot="1">
      <c r="A206" s="2613"/>
      <c r="B206" s="2613"/>
      <c r="C206" s="232">
        <v>2018</v>
      </c>
      <c r="D206" s="50"/>
      <c r="E206" s="42"/>
      <c r="F206" s="42"/>
      <c r="G206" s="39"/>
      <c r="H206" s="320"/>
      <c r="I206" s="321"/>
      <c r="J206" s="322"/>
      <c r="K206" s="42"/>
      <c r="L206" s="99"/>
    </row>
    <row r="207" spans="1:12" ht="15.75" thickBot="1">
      <c r="A207" s="2613"/>
      <c r="B207" s="2613"/>
      <c r="C207" s="232">
        <v>2019</v>
      </c>
      <c r="D207" s="50"/>
      <c r="E207" s="42"/>
      <c r="F207" s="42"/>
      <c r="G207" s="39"/>
      <c r="H207" s="320"/>
      <c r="I207" s="321"/>
      <c r="J207" s="322"/>
      <c r="K207" s="42"/>
      <c r="L207" s="99"/>
    </row>
    <row r="208" spans="1:12" ht="15.75" thickBot="1">
      <c r="A208" s="2613"/>
      <c r="B208" s="2613"/>
      <c r="C208" s="232">
        <v>2020</v>
      </c>
      <c r="D208" s="1706"/>
      <c r="E208" s="324"/>
      <c r="F208" s="324"/>
      <c r="G208" s="325"/>
      <c r="H208" s="326"/>
      <c r="I208" s="327"/>
      <c r="J208" s="328"/>
      <c r="K208" s="324"/>
      <c r="L208" s="329"/>
    </row>
    <row r="209" spans="1:12" ht="15.75" thickBot="1">
      <c r="A209" s="2613"/>
      <c r="B209" s="2613"/>
      <c r="C209" s="1818" t="s">
        <v>12</v>
      </c>
      <c r="D209" s="1838">
        <f t="shared" ref="D209:L209" si="16">SUM(D202:D208)</f>
        <v>0</v>
      </c>
      <c r="E209" s="1838">
        <f t="shared" si="16"/>
        <v>0</v>
      </c>
      <c r="F209" s="1838">
        <f t="shared" si="16"/>
        <v>0</v>
      </c>
      <c r="G209" s="1838">
        <f t="shared" si="16"/>
        <v>0</v>
      </c>
      <c r="H209" s="1838">
        <f t="shared" si="16"/>
        <v>0</v>
      </c>
      <c r="I209" s="1838">
        <f t="shared" si="16"/>
        <v>0</v>
      </c>
      <c r="J209" s="1838">
        <f t="shared" si="16"/>
        <v>0</v>
      </c>
      <c r="K209" s="1838">
        <f t="shared" si="16"/>
        <v>0</v>
      </c>
      <c r="L209" s="1838">
        <f t="shared" si="16"/>
        <v>0</v>
      </c>
    </row>
    <row r="212" spans="1:12" ht="29.25">
      <c r="A212" s="1966" t="s">
        <v>336</v>
      </c>
      <c r="B212" s="1967" t="s">
        <v>568</v>
      </c>
      <c r="C212" s="1968">
        <v>2014</v>
      </c>
      <c r="D212" s="1969">
        <v>2015</v>
      </c>
      <c r="E212" s="1969">
        <v>2016</v>
      </c>
      <c r="F212" s="1969">
        <v>2017</v>
      </c>
      <c r="G212" s="1969">
        <v>2018</v>
      </c>
      <c r="H212" s="1969">
        <v>2019</v>
      </c>
      <c r="I212" s="1970">
        <v>2020</v>
      </c>
    </row>
    <row r="213" spans="1:12" ht="15" customHeight="1" thickBot="1">
      <c r="A213" t="s">
        <v>147</v>
      </c>
      <c r="B213" s="2614" t="s">
        <v>569</v>
      </c>
      <c r="C213" s="1797"/>
      <c r="D213" s="1971">
        <f>SUM(D214:D217)</f>
        <v>3065028.5700000003</v>
      </c>
      <c r="E213" s="1971">
        <f>SUM(E214:E217)</f>
        <v>3467737.9000000004</v>
      </c>
      <c r="F213" s="190"/>
      <c r="G213" s="190"/>
      <c r="H213" s="190"/>
      <c r="I213" s="193"/>
    </row>
    <row r="214" spans="1:12" ht="15.75" thickBot="1">
      <c r="A214" t="s">
        <v>149</v>
      </c>
      <c r="B214" s="2614"/>
      <c r="C214" s="1797"/>
      <c r="D214" s="1971">
        <f>540378.65+190616.1</f>
        <v>730994.75</v>
      </c>
      <c r="E214" s="1668">
        <v>1545780.2600000002</v>
      </c>
      <c r="F214" s="1971"/>
      <c r="G214" s="190"/>
      <c r="H214" s="190"/>
      <c r="I214" s="193"/>
    </row>
    <row r="215" spans="1:12" ht="15.75" thickBot="1">
      <c r="A215" t="s">
        <v>150</v>
      </c>
      <c r="B215" s="2614"/>
      <c r="C215" s="1797"/>
      <c r="D215" s="1971"/>
      <c r="E215" s="1668">
        <v>0</v>
      </c>
      <c r="F215" s="1971"/>
      <c r="G215" s="190"/>
      <c r="H215" s="190"/>
      <c r="I215" s="193"/>
    </row>
    <row r="216" spans="1:12" ht="15.75" thickBot="1">
      <c r="A216" t="s">
        <v>151</v>
      </c>
      <c r="B216" s="2614"/>
      <c r="C216" s="1797"/>
      <c r="D216" s="1971">
        <f>110700+1259839.7</f>
        <v>1370539.7</v>
      </c>
      <c r="E216" s="1668">
        <v>1023943.3899999999</v>
      </c>
      <c r="F216" s="1971"/>
      <c r="G216" s="190"/>
      <c r="H216" s="190"/>
      <c r="I216" s="193"/>
    </row>
    <row r="217" spans="1:12" ht="15.75" thickBot="1">
      <c r="A217" t="s">
        <v>152</v>
      </c>
      <c r="B217" s="2614"/>
      <c r="C217" s="1797"/>
      <c r="D217" s="1971">
        <f>151626.92+811867.2</f>
        <v>963494.12</v>
      </c>
      <c r="E217" s="1668">
        <v>898014.24999999988</v>
      </c>
      <c r="F217" s="1971"/>
      <c r="G217" s="190"/>
      <c r="H217" s="190"/>
      <c r="I217" s="193"/>
    </row>
    <row r="218" spans="1:12" ht="30.75" thickBot="1">
      <c r="A218" s="31" t="s">
        <v>153</v>
      </c>
      <c r="B218" s="2614"/>
      <c r="C218" s="1797"/>
      <c r="D218" s="1971">
        <f>1686772.08+707344.49</f>
        <v>2394116.5700000003</v>
      </c>
      <c r="E218" s="1971">
        <v>2549826.3899999997</v>
      </c>
      <c r="F218" s="1971"/>
      <c r="G218" s="190"/>
      <c r="H218" s="190"/>
      <c r="I218" s="193"/>
    </row>
    <row r="219" spans="1:12" ht="222" customHeight="1" thickBot="1">
      <c r="A219" s="1972"/>
      <c r="B219" s="2614"/>
      <c r="C219" s="1773" t="s">
        <v>12</v>
      </c>
      <c r="D219" s="1973">
        <f t="shared" ref="D219:I219" si="17">SUM(D214:D218)</f>
        <v>5459145.1400000006</v>
      </c>
      <c r="E219" s="1973">
        <f t="shared" si="17"/>
        <v>6017564.29</v>
      </c>
      <c r="F219" s="1974">
        <f t="shared" si="17"/>
        <v>0</v>
      </c>
      <c r="G219" s="1974">
        <f t="shared" si="17"/>
        <v>0</v>
      </c>
      <c r="H219" s="1974">
        <f t="shared" si="17"/>
        <v>0</v>
      </c>
      <c r="I219" s="1974">
        <f t="shared" si="17"/>
        <v>0</v>
      </c>
    </row>
    <row r="225" spans="1:5">
      <c r="E225" s="408"/>
    </row>
    <row r="226" spans="1:5">
      <c r="E226" s="408"/>
    </row>
    <row r="227" spans="1:5">
      <c r="A227" s="31"/>
      <c r="E227" s="408"/>
    </row>
    <row r="228" spans="1:5">
      <c r="E228" s="1975"/>
    </row>
  </sheetData>
  <mergeCells count="65">
    <mergeCell ref="D26:G26"/>
    <mergeCell ref="A3:E3"/>
    <mergeCell ref="F3:O3"/>
    <mergeCell ref="A4:O10"/>
    <mergeCell ref="D15:G15"/>
    <mergeCell ref="A17:B24"/>
    <mergeCell ref="A28:B35"/>
    <mergeCell ref="A40:B47"/>
    <mergeCell ref="A50:B58"/>
    <mergeCell ref="A60:A61"/>
    <mergeCell ref="C60:C61"/>
    <mergeCell ref="E60:L60"/>
    <mergeCell ref="A62:B69"/>
    <mergeCell ref="A72:B79"/>
    <mergeCell ref="A85:B92"/>
    <mergeCell ref="A96:A97"/>
    <mergeCell ref="B96:B97"/>
    <mergeCell ref="C96:C97"/>
    <mergeCell ref="D96:E96"/>
    <mergeCell ref="F96:M96"/>
    <mergeCell ref="D60:D61"/>
    <mergeCell ref="E118:L118"/>
    <mergeCell ref="A98:B105"/>
    <mergeCell ref="A107:A108"/>
    <mergeCell ref="B107:B108"/>
    <mergeCell ref="C107:C108"/>
    <mergeCell ref="D107:D108"/>
    <mergeCell ref="E107:L107"/>
    <mergeCell ref="A109:B116"/>
    <mergeCell ref="A118:A119"/>
    <mergeCell ref="B118:B119"/>
    <mergeCell ref="C118:C119"/>
    <mergeCell ref="D118:D119"/>
    <mergeCell ref="A120:B127"/>
    <mergeCell ref="A129:A130"/>
    <mergeCell ref="B129:B130"/>
    <mergeCell ref="D129:G129"/>
    <mergeCell ref="A131:B137"/>
    <mergeCell ref="J142:N142"/>
    <mergeCell ref="A144:B151"/>
    <mergeCell ref="A153:A154"/>
    <mergeCell ref="B153:B154"/>
    <mergeCell ref="C153:C154"/>
    <mergeCell ref="D153:G153"/>
    <mergeCell ref="H153:J153"/>
    <mergeCell ref="A142:A143"/>
    <mergeCell ref="B142:B143"/>
    <mergeCell ref="C142:C143"/>
    <mergeCell ref="D142:I142"/>
    <mergeCell ref="A155:B162"/>
    <mergeCell ref="A165:B172"/>
    <mergeCell ref="A176:A177"/>
    <mergeCell ref="B176:B177"/>
    <mergeCell ref="C176:C177"/>
    <mergeCell ref="A189:B196"/>
    <mergeCell ref="A202:B209"/>
    <mergeCell ref="B213:B219"/>
    <mergeCell ref="I176:O176"/>
    <mergeCell ref="A178:B185"/>
    <mergeCell ref="A187:A188"/>
    <mergeCell ref="B187:B188"/>
    <mergeCell ref="C187:C188"/>
    <mergeCell ref="D187:G187"/>
    <mergeCell ref="H187:L187"/>
    <mergeCell ref="D176:G17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Y227"/>
  <sheetViews>
    <sheetView topLeftCell="A205" workbookViewId="0">
      <selection activeCell="F225" sqref="F225"/>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187</v>
      </c>
      <c r="C1" s="2077"/>
      <c r="D1" s="2077"/>
      <c r="E1" s="2077"/>
      <c r="F1" s="2077"/>
    </row>
    <row r="2" spans="1:25" s="2" customFormat="1" ht="20.100000000000001" customHeight="1" thickBot="1"/>
    <row r="3" spans="1:25" s="5" customFormat="1" ht="20.100000000000001" customHeight="1">
      <c r="A3" s="344" t="s">
        <v>1</v>
      </c>
      <c r="B3" s="345"/>
      <c r="C3" s="345"/>
      <c r="D3" s="345"/>
      <c r="E3" s="345"/>
      <c r="F3" s="2136"/>
      <c r="G3" s="2136"/>
      <c r="H3" s="2136"/>
      <c r="I3" s="2136"/>
      <c r="J3" s="2136"/>
      <c r="K3" s="2136"/>
      <c r="L3" s="2136"/>
      <c r="M3" s="2136"/>
      <c r="N3" s="2136"/>
      <c r="O3" s="2137"/>
    </row>
    <row r="4" spans="1:25" s="5" customFormat="1" ht="20.100000000000001" customHeight="1">
      <c r="A4" s="2080" t="s">
        <v>2</v>
      </c>
      <c r="B4" s="2081"/>
      <c r="C4" s="2081"/>
      <c r="D4" s="2081"/>
      <c r="E4" s="2081"/>
      <c r="F4" s="2081"/>
      <c r="G4" s="2081"/>
      <c r="H4" s="2081"/>
      <c r="I4" s="2081"/>
      <c r="J4" s="2081"/>
      <c r="K4" s="2081"/>
      <c r="L4" s="2081"/>
      <c r="M4" s="2081"/>
      <c r="N4" s="2081"/>
      <c r="O4" s="2082"/>
    </row>
    <row r="5" spans="1:25" s="5" customFormat="1" ht="20.100000000000001" customHeight="1">
      <c r="A5" s="2080"/>
      <c r="B5" s="2081"/>
      <c r="C5" s="2081"/>
      <c r="D5" s="2081"/>
      <c r="E5" s="2081"/>
      <c r="F5" s="2081"/>
      <c r="G5" s="2081"/>
      <c r="H5" s="2081"/>
      <c r="I5" s="2081"/>
      <c r="J5" s="2081"/>
      <c r="K5" s="2081"/>
      <c r="L5" s="2081"/>
      <c r="M5" s="2081"/>
      <c r="N5" s="2081"/>
      <c r="O5" s="2082"/>
    </row>
    <row r="6" spans="1:25" s="5" customFormat="1" ht="20.100000000000001" customHeight="1">
      <c r="A6" s="2080"/>
      <c r="B6" s="2081"/>
      <c r="C6" s="2081"/>
      <c r="D6" s="2081"/>
      <c r="E6" s="2081"/>
      <c r="F6" s="2081"/>
      <c r="G6" s="2081"/>
      <c r="H6" s="2081"/>
      <c r="I6" s="2081"/>
      <c r="J6" s="2081"/>
      <c r="K6" s="2081"/>
      <c r="L6" s="2081"/>
      <c r="M6" s="2081"/>
      <c r="N6" s="2081"/>
      <c r="O6" s="2082"/>
    </row>
    <row r="7" spans="1:25" s="5" customFormat="1" ht="20.100000000000001" customHeight="1">
      <c r="A7" s="2080"/>
      <c r="B7" s="2081"/>
      <c r="C7" s="2081"/>
      <c r="D7" s="2081"/>
      <c r="E7" s="2081"/>
      <c r="F7" s="2081"/>
      <c r="G7" s="2081"/>
      <c r="H7" s="2081"/>
      <c r="I7" s="2081"/>
      <c r="J7" s="2081"/>
      <c r="K7" s="2081"/>
      <c r="L7" s="2081"/>
      <c r="M7" s="2081"/>
      <c r="N7" s="2081"/>
      <c r="O7" s="2082"/>
    </row>
    <row r="8" spans="1:25" s="5" customFormat="1" ht="20.100000000000001" customHeight="1">
      <c r="A8" s="2080"/>
      <c r="B8" s="2081"/>
      <c r="C8" s="2081"/>
      <c r="D8" s="2081"/>
      <c r="E8" s="2081"/>
      <c r="F8" s="2081"/>
      <c r="G8" s="2081"/>
      <c r="H8" s="2081"/>
      <c r="I8" s="2081"/>
      <c r="J8" s="2081"/>
      <c r="K8" s="2081"/>
      <c r="L8" s="2081"/>
      <c r="M8" s="2081"/>
      <c r="N8" s="2081"/>
      <c r="O8" s="2082"/>
    </row>
    <row r="9" spans="1:25" s="5" customFormat="1" ht="20.100000000000001" customHeight="1">
      <c r="A9" s="2080"/>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9"/>
      <c r="B15" s="10"/>
      <c r="C15" s="11"/>
      <c r="D15" s="2086" t="s">
        <v>4</v>
      </c>
      <c r="E15" s="2087"/>
      <c r="F15" s="2087"/>
      <c r="G15" s="2087"/>
      <c r="H15" s="12"/>
      <c r="I15" s="13" t="s">
        <v>5</v>
      </c>
      <c r="J15" s="14"/>
      <c r="K15" s="14"/>
      <c r="L15" s="14"/>
      <c r="M15" s="14"/>
      <c r="N15" s="14"/>
      <c r="O15" s="15"/>
      <c r="P15" s="16"/>
      <c r="Q15" s="17"/>
      <c r="R15" s="18"/>
      <c r="S15" s="18"/>
      <c r="T15" s="18"/>
      <c r="U15" s="18"/>
      <c r="V15" s="18"/>
      <c r="W15" s="16"/>
      <c r="X15" s="16"/>
      <c r="Y15" s="17"/>
    </row>
    <row r="16" spans="1:25" s="31" customFormat="1" ht="144.75" customHeight="1">
      <c r="A16" s="20"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138" t="s">
        <v>156</v>
      </c>
      <c r="B17" s="19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138"/>
      <c r="B18" s="1988"/>
      <c r="C18" s="39">
        <v>2015</v>
      </c>
      <c r="D18" s="50">
        <f>5+5</f>
        <v>10</v>
      </c>
      <c r="E18" s="42">
        <v>2</v>
      </c>
      <c r="F18" s="42">
        <v>3</v>
      </c>
      <c r="G18" s="35">
        <f>SUM(D18:F18)</f>
        <v>15</v>
      </c>
      <c r="H18" s="51"/>
      <c r="I18" s="42">
        <v>4</v>
      </c>
      <c r="J18" s="42">
        <v>1</v>
      </c>
      <c r="K18" s="42">
        <v>4</v>
      </c>
      <c r="L18" s="42"/>
      <c r="M18" s="42"/>
      <c r="N18" s="42">
        <v>1</v>
      </c>
      <c r="O18" s="52">
        <v>5</v>
      </c>
      <c r="P18" s="38"/>
      <c r="Q18" s="38"/>
      <c r="R18" s="38"/>
      <c r="S18" s="38"/>
      <c r="T18" s="38"/>
      <c r="U18" s="38"/>
      <c r="V18" s="38"/>
      <c r="W18" s="38"/>
      <c r="X18" s="38"/>
      <c r="Y18" s="38"/>
    </row>
    <row r="19" spans="1:25">
      <c r="A19" s="2138"/>
      <c r="B19" s="1988"/>
      <c r="C19" s="39">
        <v>2016</v>
      </c>
      <c r="D19" s="50">
        <v>47</v>
      </c>
      <c r="E19" s="42">
        <v>5</v>
      </c>
      <c r="F19" s="42">
        <v>5</v>
      </c>
      <c r="G19" s="35">
        <f>SUM(D19:F19)</f>
        <v>57</v>
      </c>
      <c r="H19" s="51">
        <v>1</v>
      </c>
      <c r="I19" s="42">
        <v>8</v>
      </c>
      <c r="J19" s="42">
        <v>3</v>
      </c>
      <c r="K19" s="42">
        <v>34</v>
      </c>
      <c r="L19" s="42">
        <v>4</v>
      </c>
      <c r="M19" s="42"/>
      <c r="N19" s="42">
        <v>1</v>
      </c>
      <c r="O19" s="52">
        <v>6</v>
      </c>
      <c r="P19" s="38"/>
      <c r="Q19" s="38"/>
      <c r="R19" s="38"/>
      <c r="S19" s="38"/>
      <c r="T19" s="38"/>
      <c r="U19" s="38"/>
      <c r="V19" s="38"/>
      <c r="W19" s="38"/>
      <c r="X19" s="38"/>
      <c r="Y19" s="38"/>
    </row>
    <row r="20" spans="1:25">
      <c r="A20" s="2138"/>
      <c r="B20" s="1988"/>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2138"/>
      <c r="B21" s="1988"/>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2138"/>
      <c r="B22" s="1988"/>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2138"/>
      <c r="B23" s="1988"/>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145.5" customHeight="1" thickBot="1">
      <c r="A24" s="2139"/>
      <c r="B24" s="1990"/>
      <c r="C24" s="54" t="s">
        <v>12</v>
      </c>
      <c r="D24" s="55">
        <f>SUM(D17:D23)</f>
        <v>57</v>
      </c>
      <c r="E24" s="56">
        <f>SUM(E17:E23)</f>
        <v>7</v>
      </c>
      <c r="F24" s="56">
        <f>SUM(F17:F23)</f>
        <v>8</v>
      </c>
      <c r="G24" s="57">
        <f>SUM(D24:F24)</f>
        <v>72</v>
      </c>
      <c r="H24" s="58">
        <f>SUM(H17:H23)</f>
        <v>1</v>
      </c>
      <c r="I24" s="59">
        <f>SUM(I17:I23)</f>
        <v>12</v>
      </c>
      <c r="J24" s="59">
        <f t="shared" ref="J24:N24" si="1">SUM(J17:J23)</f>
        <v>4</v>
      </c>
      <c r="K24" s="59">
        <f t="shared" si="1"/>
        <v>38</v>
      </c>
      <c r="L24" s="59">
        <f t="shared" si="1"/>
        <v>4</v>
      </c>
      <c r="M24" s="59">
        <f t="shared" si="1"/>
        <v>0</v>
      </c>
      <c r="N24" s="59">
        <f t="shared" si="1"/>
        <v>2</v>
      </c>
      <c r="O24" s="60">
        <f>SUM(O17:O23)</f>
        <v>11</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9"/>
      <c r="B26" s="10"/>
      <c r="C26" s="63"/>
      <c r="D26" s="2092" t="s">
        <v>4</v>
      </c>
      <c r="E26" s="2093"/>
      <c r="F26" s="2093"/>
      <c r="G26" s="2094"/>
      <c r="H26" s="16"/>
      <c r="I26" s="17"/>
      <c r="J26" s="18"/>
      <c r="K26" s="18"/>
      <c r="L26" s="18"/>
      <c r="M26" s="18"/>
      <c r="N26" s="18"/>
      <c r="O26" s="16"/>
      <c r="P26" s="16"/>
    </row>
    <row r="27" spans="1:25" s="31" customFormat="1" ht="93" customHeight="1">
      <c r="A27" s="64"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007" t="s">
        <v>157</v>
      </c>
      <c r="B28" s="1988"/>
      <c r="C28" s="68">
        <v>2014</v>
      </c>
      <c r="D28" s="36"/>
      <c r="E28" s="34"/>
      <c r="F28" s="34"/>
      <c r="G28" s="69">
        <f>SUM(D28:F28)</f>
        <v>0</v>
      </c>
      <c r="H28" s="38"/>
      <c r="I28" s="38"/>
      <c r="J28" s="38"/>
      <c r="K28" s="38"/>
      <c r="L28" s="38"/>
      <c r="M28" s="38"/>
      <c r="N28" s="38"/>
      <c r="O28" s="38"/>
      <c r="P28" s="38"/>
      <c r="Q28" s="8"/>
    </row>
    <row r="29" spans="1:25">
      <c r="A29" s="1987"/>
      <c r="B29" s="1988"/>
      <c r="C29" s="70">
        <v>2015</v>
      </c>
      <c r="D29" s="346">
        <v>4771</v>
      </c>
      <c r="E29" s="347">
        <v>198</v>
      </c>
      <c r="F29" s="347">
        <v>250</v>
      </c>
      <c r="G29" s="348">
        <f>SUM(D29:F29)</f>
        <v>5219</v>
      </c>
      <c r="H29" s="38"/>
      <c r="I29" s="38"/>
      <c r="J29" s="38"/>
      <c r="K29" s="38"/>
      <c r="L29" s="38"/>
      <c r="M29" s="38"/>
      <c r="N29" s="38"/>
      <c r="O29" s="38"/>
      <c r="P29" s="38"/>
      <c r="Q29" s="8"/>
    </row>
    <row r="30" spans="1:25">
      <c r="A30" s="1987"/>
      <c r="B30" s="1988"/>
      <c r="C30" s="70">
        <v>2016</v>
      </c>
      <c r="D30" s="346">
        <v>36894</v>
      </c>
      <c r="E30" s="347">
        <v>5589</v>
      </c>
      <c r="F30" s="347">
        <v>400127</v>
      </c>
      <c r="G30" s="348">
        <f t="shared" ref="G30:G35" si="2">SUM(D30:F30)</f>
        <v>442610</v>
      </c>
      <c r="H30" s="38"/>
      <c r="I30" s="38"/>
      <c r="J30" s="38"/>
      <c r="K30" s="38"/>
      <c r="L30" s="38"/>
      <c r="M30" s="38"/>
      <c r="N30" s="38"/>
      <c r="O30" s="38"/>
      <c r="P30" s="38"/>
      <c r="Q30" s="8"/>
    </row>
    <row r="31" spans="1:25">
      <c r="A31" s="1987"/>
      <c r="B31" s="1988"/>
      <c r="C31" s="70">
        <v>2017</v>
      </c>
      <c r="D31" s="346"/>
      <c r="E31" s="347"/>
      <c r="F31" s="347"/>
      <c r="G31" s="348">
        <f t="shared" si="2"/>
        <v>0</v>
      </c>
      <c r="H31" s="38"/>
      <c r="I31" s="38"/>
      <c r="J31" s="38"/>
      <c r="K31" s="38"/>
      <c r="L31" s="38"/>
      <c r="M31" s="38"/>
      <c r="N31" s="38"/>
      <c r="O31" s="38"/>
      <c r="P31" s="38"/>
      <c r="Q31" s="8"/>
    </row>
    <row r="32" spans="1:25">
      <c r="A32" s="1987"/>
      <c r="B32" s="1988"/>
      <c r="C32" s="70">
        <v>2018</v>
      </c>
      <c r="D32" s="346"/>
      <c r="E32" s="347"/>
      <c r="F32" s="347"/>
      <c r="G32" s="348">
        <f>SUM(D32:F32)</f>
        <v>0</v>
      </c>
      <c r="H32" s="38"/>
      <c r="I32" s="38"/>
      <c r="J32" s="38"/>
      <c r="K32" s="38"/>
      <c r="L32" s="38"/>
      <c r="M32" s="38"/>
      <c r="N32" s="38"/>
      <c r="O32" s="38"/>
      <c r="P32" s="38"/>
      <c r="Q32" s="8"/>
    </row>
    <row r="33" spans="1:17">
      <c r="A33" s="1987"/>
      <c r="B33" s="1988"/>
      <c r="C33" s="72">
        <v>2019</v>
      </c>
      <c r="D33" s="346"/>
      <c r="E33" s="347"/>
      <c r="F33" s="347"/>
      <c r="G33" s="348">
        <f t="shared" si="2"/>
        <v>0</v>
      </c>
      <c r="H33" s="38"/>
      <c r="I33" s="38"/>
      <c r="J33" s="38"/>
      <c r="K33" s="38"/>
      <c r="L33" s="38"/>
      <c r="M33" s="38"/>
      <c r="N33" s="38"/>
      <c r="O33" s="38"/>
      <c r="P33" s="38"/>
      <c r="Q33" s="8"/>
    </row>
    <row r="34" spans="1:17">
      <c r="A34" s="1987"/>
      <c r="B34" s="1988"/>
      <c r="C34" s="70">
        <v>2020</v>
      </c>
      <c r="D34" s="346"/>
      <c r="E34" s="347"/>
      <c r="F34" s="347"/>
      <c r="G34" s="348">
        <f t="shared" si="2"/>
        <v>0</v>
      </c>
      <c r="H34" s="38"/>
      <c r="I34" s="38"/>
      <c r="J34" s="38"/>
      <c r="K34" s="38"/>
      <c r="L34" s="38"/>
      <c r="M34" s="38"/>
      <c r="N34" s="38"/>
      <c r="O34" s="38"/>
      <c r="P34" s="38"/>
      <c r="Q34" s="8"/>
    </row>
    <row r="35" spans="1:17" ht="108.75" customHeight="1" thickBot="1">
      <c r="A35" s="1989"/>
      <c r="B35" s="1990"/>
      <c r="C35" s="73" t="s">
        <v>12</v>
      </c>
      <c r="D35" s="349">
        <f>SUM(D28:D34)</f>
        <v>41665</v>
      </c>
      <c r="E35" s="350">
        <f>SUM(E28:E34)</f>
        <v>5787</v>
      </c>
      <c r="F35" s="350">
        <f>SUM(F28:F34)</f>
        <v>400377</v>
      </c>
      <c r="G35" s="351">
        <f t="shared" si="2"/>
        <v>447829</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78" t="s">
        <v>25</v>
      </c>
      <c r="B39" s="79" t="s">
        <v>7</v>
      </c>
      <c r="C39" s="80" t="s">
        <v>8</v>
      </c>
      <c r="D39" s="81" t="s">
        <v>26</v>
      </c>
      <c r="E39" s="352" t="s">
        <v>27</v>
      </c>
      <c r="F39" s="353"/>
      <c r="G39" s="30"/>
      <c r="H39" s="30"/>
    </row>
    <row r="40" spans="1:17">
      <c r="A40" s="2007" t="s">
        <v>158</v>
      </c>
      <c r="B40" s="1988"/>
      <c r="C40" s="84">
        <v>2014</v>
      </c>
      <c r="D40" s="33"/>
      <c r="E40" s="32"/>
      <c r="F40" s="8"/>
      <c r="G40" s="38"/>
      <c r="H40" s="38"/>
    </row>
    <row r="41" spans="1:17">
      <c r="A41" s="1987"/>
      <c r="B41" s="1988"/>
      <c r="C41" s="86">
        <v>2015</v>
      </c>
      <c r="D41" s="354">
        <v>9107</v>
      </c>
      <c r="E41" s="355">
        <v>1992</v>
      </c>
      <c r="F41" s="8"/>
      <c r="G41" s="38"/>
      <c r="H41" s="38"/>
    </row>
    <row r="42" spans="1:17">
      <c r="A42" s="1987"/>
      <c r="B42" s="1988"/>
      <c r="C42" s="86">
        <v>2016</v>
      </c>
      <c r="D42" s="354">
        <v>344243</v>
      </c>
      <c r="E42" s="355">
        <v>33907</v>
      </c>
      <c r="F42" s="8"/>
      <c r="G42" s="38"/>
      <c r="H42" s="38"/>
    </row>
    <row r="43" spans="1:17">
      <c r="A43" s="1987"/>
      <c r="B43" s="1988"/>
      <c r="C43" s="86">
        <v>2017</v>
      </c>
      <c r="D43" s="354"/>
      <c r="E43" s="355"/>
      <c r="F43" s="8"/>
      <c r="G43" s="38"/>
      <c r="H43" s="38"/>
    </row>
    <row r="44" spans="1:17">
      <c r="A44" s="1987"/>
      <c r="B44" s="1988"/>
      <c r="C44" s="86">
        <v>2018</v>
      </c>
      <c r="D44" s="354"/>
      <c r="E44" s="355"/>
      <c r="F44" s="8"/>
      <c r="G44" s="38"/>
      <c r="H44" s="38"/>
    </row>
    <row r="45" spans="1:17">
      <c r="A45" s="1987"/>
      <c r="B45" s="1988"/>
      <c r="C45" s="86">
        <v>2019</v>
      </c>
      <c r="D45" s="354"/>
      <c r="E45" s="355"/>
      <c r="F45" s="8"/>
      <c r="G45" s="38"/>
      <c r="H45" s="38"/>
    </row>
    <row r="46" spans="1:17">
      <c r="A46" s="1987"/>
      <c r="B46" s="1988"/>
      <c r="C46" s="86">
        <v>2020</v>
      </c>
      <c r="D46" s="354"/>
      <c r="E46" s="355"/>
      <c r="F46" s="8"/>
      <c r="G46" s="38"/>
      <c r="H46" s="38"/>
    </row>
    <row r="47" spans="1:17" ht="15.75" thickBot="1">
      <c r="A47" s="1989"/>
      <c r="B47" s="1990"/>
      <c r="C47" s="54" t="s">
        <v>12</v>
      </c>
      <c r="D47" s="356">
        <f>SUM(D40:D46)</f>
        <v>353350</v>
      </c>
      <c r="E47" s="357">
        <f>SUM(E40:E46)</f>
        <v>35899</v>
      </c>
      <c r="F47" s="121"/>
      <c r="G47" s="38"/>
      <c r="H47" s="38"/>
    </row>
    <row r="48" spans="1:17" s="38" customFormat="1" ht="15.75" thickBot="1">
      <c r="A48" s="91" t="s">
        <v>159</v>
      </c>
      <c r="B48" s="92"/>
      <c r="C48" s="93"/>
    </row>
    <row r="49" spans="1:15" ht="83.25" customHeight="1">
      <c r="A49" s="94" t="s">
        <v>29</v>
      </c>
      <c r="B49" s="79" t="s">
        <v>7</v>
      </c>
      <c r="C49" s="95" t="s">
        <v>8</v>
      </c>
      <c r="D49" s="81" t="s">
        <v>30</v>
      </c>
      <c r="E49" s="96" t="s">
        <v>31</v>
      </c>
      <c r="F49" s="96" t="s">
        <v>32</v>
      </c>
      <c r="G49" s="96" t="s">
        <v>33</v>
      </c>
      <c r="H49" s="96" t="s">
        <v>34</v>
      </c>
      <c r="I49" s="96" t="s">
        <v>35</v>
      </c>
      <c r="J49" s="96" t="s">
        <v>36</v>
      </c>
      <c r="K49" s="97" t="s">
        <v>37</v>
      </c>
    </row>
    <row r="50" spans="1:15" ht="17.25" customHeight="1">
      <c r="A50" s="2005"/>
      <c r="B50" s="2012"/>
      <c r="C50" s="98" t="s">
        <v>38</v>
      </c>
      <c r="D50" s="33"/>
      <c r="E50" s="34"/>
      <c r="F50" s="34"/>
      <c r="G50" s="34"/>
      <c r="H50" s="34"/>
      <c r="I50" s="34"/>
      <c r="J50" s="34"/>
      <c r="K50" s="37"/>
    </row>
    <row r="51" spans="1:15" ht="15" customHeight="1">
      <c r="A51" s="2007"/>
      <c r="B51" s="2014"/>
      <c r="C51" s="86">
        <v>2014</v>
      </c>
      <c r="D51" s="50"/>
      <c r="E51" s="42"/>
      <c r="F51" s="42"/>
      <c r="G51" s="42"/>
      <c r="H51" s="42"/>
      <c r="I51" s="42"/>
      <c r="J51" s="42"/>
      <c r="K51" s="99"/>
    </row>
    <row r="52" spans="1:15">
      <c r="A52" s="2007"/>
      <c r="B52" s="2014"/>
      <c r="C52" s="86">
        <v>2015</v>
      </c>
      <c r="D52" s="50"/>
      <c r="E52" s="42"/>
      <c r="F52" s="42"/>
      <c r="G52" s="42"/>
      <c r="H52" s="42"/>
      <c r="I52" s="42"/>
      <c r="J52" s="42"/>
      <c r="K52" s="99"/>
    </row>
    <row r="53" spans="1:15">
      <c r="A53" s="2007"/>
      <c r="B53" s="2014"/>
      <c r="C53" s="86">
        <v>2016</v>
      </c>
      <c r="D53" s="50">
        <v>1</v>
      </c>
      <c r="E53" s="42"/>
      <c r="F53" s="42"/>
      <c r="G53" s="347">
        <v>10500</v>
      </c>
      <c r="H53" s="347"/>
      <c r="I53" s="347"/>
      <c r="J53" s="347">
        <v>748</v>
      </c>
      <c r="K53" s="358">
        <v>72408</v>
      </c>
    </row>
    <row r="54" spans="1:15">
      <c r="A54" s="2007"/>
      <c r="B54" s="2014"/>
      <c r="C54" s="86">
        <v>2017</v>
      </c>
      <c r="D54" s="50"/>
      <c r="E54" s="42"/>
      <c r="F54" s="42"/>
      <c r="G54" s="42"/>
      <c r="H54" s="42"/>
      <c r="I54" s="42"/>
      <c r="J54" s="42"/>
      <c r="K54" s="99"/>
    </row>
    <row r="55" spans="1:15">
      <c r="A55" s="2007"/>
      <c r="B55" s="2014"/>
      <c r="C55" s="86">
        <v>2018</v>
      </c>
      <c r="D55" s="50"/>
      <c r="E55" s="42"/>
      <c r="F55" s="42"/>
      <c r="G55" s="42"/>
      <c r="H55" s="42"/>
      <c r="I55" s="42"/>
      <c r="J55" s="42"/>
      <c r="K55" s="99"/>
    </row>
    <row r="56" spans="1:15">
      <c r="A56" s="2007"/>
      <c r="B56" s="2014"/>
      <c r="C56" s="86">
        <v>2019</v>
      </c>
      <c r="D56" s="50"/>
      <c r="E56" s="42"/>
      <c r="F56" s="42"/>
      <c r="G56" s="42"/>
      <c r="H56" s="42"/>
      <c r="I56" s="42"/>
      <c r="J56" s="42"/>
      <c r="K56" s="99"/>
    </row>
    <row r="57" spans="1:15">
      <c r="A57" s="2007"/>
      <c r="B57" s="2014"/>
      <c r="C57" s="86">
        <v>2020</v>
      </c>
      <c r="D57" s="50"/>
      <c r="E57" s="42"/>
      <c r="F57" s="42"/>
      <c r="G57" s="42"/>
      <c r="H57" s="42"/>
      <c r="I57" s="42"/>
      <c r="J57" s="42"/>
      <c r="K57" s="100"/>
    </row>
    <row r="58" spans="1:15" ht="20.25" customHeight="1" thickBot="1">
      <c r="A58" s="2009"/>
      <c r="B58" s="2016"/>
      <c r="C58" s="54" t="s">
        <v>12</v>
      </c>
      <c r="D58" s="55">
        <f>SUM(D51:D57)</f>
        <v>1</v>
      </c>
      <c r="E58" s="56">
        <f>SUM(E51:E57)</f>
        <v>0</v>
      </c>
      <c r="F58" s="56">
        <f>SUM(F51:F57)</f>
        <v>0</v>
      </c>
      <c r="G58" s="56">
        <f>SUM(G51:G57)</f>
        <v>10500</v>
      </c>
      <c r="H58" s="56">
        <f>SUM(H51:H57)</f>
        <v>0</v>
      </c>
      <c r="I58" s="56">
        <f t="shared" ref="I58" si="3">SUM(I51:I57)</f>
        <v>0</v>
      </c>
      <c r="J58" s="56">
        <f>SUM(J51:J57)</f>
        <v>748</v>
      </c>
      <c r="K58" s="60">
        <f>SUM(K50:K56)</f>
        <v>72408</v>
      </c>
    </row>
    <row r="59" spans="1:15" ht="15.75" thickBot="1"/>
    <row r="60" spans="1:15" ht="21" customHeight="1">
      <c r="A60" s="2099" t="s">
        <v>39</v>
      </c>
      <c r="B60" s="101"/>
      <c r="C60" s="2101" t="s">
        <v>8</v>
      </c>
      <c r="D60" s="2135" t="s">
        <v>40</v>
      </c>
      <c r="E60" s="359" t="s">
        <v>5</v>
      </c>
      <c r="F60" s="360"/>
      <c r="G60" s="360"/>
      <c r="H60" s="360"/>
      <c r="I60" s="360"/>
      <c r="J60" s="360"/>
      <c r="K60" s="360"/>
      <c r="L60" s="361"/>
    </row>
    <row r="61" spans="1:15" ht="149.25" customHeight="1">
      <c r="A61" s="2100"/>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031" t="s">
        <v>160</v>
      </c>
      <c r="B62" s="2025"/>
      <c r="C62" s="112">
        <v>2014</v>
      </c>
      <c r="D62" s="113"/>
      <c r="E62" s="114"/>
      <c r="F62" s="115"/>
      <c r="G62" s="115"/>
      <c r="H62" s="115"/>
      <c r="I62" s="115"/>
      <c r="J62" s="115"/>
      <c r="K62" s="115"/>
      <c r="L62" s="37"/>
      <c r="M62" s="8"/>
      <c r="N62" s="8"/>
      <c r="O62" s="8"/>
    </row>
    <row r="63" spans="1:15">
      <c r="A63" s="2024"/>
      <c r="B63" s="2025"/>
      <c r="C63" s="116">
        <v>2015</v>
      </c>
      <c r="D63" s="117"/>
      <c r="E63" s="118"/>
      <c r="F63" s="42"/>
      <c r="G63" s="42"/>
      <c r="H63" s="42"/>
      <c r="I63" s="42"/>
      <c r="J63" s="42"/>
      <c r="K63" s="42"/>
      <c r="L63" s="99"/>
      <c r="M63" s="8"/>
      <c r="N63" s="8"/>
      <c r="O63" s="8"/>
    </row>
    <row r="64" spans="1:15">
      <c r="A64" s="2024"/>
      <c r="B64" s="2025"/>
      <c r="C64" s="116">
        <v>2016</v>
      </c>
      <c r="D64" s="117">
        <v>8</v>
      </c>
      <c r="E64" s="118"/>
      <c r="F64" s="42">
        <v>3</v>
      </c>
      <c r="G64" s="42">
        <f>3</f>
        <v>3</v>
      </c>
      <c r="H64" s="42"/>
      <c r="I64" s="42"/>
      <c r="J64" s="42"/>
      <c r="K64" s="42">
        <v>1</v>
      </c>
      <c r="L64" s="99">
        <v>1</v>
      </c>
      <c r="M64" s="8"/>
      <c r="N64" s="8"/>
      <c r="O64" s="8"/>
    </row>
    <row r="65" spans="1:20">
      <c r="A65" s="2024"/>
      <c r="B65" s="2025"/>
      <c r="C65" s="116">
        <v>2017</v>
      </c>
      <c r="D65" s="117"/>
      <c r="E65" s="118"/>
      <c r="F65" s="42"/>
      <c r="G65" s="42"/>
      <c r="H65" s="42"/>
      <c r="I65" s="42"/>
      <c r="J65" s="42"/>
      <c r="K65" s="42"/>
      <c r="L65" s="99"/>
      <c r="M65" s="8"/>
      <c r="N65" s="8"/>
      <c r="O65" s="8"/>
    </row>
    <row r="66" spans="1:20">
      <c r="A66" s="2024"/>
      <c r="B66" s="2025"/>
      <c r="C66" s="116">
        <v>2018</v>
      </c>
      <c r="D66" s="117"/>
      <c r="E66" s="118"/>
      <c r="F66" s="42"/>
      <c r="G66" s="42"/>
      <c r="H66" s="42"/>
      <c r="I66" s="42"/>
      <c r="J66" s="42"/>
      <c r="K66" s="42"/>
      <c r="L66" s="99"/>
      <c r="M66" s="8"/>
      <c r="N66" s="8"/>
      <c r="O66" s="8"/>
    </row>
    <row r="67" spans="1:20" ht="17.25" customHeight="1">
      <c r="A67" s="2024"/>
      <c r="B67" s="2025"/>
      <c r="C67" s="116">
        <v>2019</v>
      </c>
      <c r="D67" s="117"/>
      <c r="E67" s="118"/>
      <c r="F67" s="42"/>
      <c r="G67" s="42"/>
      <c r="H67" s="42"/>
      <c r="I67" s="42"/>
      <c r="J67" s="42"/>
      <c r="K67" s="42"/>
      <c r="L67" s="99"/>
      <c r="M67" s="8"/>
      <c r="N67" s="8"/>
      <c r="O67" s="8"/>
    </row>
    <row r="68" spans="1:20" ht="16.5" customHeight="1">
      <c r="A68" s="2024"/>
      <c r="B68" s="2025"/>
      <c r="C68" s="116">
        <v>2020</v>
      </c>
      <c r="D68" s="117"/>
      <c r="E68" s="118"/>
      <c r="F68" s="42"/>
      <c r="G68" s="42"/>
      <c r="H68" s="42"/>
      <c r="I68" s="42"/>
      <c r="J68" s="42"/>
      <c r="K68" s="42"/>
      <c r="L68" s="99"/>
      <c r="M68" s="121"/>
      <c r="N68" s="121"/>
      <c r="O68" s="121"/>
    </row>
    <row r="69" spans="1:20" ht="18" customHeight="1" thickBot="1">
      <c r="A69" s="2134"/>
      <c r="B69" s="2027"/>
      <c r="C69" s="122" t="s">
        <v>12</v>
      </c>
      <c r="D69" s="123">
        <f>SUM(D62:D68)</f>
        <v>8</v>
      </c>
      <c r="E69" s="124">
        <f>SUM(E62:E68)</f>
        <v>0</v>
      </c>
      <c r="F69" s="125">
        <f t="shared" ref="F69:I69" si="4">SUM(F62:F68)</f>
        <v>3</v>
      </c>
      <c r="G69" s="125">
        <f t="shared" si="4"/>
        <v>3</v>
      </c>
      <c r="H69" s="125">
        <f t="shared" si="4"/>
        <v>0</v>
      </c>
      <c r="I69" s="125">
        <f t="shared" si="4"/>
        <v>0</v>
      </c>
      <c r="J69" s="125"/>
      <c r="K69" s="125">
        <f>SUM(K62:K68)</f>
        <v>1</v>
      </c>
      <c r="L69" s="126">
        <f>SUM(L62:L68)</f>
        <v>1</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362" t="s">
        <v>42</v>
      </c>
      <c r="B71" s="363" t="s">
        <v>7</v>
      </c>
      <c r="C71" s="80" t="s">
        <v>8</v>
      </c>
      <c r="D71" s="132" t="s">
        <v>43</v>
      </c>
      <c r="E71" s="132" t="s">
        <v>44</v>
      </c>
      <c r="F71" s="133" t="s">
        <v>45</v>
      </c>
      <c r="G71" s="364" t="s">
        <v>46</v>
      </c>
      <c r="H71" s="135" t="s">
        <v>13</v>
      </c>
      <c r="I71" s="136" t="s">
        <v>14</v>
      </c>
      <c r="J71" s="137" t="s">
        <v>15</v>
      </c>
      <c r="K71" s="136" t="s">
        <v>16</v>
      </c>
      <c r="L71" s="136" t="s">
        <v>17</v>
      </c>
      <c r="M71" s="138" t="s">
        <v>18</v>
      </c>
      <c r="N71" s="137" t="s">
        <v>19</v>
      </c>
      <c r="O71" s="139" t="s">
        <v>161</v>
      </c>
    </row>
    <row r="72" spans="1:20" ht="15" customHeight="1">
      <c r="A72" s="2007" t="s">
        <v>162</v>
      </c>
      <c r="B72" s="2025"/>
      <c r="C72" s="84">
        <v>2014</v>
      </c>
      <c r="D72" s="140"/>
      <c r="E72" s="140"/>
      <c r="F72" s="140"/>
      <c r="G72" s="141">
        <f>SUM(D72:F72)</f>
        <v>0</v>
      </c>
      <c r="H72" s="33"/>
      <c r="I72" s="142"/>
      <c r="J72" s="115"/>
      <c r="K72" s="115"/>
      <c r="L72" s="115"/>
      <c r="M72" s="115"/>
      <c r="N72" s="115"/>
      <c r="O72" s="143"/>
    </row>
    <row r="73" spans="1:20">
      <c r="A73" s="1987"/>
      <c r="B73" s="2025"/>
      <c r="C73" s="86">
        <v>2015</v>
      </c>
      <c r="D73" s="147">
        <v>4</v>
      </c>
      <c r="E73" s="147">
        <v>1</v>
      </c>
      <c r="F73" s="147"/>
      <c r="G73" s="141">
        <v>5</v>
      </c>
      <c r="H73" s="50"/>
      <c r="I73" s="50">
        <v>4</v>
      </c>
      <c r="J73" s="42"/>
      <c r="K73" s="42">
        <v>1</v>
      </c>
      <c r="L73" s="42"/>
      <c r="M73" s="42"/>
      <c r="N73" s="42"/>
      <c r="O73" s="99"/>
    </row>
    <row r="74" spans="1:20">
      <c r="A74" s="1987"/>
      <c r="B74" s="2025"/>
      <c r="C74" s="86">
        <v>2016</v>
      </c>
      <c r="D74" s="147">
        <v>10</v>
      </c>
      <c r="E74" s="365">
        <v>4</v>
      </c>
      <c r="F74" s="147"/>
      <c r="G74" s="141">
        <f t="shared" ref="G74:G78" si="5">SUM(D74:F74)</f>
        <v>14</v>
      </c>
      <c r="H74" s="50"/>
      <c r="I74" s="50">
        <v>1</v>
      </c>
      <c r="J74" s="42"/>
      <c r="K74" s="42"/>
      <c r="L74" s="42">
        <v>1</v>
      </c>
      <c r="M74" s="42"/>
      <c r="N74" s="42"/>
      <c r="O74" s="99">
        <v>12</v>
      </c>
    </row>
    <row r="75" spans="1:20">
      <c r="A75" s="1987"/>
      <c r="B75" s="2025"/>
      <c r="C75" s="86">
        <v>2017</v>
      </c>
      <c r="D75" s="147"/>
      <c r="E75" s="147"/>
      <c r="F75" s="147"/>
      <c r="G75" s="141">
        <f t="shared" si="5"/>
        <v>0</v>
      </c>
      <c r="H75" s="50"/>
      <c r="I75" s="50"/>
      <c r="J75" s="42"/>
      <c r="K75" s="42"/>
      <c r="L75" s="42"/>
      <c r="M75" s="42"/>
      <c r="N75" s="42"/>
      <c r="O75" s="99"/>
    </row>
    <row r="76" spans="1:20">
      <c r="A76" s="1987"/>
      <c r="B76" s="2025"/>
      <c r="C76" s="86">
        <v>2018</v>
      </c>
      <c r="D76" s="147"/>
      <c r="E76" s="147"/>
      <c r="F76" s="147"/>
      <c r="G76" s="141">
        <f t="shared" si="5"/>
        <v>0</v>
      </c>
      <c r="H76" s="50"/>
      <c r="I76" s="50"/>
      <c r="J76" s="42"/>
      <c r="K76" s="42"/>
      <c r="L76" s="42"/>
      <c r="M76" s="42"/>
      <c r="N76" s="42"/>
      <c r="O76" s="99"/>
    </row>
    <row r="77" spans="1:20" ht="15.75" customHeight="1">
      <c r="A77" s="1987"/>
      <c r="B77" s="2025"/>
      <c r="C77" s="86">
        <v>2019</v>
      </c>
      <c r="D77" s="147"/>
      <c r="E77" s="147"/>
      <c r="F77" s="147"/>
      <c r="G77" s="141">
        <f t="shared" si="5"/>
        <v>0</v>
      </c>
      <c r="H77" s="50"/>
      <c r="I77" s="50"/>
      <c r="J77" s="42"/>
      <c r="K77" s="42"/>
      <c r="L77" s="42"/>
      <c r="M77" s="42"/>
      <c r="N77" s="42"/>
      <c r="O77" s="99"/>
    </row>
    <row r="78" spans="1:20" ht="17.25" customHeight="1">
      <c r="A78" s="1987"/>
      <c r="B78" s="2025"/>
      <c r="C78" s="86">
        <v>2020</v>
      </c>
      <c r="D78" s="147"/>
      <c r="E78" s="147"/>
      <c r="F78" s="147"/>
      <c r="G78" s="141">
        <f t="shared" si="5"/>
        <v>0</v>
      </c>
      <c r="H78" s="50"/>
      <c r="I78" s="50"/>
      <c r="J78" s="42"/>
      <c r="K78" s="42"/>
      <c r="L78" s="42"/>
      <c r="M78" s="42"/>
      <c r="N78" s="42"/>
      <c r="O78" s="99"/>
    </row>
    <row r="79" spans="1:20" ht="20.25" customHeight="1" thickBot="1">
      <c r="A79" s="2134"/>
      <c r="B79" s="2027"/>
      <c r="C79" s="148" t="s">
        <v>12</v>
      </c>
      <c r="D79" s="123">
        <f>SUM(D72:D78)</f>
        <v>14</v>
      </c>
      <c r="E79" s="123">
        <f>SUM(E72:E78)</f>
        <v>5</v>
      </c>
      <c r="F79" s="123">
        <f>SUM(F72:F78)</f>
        <v>0</v>
      </c>
      <c r="G79" s="149">
        <f>SUM(G72:G78)</f>
        <v>19</v>
      </c>
      <c r="H79" s="150">
        <v>0</v>
      </c>
      <c r="I79" s="151">
        <f t="shared" ref="I79:O79" si="6">SUM(I72:I78)</f>
        <v>5</v>
      </c>
      <c r="J79" s="125">
        <f t="shared" si="6"/>
        <v>0</v>
      </c>
      <c r="K79" s="125">
        <f t="shared" si="6"/>
        <v>1</v>
      </c>
      <c r="L79" s="125">
        <f t="shared" si="6"/>
        <v>1</v>
      </c>
      <c r="M79" s="125">
        <f t="shared" si="6"/>
        <v>0</v>
      </c>
      <c r="N79" s="125">
        <f t="shared" si="6"/>
        <v>0</v>
      </c>
      <c r="O79" s="126">
        <f t="shared" si="6"/>
        <v>12</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50" customHeight="1">
      <c r="A84" s="366" t="s">
        <v>49</v>
      </c>
      <c r="B84" s="367" t="s">
        <v>50</v>
      </c>
      <c r="C84" s="161" t="s">
        <v>8</v>
      </c>
      <c r="D84" s="368" t="s">
        <v>51</v>
      </c>
      <c r="E84" s="163" t="s">
        <v>52</v>
      </c>
      <c r="F84" s="164" t="s">
        <v>53</v>
      </c>
      <c r="G84" s="164" t="s">
        <v>54</v>
      </c>
      <c r="H84" s="164" t="s">
        <v>55</v>
      </c>
      <c r="I84" s="164" t="s">
        <v>56</v>
      </c>
      <c r="J84" s="164" t="s">
        <v>57</v>
      </c>
      <c r="K84" s="165" t="s">
        <v>58</v>
      </c>
    </row>
    <row r="85" spans="1:16" ht="15" customHeight="1">
      <c r="A85" s="2071"/>
      <c r="B85" s="2025"/>
      <c r="C85" s="84">
        <v>2014</v>
      </c>
      <c r="D85" s="166"/>
      <c r="E85" s="167"/>
      <c r="F85" s="34"/>
      <c r="G85" s="34"/>
      <c r="H85" s="34"/>
      <c r="I85" s="34"/>
      <c r="J85" s="34"/>
      <c r="K85" s="37"/>
    </row>
    <row r="86" spans="1:16">
      <c r="A86" s="2072"/>
      <c r="B86" s="2025"/>
      <c r="C86" s="86">
        <v>2015</v>
      </c>
      <c r="D86" s="168"/>
      <c r="E86" s="118"/>
      <c r="F86" s="42"/>
      <c r="G86" s="42"/>
      <c r="H86" s="42"/>
      <c r="I86" s="42"/>
      <c r="J86" s="42"/>
      <c r="K86" s="99"/>
    </row>
    <row r="87" spans="1:16">
      <c r="A87" s="2072"/>
      <c r="B87" s="2025"/>
      <c r="C87" s="86">
        <v>2016</v>
      </c>
      <c r="D87" s="168">
        <v>2</v>
      </c>
      <c r="E87" s="118"/>
      <c r="F87" s="42">
        <v>1</v>
      </c>
      <c r="H87" s="42">
        <v>1</v>
      </c>
      <c r="I87" s="42"/>
      <c r="J87" s="42"/>
      <c r="K87" s="99"/>
    </row>
    <row r="88" spans="1:16">
      <c r="A88" s="2072"/>
      <c r="B88" s="2025"/>
      <c r="C88" s="86">
        <v>2017</v>
      </c>
      <c r="D88" s="168"/>
      <c r="E88" s="118"/>
      <c r="F88" s="42"/>
      <c r="G88" s="42"/>
      <c r="H88" s="42"/>
      <c r="I88" s="42"/>
      <c r="J88" s="42"/>
      <c r="K88" s="99"/>
    </row>
    <row r="89" spans="1:16">
      <c r="A89" s="2072"/>
      <c r="B89" s="2025"/>
      <c r="C89" s="86">
        <v>2018</v>
      </c>
      <c r="D89" s="168"/>
      <c r="E89" s="118"/>
      <c r="F89" s="42"/>
      <c r="G89" s="42"/>
      <c r="H89" s="42"/>
      <c r="I89" s="42"/>
      <c r="J89" s="42"/>
      <c r="K89" s="99"/>
    </row>
    <row r="90" spans="1:16">
      <c r="A90" s="2072"/>
      <c r="B90" s="2025"/>
      <c r="C90" s="86">
        <v>2019</v>
      </c>
      <c r="D90" s="168"/>
      <c r="E90" s="118"/>
      <c r="F90" s="42"/>
      <c r="G90" s="42"/>
      <c r="H90" s="42"/>
      <c r="I90" s="42"/>
      <c r="J90" s="42"/>
      <c r="K90" s="99"/>
    </row>
    <row r="91" spans="1:16">
      <c r="A91" s="2072"/>
      <c r="B91" s="2025"/>
      <c r="C91" s="86">
        <v>2020</v>
      </c>
      <c r="D91" s="168"/>
      <c r="E91" s="118"/>
      <c r="F91" s="42"/>
      <c r="G91" s="42"/>
      <c r="H91" s="42"/>
      <c r="I91" s="42"/>
      <c r="J91" s="42"/>
      <c r="K91" s="99"/>
    </row>
    <row r="92" spans="1:16" ht="18" customHeight="1" thickBot="1">
      <c r="A92" s="2073"/>
      <c r="B92" s="2027"/>
      <c r="C92" s="148" t="s">
        <v>12</v>
      </c>
      <c r="D92" s="169">
        <f t="shared" ref="D92:I92" si="7">SUM(D85:D91)</f>
        <v>2</v>
      </c>
      <c r="E92" s="124">
        <f t="shared" si="7"/>
        <v>0</v>
      </c>
      <c r="F92" s="125">
        <f t="shared" si="7"/>
        <v>1</v>
      </c>
      <c r="G92" s="125">
        <f t="shared" si="7"/>
        <v>0</v>
      </c>
      <c r="H92" s="125">
        <f t="shared" si="7"/>
        <v>1</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127" t="s">
        <v>60</v>
      </c>
      <c r="B96" s="2128" t="s">
        <v>61</v>
      </c>
      <c r="C96" s="2132" t="s">
        <v>8</v>
      </c>
      <c r="D96" s="2130" t="s">
        <v>62</v>
      </c>
      <c r="E96" s="2131"/>
      <c r="F96" s="369" t="s">
        <v>63</v>
      </c>
      <c r="G96" s="370"/>
      <c r="H96" s="370"/>
      <c r="I96" s="370"/>
      <c r="J96" s="370"/>
      <c r="K96" s="370"/>
      <c r="L96" s="370"/>
      <c r="M96" s="371"/>
      <c r="N96" s="177"/>
      <c r="O96" s="177"/>
      <c r="P96" s="177"/>
    </row>
    <row r="97" spans="1:16" ht="100.5" customHeight="1">
      <c r="A97" s="2041"/>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031" t="s">
        <v>163</v>
      </c>
      <c r="B98" s="2025"/>
      <c r="C98" s="112">
        <v>2014</v>
      </c>
      <c r="D98" s="33"/>
      <c r="E98" s="34"/>
      <c r="F98" s="186"/>
      <c r="G98" s="187"/>
      <c r="H98" s="187"/>
      <c r="I98" s="187"/>
      <c r="J98" s="187"/>
      <c r="K98" s="187"/>
      <c r="L98" s="187"/>
      <c r="M98" s="188"/>
      <c r="N98" s="177"/>
      <c r="O98" s="177"/>
      <c r="P98" s="177"/>
    </row>
    <row r="99" spans="1:16" ht="16.5" customHeight="1">
      <c r="A99" s="2024"/>
      <c r="B99" s="2025"/>
      <c r="C99" s="116">
        <v>2015</v>
      </c>
      <c r="D99" s="50">
        <v>1</v>
      </c>
      <c r="E99" s="42">
        <v>3</v>
      </c>
      <c r="F99" s="189"/>
      <c r="G99" s="190"/>
      <c r="H99" s="190"/>
      <c r="I99" s="190"/>
      <c r="J99" s="190"/>
      <c r="K99" s="190"/>
      <c r="L99" s="190"/>
      <c r="M99" s="193">
        <v>1</v>
      </c>
      <c r="N99" s="177"/>
      <c r="O99" s="177"/>
      <c r="P99" s="177"/>
    </row>
    <row r="100" spans="1:16" ht="16.5" customHeight="1">
      <c r="A100" s="2024"/>
      <c r="B100" s="2025"/>
      <c r="C100" s="116">
        <v>2016</v>
      </c>
      <c r="D100" s="50">
        <v>1</v>
      </c>
      <c r="E100" s="42">
        <v>7</v>
      </c>
      <c r="F100" s="189"/>
      <c r="G100" s="190"/>
      <c r="H100" s="190"/>
      <c r="I100" s="190"/>
      <c r="J100" s="190"/>
      <c r="K100" s="190"/>
      <c r="L100" s="190"/>
      <c r="M100" s="193">
        <v>1</v>
      </c>
      <c r="N100" s="177"/>
      <c r="O100" s="177"/>
      <c r="P100" s="177"/>
    </row>
    <row r="101" spans="1:16" ht="16.5" customHeight="1">
      <c r="A101" s="2024"/>
      <c r="B101" s="2025"/>
      <c r="C101" s="116">
        <v>2017</v>
      </c>
      <c r="D101" s="50"/>
      <c r="E101" s="42"/>
      <c r="F101" s="189"/>
      <c r="G101" s="190"/>
      <c r="H101" s="190"/>
      <c r="I101" s="190"/>
      <c r="J101" s="190"/>
      <c r="K101" s="190"/>
      <c r="L101" s="190"/>
      <c r="M101" s="193"/>
      <c r="N101" s="177"/>
      <c r="O101" s="177"/>
      <c r="P101" s="177"/>
    </row>
    <row r="102" spans="1:16" ht="15.75" customHeight="1">
      <c r="A102" s="2024"/>
      <c r="B102" s="2025"/>
      <c r="C102" s="116">
        <v>2018</v>
      </c>
      <c r="D102" s="50"/>
      <c r="E102" s="42"/>
      <c r="F102" s="189"/>
      <c r="G102" s="190"/>
      <c r="H102" s="190"/>
      <c r="I102" s="190"/>
      <c r="J102" s="190"/>
      <c r="K102" s="190"/>
      <c r="L102" s="190"/>
      <c r="M102" s="193"/>
      <c r="N102" s="177"/>
      <c r="O102" s="177"/>
      <c r="P102" s="177"/>
    </row>
    <row r="103" spans="1:16" ht="14.25" customHeight="1">
      <c r="A103" s="2024"/>
      <c r="B103" s="2025"/>
      <c r="C103" s="116">
        <v>2019</v>
      </c>
      <c r="D103" s="50"/>
      <c r="E103" s="42"/>
      <c r="F103" s="189"/>
      <c r="G103" s="190"/>
      <c r="H103" s="190"/>
      <c r="I103" s="190"/>
      <c r="J103" s="190"/>
      <c r="K103" s="190"/>
      <c r="L103" s="190"/>
      <c r="M103" s="193"/>
      <c r="N103" s="177"/>
      <c r="O103" s="177"/>
      <c r="P103" s="177"/>
    </row>
    <row r="104" spans="1:16" ht="14.25" customHeight="1">
      <c r="A104" s="2024"/>
      <c r="B104" s="2025"/>
      <c r="C104" s="116">
        <v>2020</v>
      </c>
      <c r="D104" s="50"/>
      <c r="E104" s="42"/>
      <c r="F104" s="189"/>
      <c r="G104" s="190"/>
      <c r="H104" s="190"/>
      <c r="I104" s="190"/>
      <c r="J104" s="190"/>
      <c r="K104" s="190"/>
      <c r="L104" s="190"/>
      <c r="M104" s="193"/>
      <c r="N104" s="177"/>
      <c r="O104" s="177"/>
      <c r="P104" s="177"/>
    </row>
    <row r="105" spans="1:16" ht="19.5" customHeight="1" thickBot="1">
      <c r="A105" s="2046"/>
      <c r="B105" s="2027"/>
      <c r="C105" s="122" t="s">
        <v>12</v>
      </c>
      <c r="D105" s="151">
        <f>SUM(D98:D104)</f>
        <v>2</v>
      </c>
      <c r="E105" s="125">
        <f t="shared" ref="E105:K105" si="8">SUM(E98:E104)</f>
        <v>10</v>
      </c>
      <c r="F105" s="194">
        <f t="shared" si="8"/>
        <v>0</v>
      </c>
      <c r="G105" s="195">
        <f t="shared" si="8"/>
        <v>0</v>
      </c>
      <c r="H105" s="195">
        <f t="shared" si="8"/>
        <v>0</v>
      </c>
      <c r="I105" s="195">
        <f>SUM(I98:I104)</f>
        <v>0</v>
      </c>
      <c r="J105" s="195">
        <f t="shared" si="8"/>
        <v>0</v>
      </c>
      <c r="K105" s="195">
        <f t="shared" si="8"/>
        <v>0</v>
      </c>
      <c r="L105" s="195">
        <f>SUM(L98:L104)</f>
        <v>0</v>
      </c>
      <c r="M105" s="196">
        <f>SUM(M98:M104)</f>
        <v>2</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127" t="s">
        <v>69</v>
      </c>
      <c r="B107" s="2128" t="s">
        <v>61</v>
      </c>
      <c r="C107" s="2132" t="s">
        <v>8</v>
      </c>
      <c r="D107" s="2133" t="s">
        <v>70</v>
      </c>
      <c r="E107" s="369" t="s">
        <v>71</v>
      </c>
      <c r="F107" s="370"/>
      <c r="G107" s="370"/>
      <c r="H107" s="370"/>
      <c r="I107" s="370"/>
      <c r="J107" s="370"/>
      <c r="K107" s="370"/>
      <c r="L107" s="371"/>
      <c r="M107" s="199"/>
      <c r="N107" s="199"/>
    </row>
    <row r="108" spans="1:16" ht="103.5" customHeight="1">
      <c r="A108" s="2041"/>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031" t="s">
        <v>164</v>
      </c>
      <c r="B109" s="2025"/>
      <c r="C109" s="112">
        <v>2014</v>
      </c>
      <c r="D109" s="34"/>
      <c r="E109" s="186"/>
      <c r="F109" s="187"/>
      <c r="G109" s="187"/>
      <c r="H109" s="187"/>
      <c r="I109" s="187"/>
      <c r="J109" s="187"/>
      <c r="K109" s="187"/>
      <c r="L109" s="188"/>
      <c r="M109" s="199"/>
      <c r="N109" s="199"/>
    </row>
    <row r="110" spans="1:16">
      <c r="A110" s="2024"/>
      <c r="B110" s="2025"/>
      <c r="C110" s="116">
        <v>2015</v>
      </c>
      <c r="D110" s="42">
        <v>1</v>
      </c>
      <c r="E110" s="189"/>
      <c r="F110" s="190"/>
      <c r="G110" s="190"/>
      <c r="H110" s="190"/>
      <c r="I110" s="190"/>
      <c r="J110" s="190"/>
      <c r="K110" s="190"/>
      <c r="L110" s="193">
        <v>1</v>
      </c>
      <c r="M110" s="199"/>
      <c r="N110" s="199"/>
    </row>
    <row r="111" spans="1:16">
      <c r="A111" s="2024"/>
      <c r="B111" s="2025"/>
      <c r="C111" s="116">
        <v>2016</v>
      </c>
      <c r="D111" s="42"/>
      <c r="E111" s="189"/>
      <c r="F111" s="190"/>
      <c r="G111" s="190"/>
      <c r="H111" s="190"/>
      <c r="I111" s="190"/>
      <c r="J111" s="190"/>
      <c r="K111" s="190"/>
      <c r="L111" s="193"/>
      <c r="M111" s="199"/>
      <c r="N111" s="199"/>
    </row>
    <row r="112" spans="1:16">
      <c r="A112" s="2024"/>
      <c r="B112" s="2025"/>
      <c r="C112" s="116">
        <v>2017</v>
      </c>
      <c r="D112" s="42"/>
      <c r="E112" s="189"/>
      <c r="F112" s="190"/>
      <c r="G112" s="190"/>
      <c r="H112" s="190"/>
      <c r="I112" s="190"/>
      <c r="J112" s="190"/>
      <c r="K112" s="190"/>
      <c r="L112" s="193"/>
      <c r="M112" s="199"/>
      <c r="N112" s="199"/>
    </row>
    <row r="113" spans="1:14">
      <c r="A113" s="2024"/>
      <c r="B113" s="2025"/>
      <c r="C113" s="116">
        <v>2018</v>
      </c>
      <c r="D113" s="42"/>
      <c r="E113" s="189"/>
      <c r="F113" s="190"/>
      <c r="G113" s="190"/>
      <c r="H113" s="190"/>
      <c r="I113" s="190"/>
      <c r="J113" s="190"/>
      <c r="K113" s="190"/>
      <c r="L113" s="193"/>
      <c r="M113" s="199"/>
      <c r="N113" s="199"/>
    </row>
    <row r="114" spans="1:14">
      <c r="A114" s="2024"/>
      <c r="B114" s="2025"/>
      <c r="C114" s="116">
        <v>2019</v>
      </c>
      <c r="D114" s="42"/>
      <c r="E114" s="189"/>
      <c r="F114" s="190"/>
      <c r="G114" s="190"/>
      <c r="H114" s="190"/>
      <c r="I114" s="190"/>
      <c r="J114" s="190"/>
      <c r="K114" s="190"/>
      <c r="L114" s="193"/>
      <c r="M114" s="199"/>
      <c r="N114" s="199"/>
    </row>
    <row r="115" spans="1:14">
      <c r="A115" s="2024"/>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f t="shared" ref="D116:I116" si="9">SUM(D109:D115)</f>
        <v>1</v>
      </c>
      <c r="E116" s="194">
        <f t="shared" si="9"/>
        <v>0</v>
      </c>
      <c r="F116" s="195">
        <f t="shared" si="9"/>
        <v>0</v>
      </c>
      <c r="G116" s="195">
        <f t="shared" si="9"/>
        <v>0</v>
      </c>
      <c r="H116" s="195">
        <f t="shared" si="9"/>
        <v>0</v>
      </c>
      <c r="I116" s="195">
        <f t="shared" si="9"/>
        <v>0</v>
      </c>
      <c r="J116" s="195"/>
      <c r="K116" s="195">
        <f>SUM(K109:K115)</f>
        <v>0</v>
      </c>
      <c r="L116" s="196">
        <f>SUM(L109:L115)</f>
        <v>1</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127" t="s">
        <v>72</v>
      </c>
      <c r="B118" s="2128" t="s">
        <v>61</v>
      </c>
      <c r="C118" s="2132" t="s">
        <v>8</v>
      </c>
      <c r="D118" s="2133" t="s">
        <v>73</v>
      </c>
      <c r="E118" s="369" t="s">
        <v>71</v>
      </c>
      <c r="F118" s="370"/>
      <c r="G118" s="370"/>
      <c r="H118" s="370"/>
      <c r="I118" s="370"/>
      <c r="J118" s="370"/>
      <c r="K118" s="370"/>
      <c r="L118" s="371"/>
      <c r="M118" s="199"/>
      <c r="N118" s="199"/>
    </row>
    <row r="119" spans="1:14" ht="120.75" customHeight="1">
      <c r="A119" s="2041"/>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031"/>
      <c r="B120" s="2025"/>
      <c r="C120" s="112">
        <v>2014</v>
      </c>
      <c r="D120" s="34"/>
      <c r="E120" s="186"/>
      <c r="F120" s="187"/>
      <c r="G120" s="187"/>
      <c r="H120" s="187"/>
      <c r="I120" s="187"/>
      <c r="J120" s="187"/>
      <c r="K120" s="187"/>
      <c r="L120" s="188"/>
      <c r="M120" s="199"/>
      <c r="N120" s="199"/>
    </row>
    <row r="121" spans="1:14">
      <c r="A121" s="2024"/>
      <c r="B121" s="2025"/>
      <c r="C121" s="116">
        <v>2015</v>
      </c>
      <c r="D121" s="42"/>
      <c r="E121" s="189"/>
      <c r="F121" s="190"/>
      <c r="G121" s="190"/>
      <c r="H121" s="190"/>
      <c r="I121" s="190"/>
      <c r="J121" s="190"/>
      <c r="K121" s="190"/>
      <c r="L121" s="193"/>
      <c r="M121" s="199"/>
      <c r="N121" s="199"/>
    </row>
    <row r="122" spans="1:14">
      <c r="A122" s="2024"/>
      <c r="B122" s="2025"/>
      <c r="C122" s="116">
        <v>2016</v>
      </c>
      <c r="D122" s="42"/>
      <c r="E122" s="189"/>
      <c r="F122" s="190"/>
      <c r="G122" s="190"/>
      <c r="H122" s="190"/>
      <c r="I122" s="190"/>
      <c r="J122" s="190"/>
      <c r="K122" s="190"/>
      <c r="L122" s="193"/>
      <c r="M122" s="199"/>
      <c r="N122" s="199"/>
    </row>
    <row r="123" spans="1:14">
      <c r="A123" s="2024"/>
      <c r="B123" s="2025"/>
      <c r="C123" s="116">
        <v>2017</v>
      </c>
      <c r="D123" s="42"/>
      <c r="E123" s="189"/>
      <c r="F123" s="190"/>
      <c r="G123" s="190"/>
      <c r="H123" s="190"/>
      <c r="I123" s="190"/>
      <c r="J123" s="190"/>
      <c r="K123" s="190"/>
      <c r="L123" s="193"/>
      <c r="M123" s="199"/>
      <c r="N123" s="199"/>
    </row>
    <row r="124" spans="1:14">
      <c r="A124" s="2024"/>
      <c r="B124" s="2025"/>
      <c r="C124" s="116">
        <v>2018</v>
      </c>
      <c r="D124" s="42"/>
      <c r="E124" s="189"/>
      <c r="F124" s="190"/>
      <c r="G124" s="190"/>
      <c r="H124" s="190"/>
      <c r="I124" s="190"/>
      <c r="J124" s="190"/>
      <c r="K124" s="190"/>
      <c r="L124" s="193"/>
      <c r="M124" s="199"/>
      <c r="N124" s="199"/>
    </row>
    <row r="125" spans="1:14">
      <c r="A125" s="2024"/>
      <c r="B125" s="2025"/>
      <c r="C125" s="116">
        <v>2019</v>
      </c>
      <c r="D125" s="42"/>
      <c r="E125" s="189"/>
      <c r="F125" s="190"/>
      <c r="G125" s="190"/>
      <c r="H125" s="190"/>
      <c r="I125" s="190"/>
      <c r="J125" s="190"/>
      <c r="K125" s="190"/>
      <c r="L125" s="193"/>
      <c r="M125" s="199"/>
      <c r="N125" s="199"/>
    </row>
    <row r="126" spans="1:14">
      <c r="A126" s="2024"/>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127" t="s">
        <v>74</v>
      </c>
      <c r="B129" s="2128" t="s">
        <v>61</v>
      </c>
      <c r="C129" s="372" t="s">
        <v>8</v>
      </c>
      <c r="D129" s="373" t="s">
        <v>75</v>
      </c>
      <c r="E129" s="374"/>
      <c r="F129" s="374"/>
      <c r="G129" s="375"/>
      <c r="H129" s="199"/>
      <c r="I129" s="199"/>
      <c r="J129" s="199"/>
      <c r="K129" s="199"/>
      <c r="L129" s="199"/>
      <c r="M129" s="199"/>
      <c r="N129" s="199"/>
    </row>
    <row r="130" spans="1:16" ht="77.25" customHeight="1">
      <c r="A130" s="2041"/>
      <c r="B130" s="2043"/>
      <c r="C130" s="339"/>
      <c r="D130" s="178" t="s">
        <v>76</v>
      </c>
      <c r="E130" s="207" t="s">
        <v>77</v>
      </c>
      <c r="F130" s="179" t="s">
        <v>78</v>
      </c>
      <c r="G130" s="208" t="s">
        <v>12</v>
      </c>
      <c r="H130" s="199"/>
      <c r="I130" s="199"/>
      <c r="J130" s="199"/>
      <c r="K130" s="199"/>
      <c r="L130" s="199"/>
      <c r="M130" s="199"/>
      <c r="N130" s="199"/>
    </row>
    <row r="131" spans="1:16" ht="15" customHeight="1">
      <c r="A131" s="2007"/>
      <c r="B131" s="1988"/>
      <c r="C131" s="340">
        <v>2015</v>
      </c>
      <c r="D131" s="557">
        <v>54</v>
      </c>
      <c r="E131" s="342">
        <v>235</v>
      </c>
      <c r="F131" s="342"/>
      <c r="G131" s="209">
        <f>D131+E131</f>
        <v>289</v>
      </c>
      <c r="H131" s="199"/>
      <c r="I131" s="199"/>
      <c r="J131" s="199"/>
      <c r="K131" s="199"/>
      <c r="L131" s="199"/>
      <c r="M131" s="199"/>
      <c r="N131" s="199"/>
    </row>
    <row r="132" spans="1:16">
      <c r="A132" s="1987"/>
      <c r="B132" s="1988"/>
      <c r="C132" s="116">
        <v>2016</v>
      </c>
      <c r="D132" s="50">
        <v>126</v>
      </c>
      <c r="E132" s="42"/>
      <c r="F132" s="42"/>
      <c r="G132" s="209">
        <f>D132+E132</f>
        <v>126</v>
      </c>
      <c r="H132" s="199"/>
      <c r="I132" s="199"/>
      <c r="J132" s="199"/>
      <c r="K132" s="199"/>
      <c r="L132" s="199"/>
      <c r="M132" s="199"/>
      <c r="N132" s="199"/>
    </row>
    <row r="133" spans="1:16">
      <c r="A133" s="1987"/>
      <c r="B133" s="1988"/>
      <c r="C133" s="116">
        <v>2017</v>
      </c>
      <c r="D133" s="50"/>
      <c r="E133" s="42"/>
      <c r="F133" s="42"/>
      <c r="G133" s="209">
        <f t="shared" ref="G133:G136" si="11">SUM(D133:F133)</f>
        <v>0</v>
      </c>
      <c r="H133" s="199"/>
      <c r="I133" s="199"/>
      <c r="J133" s="199"/>
      <c r="K133" s="199"/>
      <c r="L133" s="199"/>
      <c r="M133" s="199"/>
      <c r="N133" s="199"/>
    </row>
    <row r="134" spans="1:16">
      <c r="A134" s="1987"/>
      <c r="B134" s="1988"/>
      <c r="C134" s="116">
        <v>2018</v>
      </c>
      <c r="D134" s="50"/>
      <c r="E134" s="42"/>
      <c r="F134" s="42"/>
      <c r="G134" s="209">
        <f t="shared" si="11"/>
        <v>0</v>
      </c>
      <c r="H134" s="199"/>
      <c r="I134" s="199"/>
      <c r="J134" s="199"/>
      <c r="K134" s="199"/>
      <c r="L134" s="199"/>
      <c r="M134" s="199"/>
      <c r="N134" s="199"/>
    </row>
    <row r="135" spans="1:16">
      <c r="A135" s="1987"/>
      <c r="B135" s="1988"/>
      <c r="C135" s="116">
        <v>2019</v>
      </c>
      <c r="D135" s="50"/>
      <c r="E135" s="42"/>
      <c r="F135" s="42"/>
      <c r="G135" s="209">
        <f t="shared" si="11"/>
        <v>0</v>
      </c>
      <c r="H135" s="199"/>
      <c r="I135" s="199"/>
      <c r="J135" s="199"/>
      <c r="K135" s="199"/>
      <c r="L135" s="199"/>
      <c r="M135" s="199"/>
      <c r="N135" s="199"/>
    </row>
    <row r="136" spans="1:16">
      <c r="A136" s="1987"/>
      <c r="B136" s="1988"/>
      <c r="C136" s="116">
        <v>2020</v>
      </c>
      <c r="D136" s="50"/>
      <c r="E136" s="42"/>
      <c r="F136" s="42"/>
      <c r="G136" s="209">
        <f t="shared" si="11"/>
        <v>0</v>
      </c>
      <c r="H136" s="199"/>
      <c r="I136" s="199"/>
      <c r="J136" s="199"/>
      <c r="K136" s="199"/>
      <c r="L136" s="199"/>
      <c r="M136" s="199"/>
      <c r="N136" s="199"/>
    </row>
    <row r="137" spans="1:16" ht="17.25" customHeight="1" thickBot="1">
      <c r="A137" s="1989"/>
      <c r="B137" s="1990"/>
      <c r="C137" s="122" t="s">
        <v>12</v>
      </c>
      <c r="D137" s="151">
        <f>SUM(D131:D136)</f>
        <v>180</v>
      </c>
      <c r="E137" s="151">
        <f t="shared" ref="E137:F137" si="12">SUM(E131:E136)</f>
        <v>235</v>
      </c>
      <c r="F137" s="151">
        <f t="shared" si="12"/>
        <v>0</v>
      </c>
      <c r="G137" s="210">
        <f>SUM(G131:G136)</f>
        <v>415</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129" t="s">
        <v>80</v>
      </c>
      <c r="B142" s="2124" t="s">
        <v>61</v>
      </c>
      <c r="C142" s="2126" t="s">
        <v>8</v>
      </c>
      <c r="D142" s="376" t="s">
        <v>81</v>
      </c>
      <c r="E142" s="377"/>
      <c r="F142" s="377"/>
      <c r="G142" s="377"/>
      <c r="H142" s="377"/>
      <c r="I142" s="378"/>
      <c r="J142" s="2120" t="s">
        <v>82</v>
      </c>
      <c r="K142" s="2121"/>
      <c r="L142" s="2121"/>
      <c r="M142" s="2121"/>
      <c r="N142" s="2122"/>
      <c r="O142" s="177"/>
      <c r="P142" s="177"/>
    </row>
    <row r="143" spans="1:16" ht="113.25" customHeight="1">
      <c r="A143" s="2045"/>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031"/>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024"/>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024"/>
      <c r="B146" s="2025"/>
      <c r="C146" s="116">
        <v>2016</v>
      </c>
      <c r="D146" s="50"/>
      <c r="E146" s="50"/>
      <c r="F146" s="42"/>
      <c r="G146" s="190"/>
      <c r="H146" s="190"/>
      <c r="I146" s="227">
        <f t="shared" si="13"/>
        <v>0</v>
      </c>
      <c r="J146" s="231"/>
      <c r="K146" s="232"/>
      <c r="L146" s="231"/>
      <c r="M146" s="232"/>
      <c r="N146" s="233"/>
      <c r="O146" s="177"/>
      <c r="P146" s="177"/>
    </row>
    <row r="147" spans="1:16" ht="17.25" customHeight="1">
      <c r="A147" s="2024"/>
      <c r="B147" s="2025"/>
      <c r="C147" s="116">
        <v>2017</v>
      </c>
      <c r="D147" s="50"/>
      <c r="E147" s="50"/>
      <c r="F147" s="42"/>
      <c r="G147" s="190"/>
      <c r="H147" s="190"/>
      <c r="I147" s="227">
        <f t="shared" si="13"/>
        <v>0</v>
      </c>
      <c r="J147" s="231"/>
      <c r="K147" s="232"/>
      <c r="L147" s="231"/>
      <c r="M147" s="232"/>
      <c r="N147" s="233"/>
      <c r="O147" s="177"/>
      <c r="P147" s="177"/>
    </row>
    <row r="148" spans="1:16" ht="19.5" customHeight="1">
      <c r="A148" s="2024"/>
      <c r="B148" s="2025"/>
      <c r="C148" s="116">
        <v>2018</v>
      </c>
      <c r="D148" s="50"/>
      <c r="E148" s="50"/>
      <c r="F148" s="42"/>
      <c r="G148" s="190"/>
      <c r="H148" s="190"/>
      <c r="I148" s="227">
        <f t="shared" si="13"/>
        <v>0</v>
      </c>
      <c r="J148" s="231"/>
      <c r="K148" s="232"/>
      <c r="L148" s="231"/>
      <c r="M148" s="232"/>
      <c r="N148" s="233"/>
      <c r="O148" s="177"/>
      <c r="P148" s="177"/>
    </row>
    <row r="149" spans="1:16" ht="19.5" customHeight="1">
      <c r="A149" s="2024"/>
      <c r="B149" s="2025"/>
      <c r="C149" s="116">
        <v>2019</v>
      </c>
      <c r="D149" s="50"/>
      <c r="E149" s="50"/>
      <c r="F149" s="42"/>
      <c r="G149" s="190"/>
      <c r="H149" s="190"/>
      <c r="I149" s="227">
        <f t="shared" si="13"/>
        <v>0</v>
      </c>
      <c r="J149" s="231"/>
      <c r="K149" s="232"/>
      <c r="L149" s="231"/>
      <c r="M149" s="232"/>
      <c r="N149" s="233"/>
      <c r="O149" s="177"/>
      <c r="P149" s="177"/>
    </row>
    <row r="150" spans="1:16" ht="18.75" customHeight="1">
      <c r="A150" s="2024"/>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123" t="s">
        <v>93</v>
      </c>
      <c r="B153" s="2124" t="s">
        <v>61</v>
      </c>
      <c r="C153" s="2125" t="s">
        <v>8</v>
      </c>
      <c r="D153" s="379" t="s">
        <v>94</v>
      </c>
      <c r="E153" s="379"/>
      <c r="F153" s="380"/>
      <c r="G153" s="380"/>
      <c r="H153" s="379" t="s">
        <v>95</v>
      </c>
      <c r="I153" s="379"/>
      <c r="J153" s="381"/>
      <c r="K153" s="31"/>
      <c r="L153" s="31"/>
      <c r="M153" s="31"/>
      <c r="N153" s="31"/>
      <c r="O153" s="177"/>
      <c r="P153" s="177"/>
    </row>
    <row r="154" spans="1:16" ht="49.5" customHeight="1">
      <c r="A154" s="2033"/>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031"/>
      <c r="B155" s="2025"/>
      <c r="C155" s="247">
        <v>2014</v>
      </c>
      <c r="D155" s="228"/>
      <c r="E155" s="187"/>
      <c r="F155" s="229"/>
      <c r="G155" s="227">
        <f>SUM(D155:F155)</f>
        <v>0</v>
      </c>
      <c r="H155" s="228"/>
      <c r="I155" s="187"/>
      <c r="J155" s="188"/>
      <c r="O155" s="177"/>
      <c r="P155" s="177"/>
    </row>
    <row r="156" spans="1:16" ht="19.5" customHeight="1">
      <c r="A156" s="2024"/>
      <c r="B156" s="2025"/>
      <c r="C156" s="248">
        <v>2015</v>
      </c>
      <c r="D156" s="231"/>
      <c r="E156" s="190"/>
      <c r="F156" s="232"/>
      <c r="G156" s="227">
        <f t="shared" ref="G156:G161" si="15">SUM(D156:F156)</f>
        <v>0</v>
      </c>
      <c r="H156" s="231"/>
      <c r="I156" s="190"/>
      <c r="J156" s="193"/>
      <c r="O156" s="177"/>
      <c r="P156" s="177"/>
    </row>
    <row r="157" spans="1:16" ht="17.25" customHeight="1">
      <c r="A157" s="2024"/>
      <c r="B157" s="2025"/>
      <c r="C157" s="248">
        <v>2016</v>
      </c>
      <c r="D157" s="231"/>
      <c r="E157" s="190"/>
      <c r="F157" s="232"/>
      <c r="G157" s="227">
        <f t="shared" si="15"/>
        <v>0</v>
      </c>
      <c r="H157" s="231"/>
      <c r="I157" s="190"/>
      <c r="J157" s="193"/>
      <c r="O157" s="177"/>
      <c r="P157" s="177"/>
    </row>
    <row r="158" spans="1:16" ht="15" customHeight="1">
      <c r="A158" s="2024"/>
      <c r="B158" s="2025"/>
      <c r="C158" s="248">
        <v>2017</v>
      </c>
      <c r="D158" s="231"/>
      <c r="E158" s="190"/>
      <c r="F158" s="232"/>
      <c r="G158" s="227">
        <f t="shared" si="15"/>
        <v>0</v>
      </c>
      <c r="H158" s="231"/>
      <c r="I158" s="190"/>
      <c r="J158" s="193"/>
      <c r="O158" s="177"/>
      <c r="P158" s="177"/>
    </row>
    <row r="159" spans="1:16" ht="19.5" customHeight="1">
      <c r="A159" s="2024"/>
      <c r="B159" s="2025"/>
      <c r="C159" s="248">
        <v>2018</v>
      </c>
      <c r="D159" s="231"/>
      <c r="E159" s="190"/>
      <c r="F159" s="232"/>
      <c r="G159" s="227">
        <f t="shared" si="15"/>
        <v>0</v>
      </c>
      <c r="H159" s="231"/>
      <c r="I159" s="190"/>
      <c r="J159" s="193"/>
      <c r="O159" s="177"/>
      <c r="P159" s="177"/>
    </row>
    <row r="160" spans="1:16" ht="15" customHeight="1">
      <c r="A160" s="2024"/>
      <c r="B160" s="2025"/>
      <c r="C160" s="248">
        <v>2019</v>
      </c>
      <c r="D160" s="231"/>
      <c r="E160" s="190"/>
      <c r="F160" s="232"/>
      <c r="G160" s="227">
        <f t="shared" si="15"/>
        <v>0</v>
      </c>
      <c r="H160" s="231"/>
      <c r="I160" s="190"/>
      <c r="J160" s="193"/>
      <c r="O160" s="177"/>
      <c r="P160" s="177"/>
    </row>
    <row r="161" spans="1:18" ht="17.25" customHeight="1">
      <c r="A161" s="2024"/>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382"/>
      <c r="F163" s="177"/>
      <c r="G163" s="177"/>
      <c r="H163" s="177"/>
      <c r="I163" s="177"/>
      <c r="J163" s="255"/>
      <c r="K163" s="256"/>
    </row>
    <row r="164" spans="1:18" ht="95.25" customHeight="1">
      <c r="A164" s="383" t="s">
        <v>102</v>
      </c>
      <c r="B164" s="258" t="s">
        <v>103</v>
      </c>
      <c r="C164" s="384" t="s">
        <v>8</v>
      </c>
      <c r="D164" s="260" t="s">
        <v>104</v>
      </c>
      <c r="E164" s="260" t="s">
        <v>105</v>
      </c>
      <c r="F164" s="385" t="s">
        <v>106</v>
      </c>
      <c r="G164" s="260" t="s">
        <v>107</v>
      </c>
      <c r="H164" s="260" t="s">
        <v>108</v>
      </c>
      <c r="I164" s="262" t="s">
        <v>109</v>
      </c>
      <c r="J164" s="386" t="s">
        <v>110</v>
      </c>
      <c r="K164" s="386" t="s">
        <v>111</v>
      </c>
      <c r="L164" s="264"/>
    </row>
    <row r="165" spans="1:18" ht="15.75" customHeight="1">
      <c r="A165" s="2011"/>
      <c r="B165" s="2012"/>
      <c r="C165" s="265">
        <v>2014</v>
      </c>
      <c r="D165" s="187"/>
      <c r="E165" s="187"/>
      <c r="F165" s="187"/>
      <c r="G165" s="187"/>
      <c r="H165" s="187"/>
      <c r="I165" s="188"/>
      <c r="J165" s="266">
        <f>SUM(D165,F165,H165)</f>
        <v>0</v>
      </c>
      <c r="K165" s="267">
        <f>SUM(E165,G165,I165)</f>
        <v>0</v>
      </c>
      <c r="L165" s="264"/>
    </row>
    <row r="166" spans="1:18">
      <c r="A166" s="2013"/>
      <c r="B166" s="2014"/>
      <c r="C166" s="268">
        <v>2015</v>
      </c>
      <c r="D166" s="269"/>
      <c r="E166" s="269"/>
      <c r="F166" s="269"/>
      <c r="G166" s="269"/>
      <c r="H166" s="269"/>
      <c r="I166" s="270"/>
      <c r="J166" s="271">
        <f t="shared" ref="J166:K171" si="17">SUM(D166,F166,H166)</f>
        <v>0</v>
      </c>
      <c r="K166" s="272">
        <f t="shared" si="17"/>
        <v>0</v>
      </c>
      <c r="L166" s="264"/>
    </row>
    <row r="167" spans="1:18">
      <c r="A167" s="2013"/>
      <c r="B167" s="2014"/>
      <c r="C167" s="268">
        <v>2016</v>
      </c>
      <c r="D167" s="269"/>
      <c r="E167" s="269"/>
      <c r="F167" s="269"/>
      <c r="G167" s="269"/>
      <c r="H167" s="269"/>
      <c r="I167" s="270"/>
      <c r="J167" s="271">
        <f t="shared" si="17"/>
        <v>0</v>
      </c>
      <c r="K167" s="272">
        <f t="shared" si="17"/>
        <v>0</v>
      </c>
    </row>
    <row r="168" spans="1:18">
      <c r="A168" s="2013"/>
      <c r="B168" s="2014"/>
      <c r="C168" s="268">
        <v>2017</v>
      </c>
      <c r="D168" s="269"/>
      <c r="E168" s="177"/>
      <c r="F168" s="269"/>
      <c r="G168" s="269"/>
      <c r="H168" s="269"/>
      <c r="I168" s="270"/>
      <c r="J168" s="271">
        <f t="shared" si="17"/>
        <v>0</v>
      </c>
      <c r="K168" s="272">
        <f t="shared" si="17"/>
        <v>0</v>
      </c>
    </row>
    <row r="169" spans="1:18">
      <c r="A169" s="2013"/>
      <c r="B169" s="2014"/>
      <c r="C169" s="273">
        <v>2018</v>
      </c>
      <c r="D169" s="269"/>
      <c r="E169" s="269"/>
      <c r="F169" s="269"/>
      <c r="G169" s="274"/>
      <c r="H169" s="269"/>
      <c r="I169" s="270"/>
      <c r="J169" s="271">
        <f t="shared" si="17"/>
        <v>0</v>
      </c>
      <c r="K169" s="272">
        <f t="shared" si="17"/>
        <v>0</v>
      </c>
      <c r="L169" s="264"/>
    </row>
    <row r="170" spans="1:18">
      <c r="A170" s="2013"/>
      <c r="B170" s="2014"/>
      <c r="C170" s="268">
        <v>2019</v>
      </c>
      <c r="D170" s="177"/>
      <c r="E170" s="269"/>
      <c r="F170" s="269"/>
      <c r="G170" s="269"/>
      <c r="H170" s="274"/>
      <c r="I170" s="270"/>
      <c r="J170" s="271">
        <f t="shared" si="17"/>
        <v>0</v>
      </c>
      <c r="K170" s="272">
        <f t="shared" si="17"/>
        <v>0</v>
      </c>
      <c r="L170" s="264"/>
    </row>
    <row r="171" spans="1:18">
      <c r="A171" s="2013"/>
      <c r="B171" s="2014"/>
      <c r="C171" s="273">
        <v>2020</v>
      </c>
      <c r="D171" s="269"/>
      <c r="E171" s="269"/>
      <c r="F171" s="269"/>
      <c r="G171" s="269"/>
      <c r="H171" s="269"/>
      <c r="I171" s="270"/>
      <c r="J171" s="271">
        <f t="shared" si="17"/>
        <v>0</v>
      </c>
      <c r="K171" s="272">
        <f t="shared" si="17"/>
        <v>0</v>
      </c>
      <c r="L171" s="264"/>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264"/>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115" t="s">
        <v>113</v>
      </c>
      <c r="B176" s="2107" t="s">
        <v>114</v>
      </c>
      <c r="C176" s="2116" t="s">
        <v>8</v>
      </c>
      <c r="D176" s="387" t="s">
        <v>115</v>
      </c>
      <c r="E176" s="388"/>
      <c r="F176" s="388"/>
      <c r="G176" s="389"/>
      <c r="H176" s="390"/>
      <c r="I176" s="2117" t="s">
        <v>116</v>
      </c>
      <c r="J176" s="2118"/>
      <c r="K176" s="2118"/>
      <c r="L176" s="2118"/>
      <c r="M176" s="2118"/>
      <c r="N176" s="2118"/>
      <c r="O176" s="2119"/>
    </row>
    <row r="177" spans="1:15" s="31" customFormat="1" ht="144.75" customHeight="1">
      <c r="A177" s="2018"/>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024" t="s">
        <v>165</v>
      </c>
      <c r="B178" s="2025"/>
      <c r="C178" s="112">
        <v>2014</v>
      </c>
      <c r="D178" s="33"/>
      <c r="E178" s="34"/>
      <c r="F178" s="34"/>
      <c r="G178" s="293">
        <f>SUM(D178:F178)</f>
        <v>0</v>
      </c>
      <c r="H178" s="167"/>
      <c r="I178" s="167"/>
      <c r="J178" s="34"/>
      <c r="K178" s="34"/>
      <c r="L178" s="34"/>
      <c r="M178" s="34"/>
      <c r="N178" s="34"/>
      <c r="O178" s="37"/>
    </row>
    <row r="179" spans="1:15">
      <c r="A179" s="2024"/>
      <c r="B179" s="2025"/>
      <c r="C179" s="116">
        <v>2015</v>
      </c>
      <c r="D179" s="50">
        <v>7</v>
      </c>
      <c r="E179" s="42">
        <v>2</v>
      </c>
      <c r="F179" s="42"/>
      <c r="G179" s="293">
        <v>9</v>
      </c>
      <c r="H179" s="294">
        <v>13</v>
      </c>
      <c r="I179" s="118">
        <v>2</v>
      </c>
      <c r="J179" s="42">
        <v>2</v>
      </c>
      <c r="K179" s="42"/>
      <c r="L179" s="42">
        <v>2</v>
      </c>
      <c r="M179" s="42">
        <v>1</v>
      </c>
      <c r="N179" s="42"/>
      <c r="O179" s="99">
        <v>2</v>
      </c>
    </row>
    <row r="180" spans="1:15">
      <c r="A180" s="2024"/>
      <c r="B180" s="2025"/>
      <c r="C180" s="116">
        <v>2016</v>
      </c>
      <c r="D180" s="50">
        <v>77</v>
      </c>
      <c r="E180" s="42">
        <v>4</v>
      </c>
      <c r="F180" s="42">
        <v>1</v>
      </c>
      <c r="G180" s="293">
        <f>SUM(D180:F180)</f>
        <v>82</v>
      </c>
      <c r="H180" s="294">
        <v>89</v>
      </c>
      <c r="I180" s="118"/>
      <c r="J180" s="42">
        <v>25</v>
      </c>
      <c r="K180" s="42">
        <f>3+4+1+2+1</f>
        <v>11</v>
      </c>
      <c r="L180" s="42">
        <v>33</v>
      </c>
      <c r="M180" s="42">
        <v>6</v>
      </c>
      <c r="N180" s="42"/>
      <c r="O180" s="99">
        <v>7</v>
      </c>
    </row>
    <row r="181" spans="1:15">
      <c r="A181" s="2024"/>
      <c r="B181" s="2025"/>
      <c r="C181" s="116">
        <v>2017</v>
      </c>
      <c r="D181" s="50"/>
      <c r="E181" s="42"/>
      <c r="F181" s="42"/>
      <c r="G181" s="293">
        <f t="shared" ref="G181:G184" si="19">SUM(D181:F181)</f>
        <v>0</v>
      </c>
      <c r="H181" s="294"/>
      <c r="I181" s="118"/>
      <c r="J181" s="42"/>
      <c r="K181" s="42"/>
      <c r="L181" s="42"/>
      <c r="M181" s="42"/>
      <c r="N181" s="42"/>
      <c r="O181" s="99"/>
    </row>
    <row r="182" spans="1:15">
      <c r="A182" s="2024"/>
      <c r="B182" s="2025"/>
      <c r="C182" s="116">
        <v>2018</v>
      </c>
      <c r="D182" s="50"/>
      <c r="E182" s="42"/>
      <c r="F182" s="42"/>
      <c r="G182" s="293">
        <f t="shared" si="19"/>
        <v>0</v>
      </c>
      <c r="H182" s="294"/>
      <c r="I182" s="118"/>
      <c r="J182" s="42"/>
      <c r="K182" s="42"/>
      <c r="L182" s="42"/>
      <c r="M182" s="42"/>
      <c r="N182" s="42"/>
      <c r="O182" s="99"/>
    </row>
    <row r="183" spans="1:15">
      <c r="A183" s="2024"/>
      <c r="B183" s="2025"/>
      <c r="C183" s="116">
        <v>2019</v>
      </c>
      <c r="D183" s="50"/>
      <c r="E183" s="42"/>
      <c r="F183" s="42"/>
      <c r="G183" s="293">
        <f t="shared" si="19"/>
        <v>0</v>
      </c>
      <c r="H183" s="294"/>
      <c r="I183" s="118"/>
      <c r="J183" s="42"/>
      <c r="K183" s="42"/>
      <c r="L183" s="42"/>
      <c r="M183" s="42"/>
      <c r="N183" s="42"/>
      <c r="O183" s="99"/>
    </row>
    <row r="184" spans="1:15">
      <c r="A184" s="2024"/>
      <c r="B184" s="2025"/>
      <c r="C184" s="116">
        <v>2020</v>
      </c>
      <c r="D184" s="50"/>
      <c r="E184" s="42"/>
      <c r="F184" s="42"/>
      <c r="G184" s="293">
        <f t="shared" si="19"/>
        <v>0</v>
      </c>
      <c r="H184" s="294"/>
      <c r="I184" s="118"/>
      <c r="J184" s="42"/>
      <c r="K184" s="42"/>
      <c r="L184" s="42"/>
      <c r="M184" s="42"/>
      <c r="N184" s="42"/>
      <c r="O184" s="99"/>
    </row>
    <row r="185" spans="1:15" ht="45" customHeight="1" thickBot="1">
      <c r="A185" s="2026"/>
      <c r="B185" s="2027"/>
      <c r="C185" s="122" t="s">
        <v>12</v>
      </c>
      <c r="D185" s="151">
        <f>SUM(D178:D184)</f>
        <v>84</v>
      </c>
      <c r="E185" s="125">
        <f>SUM(E178:E184)</f>
        <v>6</v>
      </c>
      <c r="F185" s="125">
        <f>SUM(F178:F184)</f>
        <v>1</v>
      </c>
      <c r="G185" s="234">
        <f t="shared" ref="G185:O185" si="20">SUM(G178:G184)</f>
        <v>91</v>
      </c>
      <c r="H185" s="295">
        <f t="shared" si="20"/>
        <v>102</v>
      </c>
      <c r="I185" s="124">
        <f t="shared" si="20"/>
        <v>2</v>
      </c>
      <c r="J185" s="125">
        <f t="shared" si="20"/>
        <v>27</v>
      </c>
      <c r="K185" s="125">
        <f t="shared" si="20"/>
        <v>11</v>
      </c>
      <c r="L185" s="125">
        <f t="shared" si="20"/>
        <v>35</v>
      </c>
      <c r="M185" s="125">
        <f t="shared" si="20"/>
        <v>7</v>
      </c>
      <c r="N185" s="125">
        <f t="shared" si="20"/>
        <v>0</v>
      </c>
      <c r="O185" s="126">
        <f t="shared" si="20"/>
        <v>9</v>
      </c>
    </row>
    <row r="186" spans="1:15" ht="33" customHeight="1" thickBot="1">
      <c r="A186" t="s">
        <v>166</v>
      </c>
    </row>
    <row r="187" spans="1:15" ht="19.5" customHeight="1">
      <c r="A187" s="2106" t="s">
        <v>122</v>
      </c>
      <c r="B187" s="2107" t="s">
        <v>114</v>
      </c>
      <c r="C187" s="1998" t="s">
        <v>8</v>
      </c>
      <c r="D187" s="2000" t="s">
        <v>123</v>
      </c>
      <c r="E187" s="2108"/>
      <c r="F187" s="2108"/>
      <c r="G187" s="2109"/>
      <c r="H187" s="2110" t="s">
        <v>124</v>
      </c>
      <c r="I187" s="1998"/>
      <c r="J187" s="1998"/>
      <c r="K187" s="1998"/>
      <c r="L187" s="2004"/>
    </row>
    <row r="188" spans="1:15" ht="102" customHeight="1">
      <c r="A188" s="1995"/>
      <c r="B188" s="1997"/>
      <c r="C188" s="1999"/>
      <c r="D188" s="296" t="s">
        <v>125</v>
      </c>
      <c r="E188" s="296" t="s">
        <v>126</v>
      </c>
      <c r="F188" s="296" t="s">
        <v>127</v>
      </c>
      <c r="G188" s="297" t="s">
        <v>12</v>
      </c>
      <c r="H188" s="298" t="s">
        <v>128</v>
      </c>
      <c r="I188" s="296" t="s">
        <v>129</v>
      </c>
      <c r="J188" s="296" t="s">
        <v>130</v>
      </c>
      <c r="K188" s="296" t="s">
        <v>131</v>
      </c>
      <c r="L188" s="299" t="s">
        <v>132</v>
      </c>
      <c r="M188" s="391"/>
    </row>
    <row r="189" spans="1:15" ht="15" customHeight="1">
      <c r="A189" s="2111" t="s">
        <v>167</v>
      </c>
      <c r="B189" s="2112"/>
      <c r="C189" s="392">
        <v>2014</v>
      </c>
      <c r="D189" s="142"/>
      <c r="E189" s="115"/>
      <c r="F189" s="115"/>
      <c r="G189" s="301">
        <f>SUM(D189:F189)</f>
        <v>0</v>
      </c>
      <c r="H189" s="114"/>
      <c r="I189" s="115"/>
      <c r="J189" s="115"/>
      <c r="K189" s="115"/>
      <c r="L189" s="143"/>
    </row>
    <row r="190" spans="1:15">
      <c r="A190" s="2113"/>
      <c r="B190" s="1988"/>
      <c r="C190" s="86">
        <v>2015</v>
      </c>
      <c r="D190" s="50">
        <v>565</v>
      </c>
      <c r="E190" s="42">
        <v>37</v>
      </c>
      <c r="F190" s="42"/>
      <c r="G190" s="301">
        <f>SUM(D190:F190)</f>
        <v>602</v>
      </c>
      <c r="H190" s="118">
        <v>5</v>
      </c>
      <c r="I190" s="42">
        <v>50</v>
      </c>
      <c r="J190" s="42"/>
      <c r="K190" s="42">
        <f>G190-H190-I190-L190</f>
        <v>331</v>
      </c>
      <c r="L190" s="99">
        <v>216</v>
      </c>
    </row>
    <row r="191" spans="1:15">
      <c r="A191" s="2113"/>
      <c r="B191" s="1988"/>
      <c r="C191" s="86">
        <v>2016</v>
      </c>
      <c r="D191" s="354">
        <v>3775</v>
      </c>
      <c r="E191" s="347">
        <v>111</v>
      </c>
      <c r="F191" s="347">
        <v>100</v>
      </c>
      <c r="G191" s="393">
        <f t="shared" ref="G191:G195" si="21">SUM(D191:F191)</f>
        <v>3986</v>
      </c>
      <c r="H191" s="118"/>
      <c r="I191" s="42">
        <v>218</v>
      </c>
      <c r="J191" s="42">
        <v>24</v>
      </c>
      <c r="K191" s="42">
        <v>2529</v>
      </c>
      <c r="L191" s="358">
        <v>1215</v>
      </c>
    </row>
    <row r="192" spans="1:15">
      <c r="A192" s="2113"/>
      <c r="B192" s="1988"/>
      <c r="C192" s="86">
        <v>2017</v>
      </c>
      <c r="D192" s="354"/>
      <c r="E192" s="347"/>
      <c r="F192" s="347"/>
      <c r="G192" s="393">
        <f t="shared" si="21"/>
        <v>0</v>
      </c>
      <c r="H192" s="118"/>
      <c r="I192" s="42"/>
      <c r="J192" s="42"/>
      <c r="K192" s="42"/>
      <c r="L192" s="99"/>
    </row>
    <row r="193" spans="1:14">
      <c r="A193" s="2113"/>
      <c r="B193" s="1988"/>
      <c r="C193" s="86">
        <v>2018</v>
      </c>
      <c r="D193" s="354"/>
      <c r="E193" s="347"/>
      <c r="F193" s="347"/>
      <c r="G193" s="393">
        <f t="shared" si="21"/>
        <v>0</v>
      </c>
      <c r="H193" s="118"/>
      <c r="I193" s="42"/>
      <c r="J193" s="42"/>
      <c r="K193" s="42"/>
      <c r="L193" s="99"/>
    </row>
    <row r="194" spans="1:14">
      <c r="A194" s="2113"/>
      <c r="B194" s="1988"/>
      <c r="C194" s="86">
        <v>2019</v>
      </c>
      <c r="D194" s="354"/>
      <c r="E194" s="347"/>
      <c r="F194" s="347"/>
      <c r="G194" s="393">
        <f t="shared" si="21"/>
        <v>0</v>
      </c>
      <c r="H194" s="118"/>
      <c r="I194" s="42"/>
      <c r="J194" s="42"/>
      <c r="K194" s="42"/>
      <c r="L194" s="99"/>
    </row>
    <row r="195" spans="1:14">
      <c r="A195" s="2113"/>
      <c r="B195" s="1988"/>
      <c r="C195" s="86">
        <v>2020</v>
      </c>
      <c r="D195" s="354"/>
      <c r="E195" s="347"/>
      <c r="F195" s="347"/>
      <c r="G195" s="393">
        <f t="shared" si="21"/>
        <v>0</v>
      </c>
      <c r="H195" s="118"/>
      <c r="I195" s="42"/>
      <c r="J195" s="42"/>
      <c r="K195" s="42"/>
      <c r="L195" s="99"/>
    </row>
    <row r="196" spans="1:14" ht="15.75" thickBot="1">
      <c r="A196" s="2114"/>
      <c r="B196" s="1990"/>
      <c r="C196" s="148" t="s">
        <v>12</v>
      </c>
      <c r="D196" s="394">
        <f t="shared" ref="D196:L196" si="22">SUM(D189:D195)</f>
        <v>4340</v>
      </c>
      <c r="E196" s="395">
        <f t="shared" si="22"/>
        <v>148</v>
      </c>
      <c r="F196" s="395">
        <f t="shared" si="22"/>
        <v>100</v>
      </c>
      <c r="G196" s="396">
        <f t="shared" si="22"/>
        <v>4588</v>
      </c>
      <c r="H196" s="124">
        <f t="shared" si="22"/>
        <v>5</v>
      </c>
      <c r="I196" s="125">
        <f t="shared" si="22"/>
        <v>268</v>
      </c>
      <c r="J196" s="125">
        <f t="shared" si="22"/>
        <v>24</v>
      </c>
      <c r="K196" s="125">
        <f t="shared" si="22"/>
        <v>2860</v>
      </c>
      <c r="L196" s="126">
        <f t="shared" si="22"/>
        <v>1431</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397" t="s">
        <v>135</v>
      </c>
      <c r="B201" s="309" t="s">
        <v>114</v>
      </c>
      <c r="C201" s="310" t="s">
        <v>8</v>
      </c>
      <c r="D201" s="398" t="s">
        <v>136</v>
      </c>
      <c r="E201" s="312" t="s">
        <v>137</v>
      </c>
      <c r="F201" s="312" t="s">
        <v>138</v>
      </c>
      <c r="G201" s="310" t="s">
        <v>139</v>
      </c>
      <c r="H201" s="399" t="s">
        <v>140</v>
      </c>
      <c r="I201" s="400" t="s">
        <v>141</v>
      </c>
      <c r="J201" s="401" t="s">
        <v>142</v>
      </c>
      <c r="K201" s="312" t="s">
        <v>143</v>
      </c>
      <c r="L201" s="316" t="s">
        <v>144</v>
      </c>
    </row>
    <row r="202" spans="1:14" ht="15" customHeight="1">
      <c r="A202" s="1987"/>
      <c r="B202" s="1988"/>
      <c r="C202" s="84">
        <v>2014</v>
      </c>
      <c r="D202" s="33"/>
      <c r="E202" s="34"/>
      <c r="F202" s="34"/>
      <c r="G202" s="32"/>
      <c r="H202" s="317"/>
      <c r="I202" s="318"/>
      <c r="J202" s="319"/>
      <c r="K202" s="34"/>
      <c r="L202" s="37"/>
    </row>
    <row r="203" spans="1:14">
      <c r="A203" s="1987"/>
      <c r="B203" s="1988"/>
      <c r="C203" s="86">
        <v>2015</v>
      </c>
      <c r="D203" s="50"/>
      <c r="E203" s="42"/>
      <c r="F203" s="42"/>
      <c r="G203" s="39"/>
      <c r="H203" s="320"/>
      <c r="I203" s="321"/>
      <c r="J203" s="322"/>
      <c r="K203" s="42"/>
      <c r="L203" s="99"/>
    </row>
    <row r="204" spans="1:14">
      <c r="A204" s="1987"/>
      <c r="B204" s="1988"/>
      <c r="C204" s="86">
        <v>2016</v>
      </c>
      <c r="D204" s="50"/>
      <c r="E204" s="42"/>
      <c r="F204" s="42"/>
      <c r="G204" s="39"/>
      <c r="H204" s="320"/>
      <c r="I204" s="321"/>
      <c r="J204" s="322">
        <v>1</v>
      </c>
      <c r="K204" s="42">
        <v>40</v>
      </c>
      <c r="L204" s="99"/>
    </row>
    <row r="205" spans="1:14">
      <c r="A205" s="1987"/>
      <c r="B205" s="1988"/>
      <c r="C205" s="86">
        <v>2017</v>
      </c>
      <c r="D205" s="50"/>
      <c r="E205" s="42"/>
      <c r="F205" s="42"/>
      <c r="G205" s="39"/>
      <c r="H205" s="320"/>
      <c r="I205" s="321"/>
      <c r="J205" s="322"/>
      <c r="K205" s="42"/>
      <c r="L205" s="99"/>
    </row>
    <row r="206" spans="1:14">
      <c r="A206" s="1987"/>
      <c r="B206" s="1988"/>
      <c r="C206" s="86">
        <v>2018</v>
      </c>
      <c r="D206" s="50"/>
      <c r="E206" s="42"/>
      <c r="F206" s="42"/>
      <c r="G206" s="39"/>
      <c r="H206" s="320"/>
      <c r="I206" s="321"/>
      <c r="J206" s="322"/>
      <c r="K206" s="42"/>
      <c r="L206" s="99"/>
    </row>
    <row r="207" spans="1:14">
      <c r="A207" s="1987"/>
      <c r="B207" s="1988"/>
      <c r="C207" s="86">
        <v>2019</v>
      </c>
      <c r="D207" s="50"/>
      <c r="E207" s="42"/>
      <c r="F207" s="42"/>
      <c r="G207" s="39"/>
      <c r="H207" s="320"/>
      <c r="I207" s="321"/>
      <c r="J207" s="322"/>
      <c r="K207" s="42"/>
      <c r="L207" s="99"/>
    </row>
    <row r="208" spans="1:14">
      <c r="A208" s="1987"/>
      <c r="B208" s="1988"/>
      <c r="C208" s="86">
        <v>2020</v>
      </c>
      <c r="D208" s="323"/>
      <c r="E208" s="324"/>
      <c r="F208" s="324"/>
      <c r="G208" s="325"/>
      <c r="H208" s="326"/>
      <c r="I208" s="327"/>
      <c r="J208" s="328"/>
      <c r="K208" s="324"/>
      <c r="L208" s="329"/>
    </row>
    <row r="209" spans="1:12" ht="20.25" customHeight="1" thickBot="1">
      <c r="A209" s="1989"/>
      <c r="B209" s="1990"/>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1</v>
      </c>
      <c r="K209" s="151">
        <f t="shared" si="23"/>
        <v>40</v>
      </c>
      <c r="L209" s="151">
        <f t="shared" si="23"/>
        <v>0</v>
      </c>
    </row>
    <row r="211" spans="1:12" ht="15.75" thickBot="1"/>
    <row r="212" spans="1:12" ht="29.25">
      <c r="A212" s="402" t="s">
        <v>145</v>
      </c>
      <c r="B212" s="331" t="s">
        <v>146</v>
      </c>
      <c r="C212" s="332">
        <v>2014</v>
      </c>
      <c r="D212" s="333">
        <v>2015</v>
      </c>
      <c r="E212" s="333">
        <v>2016</v>
      </c>
      <c r="F212" s="333">
        <v>2017</v>
      </c>
      <c r="G212" s="333">
        <v>2018</v>
      </c>
      <c r="H212" s="333">
        <v>2019</v>
      </c>
      <c r="I212" s="334">
        <v>2020</v>
      </c>
    </row>
    <row r="213" spans="1:12" ht="15" customHeight="1">
      <c r="A213" t="s">
        <v>147</v>
      </c>
      <c r="B213" s="2103" t="s">
        <v>168</v>
      </c>
      <c r="C213" s="84"/>
      <c r="D213" s="403">
        <v>494568.26</v>
      </c>
      <c r="E213" s="403">
        <v>1345013.46</v>
      </c>
      <c r="F213" s="404"/>
      <c r="G213" s="147"/>
      <c r="H213" s="147"/>
      <c r="I213" s="335"/>
    </row>
    <row r="214" spans="1:12">
      <c r="A214" t="s">
        <v>149</v>
      </c>
      <c r="B214" s="2104"/>
      <c r="C214" s="84"/>
      <c r="D214" s="403">
        <v>326526.20999999996</v>
      </c>
      <c r="E214" s="403">
        <v>721349.03999999992</v>
      </c>
      <c r="F214" s="404"/>
      <c r="G214" s="147"/>
      <c r="H214" s="147"/>
      <c r="I214" s="335"/>
    </row>
    <row r="215" spans="1:12">
      <c r="A215" t="s">
        <v>150</v>
      </c>
      <c r="B215" s="2104"/>
      <c r="C215" s="84"/>
      <c r="D215" s="403">
        <v>0</v>
      </c>
      <c r="E215" s="403">
        <v>36918.61</v>
      </c>
      <c r="F215" s="404"/>
      <c r="G215" s="147"/>
      <c r="H215" s="147"/>
      <c r="I215" s="335"/>
    </row>
    <row r="216" spans="1:12">
      <c r="A216" t="s">
        <v>151</v>
      </c>
      <c r="B216" s="2104"/>
      <c r="C216" s="84"/>
      <c r="D216" s="403">
        <v>36927.699999999997</v>
      </c>
      <c r="E216" s="403">
        <v>176816.4</v>
      </c>
      <c r="F216" s="404"/>
      <c r="G216" s="147"/>
      <c r="H216" s="147"/>
      <c r="I216" s="335"/>
    </row>
    <row r="217" spans="1:12">
      <c r="A217" t="s">
        <v>152</v>
      </c>
      <c r="B217" s="2104"/>
      <c r="C217" s="84"/>
      <c r="D217" s="403">
        <v>131114.35</v>
      </c>
      <c r="E217" s="403">
        <v>409929.41000000003</v>
      </c>
      <c r="F217" s="404"/>
      <c r="G217" s="147"/>
      <c r="H217" s="147"/>
      <c r="I217" s="335"/>
    </row>
    <row r="218" spans="1:12" ht="30">
      <c r="A218" s="31" t="s">
        <v>153</v>
      </c>
      <c r="B218" s="2104"/>
      <c r="C218" s="84"/>
      <c r="D218" s="403">
        <v>123775.81</v>
      </c>
      <c r="E218" s="403">
        <v>289750.45</v>
      </c>
      <c r="F218" s="404"/>
      <c r="G218" s="147"/>
      <c r="H218" s="147"/>
      <c r="I218" s="335"/>
    </row>
    <row r="219" spans="1:12" ht="15.75" thickBot="1">
      <c r="A219" s="336"/>
      <c r="B219" s="2105"/>
      <c r="C219" s="54" t="s">
        <v>12</v>
      </c>
      <c r="D219" s="405">
        <v>618344.07000000007</v>
      </c>
      <c r="E219" s="405">
        <v>1634763.91</v>
      </c>
      <c r="F219" s="406"/>
      <c r="G219" s="337">
        <f t="shared" ref="G219:I219" si="24">SUM(G214:G218)</f>
        <v>0</v>
      </c>
      <c r="H219" s="337">
        <f t="shared" si="24"/>
        <v>0</v>
      </c>
      <c r="I219" s="337">
        <f t="shared" si="24"/>
        <v>0</v>
      </c>
    </row>
    <row r="221" spans="1:12">
      <c r="D221" s="407"/>
      <c r="E221" s="408"/>
    </row>
    <row r="222" spans="1:12">
      <c r="D222" s="408"/>
      <c r="E222" s="408"/>
    </row>
    <row r="223" spans="1:12">
      <c r="D223" s="408"/>
      <c r="E223" s="408"/>
    </row>
    <row r="224" spans="1:12">
      <c r="D224" s="408"/>
      <c r="E224" s="408"/>
    </row>
    <row r="225" spans="1:5">
      <c r="D225" s="408"/>
      <c r="E225" s="408"/>
    </row>
    <row r="227" spans="1:5">
      <c r="A227"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dimension ref="A1:Y228"/>
  <sheetViews>
    <sheetView topLeftCell="A205" workbookViewId="0">
      <selection activeCell="E221" sqref="E221"/>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409</v>
      </c>
      <c r="C1" s="2077"/>
      <c r="D1" s="2077"/>
      <c r="E1" s="2077"/>
      <c r="F1" s="2077"/>
    </row>
    <row r="2" spans="1:25" s="2" customFormat="1" ht="20.100000000000001" customHeight="1" thickBot="1"/>
    <row r="3" spans="1:25" s="5" customFormat="1" ht="20.100000000000001" customHeight="1">
      <c r="A3" s="1402" t="s">
        <v>1</v>
      </c>
      <c r="B3" s="1436"/>
      <c r="C3" s="1436"/>
      <c r="D3" s="1436"/>
      <c r="E3" s="1436"/>
      <c r="F3" s="2590"/>
      <c r="G3" s="2590"/>
      <c r="H3" s="2590"/>
      <c r="I3" s="2590"/>
      <c r="J3" s="2590"/>
      <c r="K3" s="2590"/>
      <c r="L3" s="2590"/>
      <c r="M3" s="2590"/>
      <c r="N3" s="2590"/>
      <c r="O3" s="2591"/>
    </row>
    <row r="4" spans="1:25" s="5" customFormat="1" ht="20.100000000000001" customHeight="1">
      <c r="A4" s="2566" t="s">
        <v>2</v>
      </c>
      <c r="B4" s="2081"/>
      <c r="C4" s="2081"/>
      <c r="D4" s="2081"/>
      <c r="E4" s="2081"/>
      <c r="F4" s="2081"/>
      <c r="G4" s="2081"/>
      <c r="H4" s="2081"/>
      <c r="I4" s="2081"/>
      <c r="J4" s="2081"/>
      <c r="K4" s="2081"/>
      <c r="L4" s="2081"/>
      <c r="M4" s="2081"/>
      <c r="N4" s="2081"/>
      <c r="O4" s="2082"/>
    </row>
    <row r="5" spans="1:25" s="5" customFormat="1" ht="20.100000000000001" customHeight="1">
      <c r="A5" s="2566"/>
      <c r="B5" s="2081"/>
      <c r="C5" s="2081"/>
      <c r="D5" s="2081"/>
      <c r="E5" s="2081"/>
      <c r="F5" s="2081"/>
      <c r="G5" s="2081"/>
      <c r="H5" s="2081"/>
      <c r="I5" s="2081"/>
      <c r="J5" s="2081"/>
      <c r="K5" s="2081"/>
      <c r="L5" s="2081"/>
      <c r="M5" s="2081"/>
      <c r="N5" s="2081"/>
      <c r="O5" s="2082"/>
    </row>
    <row r="6" spans="1:25" s="5" customFormat="1" ht="20.100000000000001" customHeight="1">
      <c r="A6" s="2566"/>
      <c r="B6" s="2081"/>
      <c r="C6" s="2081"/>
      <c r="D6" s="2081"/>
      <c r="E6" s="2081"/>
      <c r="F6" s="2081"/>
      <c r="G6" s="2081"/>
      <c r="H6" s="2081"/>
      <c r="I6" s="2081"/>
      <c r="J6" s="2081"/>
      <c r="K6" s="2081"/>
      <c r="L6" s="2081"/>
      <c r="M6" s="2081"/>
      <c r="N6" s="2081"/>
      <c r="O6" s="2082"/>
    </row>
    <row r="7" spans="1:25" s="5" customFormat="1" ht="20.100000000000001" customHeight="1">
      <c r="A7" s="2566"/>
      <c r="B7" s="2081"/>
      <c r="C7" s="2081"/>
      <c r="D7" s="2081"/>
      <c r="E7" s="2081"/>
      <c r="F7" s="2081"/>
      <c r="G7" s="2081"/>
      <c r="H7" s="2081"/>
      <c r="I7" s="2081"/>
      <c r="J7" s="2081"/>
      <c r="K7" s="2081"/>
      <c r="L7" s="2081"/>
      <c r="M7" s="2081"/>
      <c r="N7" s="2081"/>
      <c r="O7" s="2082"/>
    </row>
    <row r="8" spans="1:25" s="5" customFormat="1" ht="20.100000000000001" customHeight="1">
      <c r="A8" s="2566"/>
      <c r="B8" s="2081"/>
      <c r="C8" s="2081"/>
      <c r="D8" s="2081"/>
      <c r="E8" s="2081"/>
      <c r="F8" s="2081"/>
      <c r="G8" s="2081"/>
      <c r="H8" s="2081"/>
      <c r="I8" s="2081"/>
      <c r="J8" s="2081"/>
      <c r="K8" s="2081"/>
      <c r="L8" s="2081"/>
      <c r="M8" s="2081"/>
      <c r="N8" s="2081"/>
      <c r="O8" s="2082"/>
    </row>
    <row r="9" spans="1:25" s="5" customFormat="1" ht="20.100000000000001" customHeight="1">
      <c r="A9" s="2566"/>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19.5"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570"/>
      <c r="B15" s="571"/>
      <c r="C15" s="11"/>
      <c r="D15" s="2086" t="s">
        <v>4</v>
      </c>
      <c r="E15" s="2239"/>
      <c r="F15" s="2239"/>
      <c r="G15" s="2239"/>
      <c r="H15" s="12"/>
      <c r="I15" s="13" t="s">
        <v>5</v>
      </c>
      <c r="J15" s="14"/>
      <c r="K15" s="14"/>
      <c r="L15" s="14"/>
      <c r="M15" s="14"/>
      <c r="N15" s="14"/>
      <c r="O15" s="15"/>
      <c r="P15" s="16"/>
      <c r="Q15" s="17"/>
      <c r="R15" s="18"/>
      <c r="S15" s="18"/>
      <c r="T15" s="18"/>
      <c r="U15" s="18"/>
      <c r="V15" s="18"/>
      <c r="W15" s="16"/>
      <c r="X15" s="16"/>
      <c r="Y15" s="17"/>
    </row>
    <row r="16" spans="1:25" s="31" customFormat="1" ht="129" customHeight="1">
      <c r="A16" s="1475"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563" t="s">
        <v>410</v>
      </c>
      <c r="B17" s="19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558"/>
      <c r="B18" s="1988"/>
      <c r="C18" s="39">
        <v>2015</v>
      </c>
      <c r="D18" s="50"/>
      <c r="E18" s="42">
        <v>1</v>
      </c>
      <c r="F18" s="42"/>
      <c r="G18" s="35">
        <f>SUM(D18:F18)</f>
        <v>1</v>
      </c>
      <c r="H18" s="51">
        <v>1</v>
      </c>
      <c r="I18" s="42"/>
      <c r="J18" s="42"/>
      <c r="K18" s="42"/>
      <c r="L18" s="42"/>
      <c r="M18" s="42"/>
      <c r="N18" s="42"/>
      <c r="O18" s="52"/>
      <c r="P18" s="38"/>
      <c r="Q18" s="38"/>
      <c r="R18" s="38"/>
      <c r="S18" s="38"/>
      <c r="T18" s="38"/>
      <c r="U18" s="38"/>
      <c r="V18" s="38"/>
      <c r="W18" s="38"/>
      <c r="X18" s="38"/>
      <c r="Y18" s="38"/>
    </row>
    <row r="19" spans="1:25">
      <c r="A19" s="2558"/>
      <c r="B19" s="1988"/>
      <c r="C19" s="39">
        <v>2016</v>
      </c>
      <c r="D19" s="50"/>
      <c r="E19" s="42">
        <v>8</v>
      </c>
      <c r="F19" s="42">
        <v>3</v>
      </c>
      <c r="G19" s="35">
        <f t="shared" si="0"/>
        <v>11</v>
      </c>
      <c r="H19" s="51">
        <v>11</v>
      </c>
      <c r="I19" s="42"/>
      <c r="J19" s="42"/>
      <c r="K19" s="42"/>
      <c r="L19" s="42"/>
      <c r="M19" s="42"/>
      <c r="N19" s="42"/>
      <c r="O19" s="52"/>
      <c r="P19" s="38"/>
      <c r="Q19" s="38"/>
      <c r="R19" s="38"/>
      <c r="S19" s="38"/>
      <c r="T19" s="38"/>
      <c r="U19" s="38"/>
      <c r="V19" s="38"/>
      <c r="W19" s="38"/>
      <c r="X19" s="38"/>
      <c r="Y19" s="38"/>
    </row>
    <row r="20" spans="1:25">
      <c r="A20" s="2558"/>
      <c r="B20" s="1988"/>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2558"/>
      <c r="B21" s="1988"/>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2558"/>
      <c r="B22" s="1988"/>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2558"/>
      <c r="B23" s="1988"/>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104.25" customHeight="1" thickBot="1">
      <c r="A24" s="1989"/>
      <c r="B24" s="1990"/>
      <c r="C24" s="54" t="s">
        <v>12</v>
      </c>
      <c r="D24" s="55">
        <f>SUM(D17:D23)</f>
        <v>0</v>
      </c>
      <c r="E24" s="56">
        <f>SUM(E17:E23)</f>
        <v>9</v>
      </c>
      <c r="F24" s="56">
        <f>SUM(F17:F23)</f>
        <v>3</v>
      </c>
      <c r="G24" s="57">
        <f>SUM(D24:F24)</f>
        <v>12</v>
      </c>
      <c r="H24" s="58">
        <f>SUM(H17:H23)</f>
        <v>12</v>
      </c>
      <c r="I24" s="59">
        <f>SUM(I17:I23)</f>
        <v>0</v>
      </c>
      <c r="J24" s="59">
        <f t="shared" ref="J24:N24" si="1">SUM(J17:J23)</f>
        <v>0</v>
      </c>
      <c r="K24" s="59">
        <f t="shared" si="1"/>
        <v>0</v>
      </c>
      <c r="L24" s="59">
        <f t="shared" si="1"/>
        <v>0</v>
      </c>
      <c r="M24" s="59">
        <f t="shared" si="1"/>
        <v>0</v>
      </c>
      <c r="N24" s="59">
        <f t="shared" si="1"/>
        <v>0</v>
      </c>
      <c r="O24" s="60">
        <f>SUM(O17:O23)</f>
        <v>0</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570"/>
      <c r="B26" s="571"/>
      <c r="C26" s="63"/>
      <c r="D26" s="2092" t="s">
        <v>4</v>
      </c>
      <c r="E26" s="2245"/>
      <c r="F26" s="2245"/>
      <c r="G26" s="2246"/>
      <c r="H26" s="16"/>
      <c r="I26" s="17"/>
      <c r="J26" s="18"/>
      <c r="K26" s="18"/>
      <c r="L26" s="18"/>
      <c r="M26" s="18"/>
      <c r="N26" s="18"/>
      <c r="O26" s="16"/>
      <c r="P26" s="16"/>
    </row>
    <row r="27" spans="1:25" s="31" customFormat="1" ht="93" customHeight="1">
      <c r="A27" s="1377"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563" t="s">
        <v>411</v>
      </c>
      <c r="B28" s="1988"/>
      <c r="C28" s="68">
        <v>2014</v>
      </c>
      <c r="D28" s="36"/>
      <c r="E28" s="34"/>
      <c r="F28" s="34"/>
      <c r="G28" s="69">
        <f>SUM(D28:F28)</f>
        <v>0</v>
      </c>
      <c r="H28" s="38"/>
      <c r="I28" s="38"/>
      <c r="J28" s="38"/>
      <c r="K28" s="38"/>
      <c r="L28" s="38"/>
      <c r="M28" s="38"/>
      <c r="N28" s="38"/>
      <c r="O28" s="38"/>
      <c r="P28" s="38"/>
      <c r="Q28" s="8"/>
    </row>
    <row r="29" spans="1:25">
      <c r="A29" s="2558"/>
      <c r="B29" s="1988"/>
      <c r="C29" s="70">
        <v>2015</v>
      </c>
      <c r="D29" s="51"/>
      <c r="E29" s="42">
        <v>79</v>
      </c>
      <c r="F29" s="42"/>
      <c r="G29" s="69">
        <f t="shared" ref="G29:G35" si="2">SUM(D29:F29)</f>
        <v>79</v>
      </c>
      <c r="H29" s="38"/>
      <c r="I29" s="38"/>
      <c r="J29" s="38"/>
      <c r="K29" s="38"/>
      <c r="L29" s="38"/>
      <c r="M29" s="38"/>
      <c r="N29" s="38"/>
      <c r="O29" s="38"/>
      <c r="P29" s="38"/>
      <c r="Q29" s="8"/>
    </row>
    <row r="30" spans="1:25">
      <c r="A30" s="2558"/>
      <c r="B30" s="1988"/>
      <c r="C30" s="70">
        <v>2016</v>
      </c>
      <c r="D30" s="51"/>
      <c r="E30" s="42">
        <v>1219</v>
      </c>
      <c r="F30" s="42">
        <v>71330</v>
      </c>
      <c r="G30" s="69">
        <f t="shared" si="2"/>
        <v>72549</v>
      </c>
      <c r="H30" s="38"/>
      <c r="I30" s="38"/>
      <c r="J30" s="38"/>
      <c r="K30" s="38"/>
      <c r="L30" s="38"/>
      <c r="M30" s="38"/>
      <c r="N30" s="38"/>
      <c r="O30" s="38"/>
      <c r="P30" s="38"/>
      <c r="Q30" s="8"/>
    </row>
    <row r="31" spans="1:25">
      <c r="A31" s="2558"/>
      <c r="B31" s="1988"/>
      <c r="C31" s="70">
        <v>2017</v>
      </c>
      <c r="D31" s="51"/>
      <c r="E31" s="42"/>
      <c r="F31" s="42"/>
      <c r="G31" s="69">
        <f t="shared" si="2"/>
        <v>0</v>
      </c>
      <c r="H31" s="38"/>
      <c r="I31" s="38"/>
      <c r="J31" s="38"/>
      <c r="K31" s="38"/>
      <c r="L31" s="38"/>
      <c r="M31" s="38"/>
      <c r="N31" s="38"/>
      <c r="O31" s="38"/>
      <c r="P31" s="38"/>
      <c r="Q31" s="8"/>
    </row>
    <row r="32" spans="1:25">
      <c r="A32" s="2558"/>
      <c r="B32" s="1988"/>
      <c r="C32" s="70">
        <v>2018</v>
      </c>
      <c r="D32" s="51"/>
      <c r="E32" s="42"/>
      <c r="F32" s="42"/>
      <c r="G32" s="69">
        <f>SUM(D32:F32)</f>
        <v>0</v>
      </c>
      <c r="H32" s="38"/>
      <c r="I32" s="38"/>
      <c r="J32" s="38"/>
      <c r="K32" s="38"/>
      <c r="L32" s="38"/>
      <c r="M32" s="38"/>
      <c r="N32" s="38"/>
      <c r="O32" s="38"/>
      <c r="P32" s="38"/>
      <c r="Q32" s="8"/>
    </row>
    <row r="33" spans="1:17">
      <c r="A33" s="2558"/>
      <c r="B33" s="1988"/>
      <c r="C33" s="72">
        <v>2019</v>
      </c>
      <c r="D33" s="51"/>
      <c r="E33" s="42"/>
      <c r="F33" s="42"/>
      <c r="G33" s="69">
        <f t="shared" si="2"/>
        <v>0</v>
      </c>
      <c r="H33" s="38"/>
      <c r="I33" s="38"/>
      <c r="J33" s="38"/>
      <c r="K33" s="38"/>
      <c r="L33" s="38"/>
      <c r="M33" s="38"/>
      <c r="N33" s="38"/>
      <c r="O33" s="38"/>
      <c r="P33" s="38"/>
      <c r="Q33" s="8"/>
    </row>
    <row r="34" spans="1:17">
      <c r="A34" s="2558"/>
      <c r="B34" s="1988"/>
      <c r="C34" s="70">
        <v>2020</v>
      </c>
      <c r="D34" s="51"/>
      <c r="E34" s="42"/>
      <c r="F34" s="42"/>
      <c r="G34" s="69">
        <f t="shared" si="2"/>
        <v>0</v>
      </c>
      <c r="H34" s="38"/>
      <c r="I34" s="38"/>
      <c r="J34" s="38"/>
      <c r="K34" s="38"/>
      <c r="L34" s="38"/>
      <c r="M34" s="38"/>
      <c r="N34" s="38"/>
      <c r="O34" s="38"/>
      <c r="P34" s="38"/>
      <c r="Q34" s="8"/>
    </row>
    <row r="35" spans="1:17" ht="149.25" customHeight="1" thickBot="1">
      <c r="A35" s="1989"/>
      <c r="B35" s="1990"/>
      <c r="C35" s="73" t="s">
        <v>12</v>
      </c>
      <c r="D35" s="58">
        <f>SUM(D28:D34)</f>
        <v>0</v>
      </c>
      <c r="E35" s="56">
        <f>SUM(E28:E34)</f>
        <v>1298</v>
      </c>
      <c r="F35" s="56">
        <f>SUM(F28:F34)</f>
        <v>71330</v>
      </c>
      <c r="G35" s="60">
        <f t="shared" si="2"/>
        <v>72628</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576" t="s">
        <v>25</v>
      </c>
      <c r="B39" s="577" t="s">
        <v>7</v>
      </c>
      <c r="C39" s="80" t="s">
        <v>8</v>
      </c>
      <c r="D39" s="546" t="s">
        <v>26</v>
      </c>
      <c r="E39" s="352" t="s">
        <v>27</v>
      </c>
      <c r="F39" s="353"/>
      <c r="G39" s="30"/>
      <c r="H39" s="30"/>
    </row>
    <row r="40" spans="1:17">
      <c r="A40" s="2563" t="s">
        <v>412</v>
      </c>
      <c r="B40" s="1988"/>
      <c r="C40" s="84">
        <v>2014</v>
      </c>
      <c r="D40" s="33"/>
      <c r="E40" s="32"/>
      <c r="F40" s="8"/>
      <c r="G40" s="38"/>
      <c r="H40" s="38"/>
    </row>
    <row r="41" spans="1:17">
      <c r="A41" s="2558"/>
      <c r="B41" s="1988"/>
      <c r="C41" s="86">
        <v>2015</v>
      </c>
      <c r="D41" s="50">
        <v>8114</v>
      </c>
      <c r="E41" s="1476"/>
      <c r="F41" s="8"/>
      <c r="G41" s="38"/>
      <c r="H41" s="38"/>
    </row>
    <row r="42" spans="1:17">
      <c r="A42" s="2558"/>
      <c r="B42" s="1988"/>
      <c r="C42" s="86">
        <v>2016</v>
      </c>
      <c r="D42" s="50">
        <v>95128</v>
      </c>
      <c r="E42" s="1476"/>
      <c r="F42" s="8"/>
      <c r="G42" s="38"/>
      <c r="H42" s="38"/>
    </row>
    <row r="43" spans="1:17">
      <c r="A43" s="2558"/>
      <c r="B43" s="1988"/>
      <c r="C43" s="86">
        <v>2017</v>
      </c>
      <c r="D43" s="50"/>
      <c r="E43" s="39"/>
      <c r="F43" s="8"/>
      <c r="G43" s="38"/>
      <c r="H43" s="38"/>
    </row>
    <row r="44" spans="1:17">
      <c r="A44" s="2558"/>
      <c r="B44" s="1988"/>
      <c r="C44" s="86">
        <v>2018</v>
      </c>
      <c r="D44" s="50"/>
      <c r="E44" s="39"/>
      <c r="F44" s="8"/>
      <c r="G44" s="38"/>
      <c r="H44" s="38"/>
    </row>
    <row r="45" spans="1:17">
      <c r="A45" s="2558"/>
      <c r="B45" s="1988"/>
      <c r="C45" s="86">
        <v>2019</v>
      </c>
      <c r="D45" s="50"/>
      <c r="E45" s="39"/>
      <c r="F45" s="8"/>
      <c r="G45" s="38"/>
      <c r="H45" s="38"/>
    </row>
    <row r="46" spans="1:17">
      <c r="A46" s="2558"/>
      <c r="B46" s="1988"/>
      <c r="C46" s="86">
        <v>2020</v>
      </c>
      <c r="D46" s="50"/>
      <c r="E46" s="39"/>
      <c r="F46" s="8"/>
      <c r="G46" s="38"/>
      <c r="H46" s="38"/>
    </row>
    <row r="47" spans="1:17" ht="15.75" thickBot="1">
      <c r="A47" s="1989"/>
      <c r="B47" s="1990"/>
      <c r="C47" s="54" t="s">
        <v>12</v>
      </c>
      <c r="D47" s="55">
        <f>SUM(D40:D46)</f>
        <v>103242</v>
      </c>
      <c r="E47" s="419">
        <f>SUM(E40:E46)</f>
        <v>0</v>
      </c>
      <c r="F47" s="121"/>
      <c r="G47" s="38"/>
      <c r="H47" s="38"/>
    </row>
    <row r="48" spans="1:17" s="38" customFormat="1" ht="15.75" thickBot="1">
      <c r="A48" s="549"/>
      <c r="B48" s="92"/>
      <c r="C48" s="93"/>
    </row>
    <row r="49" spans="1:15" ht="83.25" customHeight="1">
      <c r="A49" s="94" t="s">
        <v>29</v>
      </c>
      <c r="B49" s="577" t="s">
        <v>7</v>
      </c>
      <c r="C49" s="95" t="s">
        <v>8</v>
      </c>
      <c r="D49" s="546" t="s">
        <v>30</v>
      </c>
      <c r="E49" s="96" t="s">
        <v>31</v>
      </c>
      <c r="F49" s="96" t="s">
        <v>32</v>
      </c>
      <c r="G49" s="96" t="s">
        <v>33</v>
      </c>
      <c r="H49" s="96" t="s">
        <v>34</v>
      </c>
      <c r="I49" s="96" t="s">
        <v>35</v>
      </c>
      <c r="J49" s="96" t="s">
        <v>36</v>
      </c>
      <c r="K49" s="97" t="s">
        <v>37</v>
      </c>
    </row>
    <row r="50" spans="1:15" ht="17.25" customHeight="1">
      <c r="A50" s="2005" t="s">
        <v>413</v>
      </c>
      <c r="B50" s="2012"/>
      <c r="C50" s="98" t="s">
        <v>38</v>
      </c>
      <c r="D50" s="33"/>
      <c r="E50" s="34"/>
      <c r="F50" s="34"/>
      <c r="G50" s="34"/>
      <c r="H50" s="34"/>
      <c r="I50" s="34"/>
      <c r="J50" s="34"/>
      <c r="K50" s="37"/>
    </row>
    <row r="51" spans="1:15" ht="15" customHeight="1">
      <c r="A51" s="2563"/>
      <c r="B51" s="2014"/>
      <c r="C51" s="86">
        <v>2014</v>
      </c>
      <c r="D51" s="50"/>
      <c r="E51" s="42"/>
      <c r="F51" s="42"/>
      <c r="G51" s="42"/>
      <c r="H51" s="42"/>
      <c r="I51" s="42"/>
      <c r="J51" s="42"/>
      <c r="K51" s="99"/>
    </row>
    <row r="52" spans="1:15">
      <c r="A52" s="2563"/>
      <c r="B52" s="2014"/>
      <c r="C52" s="86">
        <v>2015</v>
      </c>
      <c r="D52" s="50">
        <v>0</v>
      </c>
      <c r="E52" s="42">
        <v>0</v>
      </c>
      <c r="F52" s="42">
        <v>0</v>
      </c>
      <c r="G52" s="42">
        <v>0</v>
      </c>
      <c r="H52" s="42">
        <v>0</v>
      </c>
      <c r="I52" s="42">
        <v>0</v>
      </c>
      <c r="J52" s="42">
        <v>0</v>
      </c>
      <c r="K52" s="99">
        <v>0</v>
      </c>
    </row>
    <row r="53" spans="1:15">
      <c r="A53" s="2563"/>
      <c r="B53" s="2014"/>
      <c r="C53" s="86">
        <v>2016</v>
      </c>
      <c r="D53" s="50">
        <v>2</v>
      </c>
      <c r="E53" s="42">
        <v>0</v>
      </c>
      <c r="F53" s="42">
        <v>0</v>
      </c>
      <c r="G53" s="42">
        <v>544</v>
      </c>
      <c r="H53" s="42">
        <v>53</v>
      </c>
      <c r="I53" s="42">
        <v>10</v>
      </c>
      <c r="J53" s="42">
        <v>226</v>
      </c>
      <c r="K53" s="99">
        <v>0</v>
      </c>
    </row>
    <row r="54" spans="1:15">
      <c r="A54" s="2563"/>
      <c r="B54" s="2014"/>
      <c r="C54" s="86">
        <v>2017</v>
      </c>
      <c r="D54" s="50"/>
      <c r="E54" s="42"/>
      <c r="F54" s="42"/>
      <c r="G54" s="42"/>
      <c r="H54" s="42"/>
      <c r="I54" s="42"/>
      <c r="J54" s="42"/>
      <c r="K54" s="99"/>
    </row>
    <row r="55" spans="1:15">
      <c r="A55" s="2563"/>
      <c r="B55" s="2014"/>
      <c r="C55" s="86">
        <v>2018</v>
      </c>
      <c r="D55" s="50"/>
      <c r="E55" s="42"/>
      <c r="F55" s="42"/>
      <c r="G55" s="42"/>
      <c r="H55" s="42"/>
      <c r="I55" s="42"/>
      <c r="J55" s="42"/>
      <c r="K55" s="99"/>
    </row>
    <row r="56" spans="1:15">
      <c r="A56" s="2563"/>
      <c r="B56" s="2014"/>
      <c r="C56" s="86">
        <v>2019</v>
      </c>
      <c r="D56" s="50"/>
      <c r="E56" s="42"/>
      <c r="F56" s="42"/>
      <c r="G56" s="42"/>
      <c r="H56" s="42"/>
      <c r="I56" s="42"/>
      <c r="J56" s="42"/>
      <c r="K56" s="99"/>
    </row>
    <row r="57" spans="1:15">
      <c r="A57" s="2563"/>
      <c r="B57" s="2014"/>
      <c r="C57" s="86">
        <v>2020</v>
      </c>
      <c r="D57" s="50"/>
      <c r="E57" s="42"/>
      <c r="F57" s="42"/>
      <c r="G57" s="42"/>
      <c r="H57" s="42"/>
      <c r="I57" s="42"/>
      <c r="J57" s="42"/>
      <c r="K57" s="100"/>
    </row>
    <row r="58" spans="1:15" ht="20.25" customHeight="1" thickBot="1">
      <c r="A58" s="2009"/>
      <c r="B58" s="2016"/>
      <c r="C58" s="54" t="s">
        <v>12</v>
      </c>
      <c r="D58" s="55">
        <f>SUM(D51:D57)</f>
        <v>2</v>
      </c>
      <c r="E58" s="56">
        <f>SUM(E51:E57)</f>
        <v>0</v>
      </c>
      <c r="F58" s="56">
        <f>SUM(F51:F57)</f>
        <v>0</v>
      </c>
      <c r="G58" s="56">
        <f>SUM(G51:G57)</f>
        <v>544</v>
      </c>
      <c r="H58" s="56">
        <f>SUM(H51:H57)</f>
        <v>53</v>
      </c>
      <c r="I58" s="56">
        <f t="shared" ref="I58" si="3">SUM(I51:I57)</f>
        <v>10</v>
      </c>
      <c r="J58" s="56">
        <f>SUM(J51:J57)</f>
        <v>226</v>
      </c>
      <c r="K58" s="60">
        <f>SUM(K50:K56)</f>
        <v>0</v>
      </c>
    </row>
    <row r="59" spans="1:15" ht="15.75" thickBot="1"/>
    <row r="60" spans="1:15" ht="21" customHeight="1">
      <c r="A60" s="2268" t="s">
        <v>39</v>
      </c>
      <c r="B60" s="580"/>
      <c r="C60" s="2269" t="s">
        <v>8</v>
      </c>
      <c r="D60" s="2671" t="s">
        <v>40</v>
      </c>
      <c r="E60" s="1477" t="s">
        <v>5</v>
      </c>
      <c r="F60" s="1478"/>
      <c r="G60" s="1478"/>
      <c r="H60" s="1478"/>
      <c r="I60" s="1478"/>
      <c r="J60" s="1478"/>
      <c r="K60" s="1478"/>
      <c r="L60" s="1479"/>
    </row>
    <row r="61" spans="1:15" ht="115.5" customHeight="1">
      <c r="A61" s="2672"/>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560" t="s">
        <v>414</v>
      </c>
      <c r="B62" s="2025"/>
      <c r="C62" s="112">
        <v>2014</v>
      </c>
      <c r="D62" s="113"/>
      <c r="E62" s="114"/>
      <c r="F62" s="115"/>
      <c r="G62" s="115"/>
      <c r="H62" s="115"/>
      <c r="I62" s="115"/>
      <c r="J62" s="115"/>
      <c r="K62" s="115"/>
      <c r="L62" s="37"/>
      <c r="M62" s="8"/>
      <c r="N62" s="8"/>
      <c r="O62" s="8"/>
    </row>
    <row r="63" spans="1:15">
      <c r="A63" s="2561"/>
      <c r="B63" s="2025"/>
      <c r="C63" s="116">
        <v>2015</v>
      </c>
      <c r="D63" s="117">
        <v>3</v>
      </c>
      <c r="E63" s="118">
        <v>3</v>
      </c>
      <c r="F63" s="42"/>
      <c r="G63" s="42"/>
      <c r="H63" s="42"/>
      <c r="I63" s="42"/>
      <c r="J63" s="42"/>
      <c r="K63" s="42"/>
      <c r="L63" s="99"/>
      <c r="M63" s="8"/>
      <c r="N63" s="8"/>
      <c r="O63" s="8"/>
    </row>
    <row r="64" spans="1:15">
      <c r="A64" s="2561"/>
      <c r="B64" s="2025"/>
      <c r="C64" s="116">
        <v>2016</v>
      </c>
      <c r="D64" s="117">
        <v>151</v>
      </c>
      <c r="E64" s="118">
        <v>151</v>
      </c>
      <c r="F64" s="42">
        <v>0</v>
      </c>
      <c r="G64" s="42">
        <v>0</v>
      </c>
      <c r="H64" s="42">
        <v>0</v>
      </c>
      <c r="I64" s="42">
        <v>0</v>
      </c>
      <c r="J64" s="42">
        <v>0</v>
      </c>
      <c r="K64" s="42">
        <v>0</v>
      </c>
      <c r="L64" s="99">
        <v>0</v>
      </c>
      <c r="M64" s="8"/>
      <c r="N64" s="8"/>
      <c r="O64" s="8"/>
    </row>
    <row r="65" spans="1:20">
      <c r="A65" s="2561"/>
      <c r="B65" s="2025"/>
      <c r="C65" s="116">
        <v>2017</v>
      </c>
      <c r="D65" s="117"/>
      <c r="E65" s="118"/>
      <c r="F65" s="42"/>
      <c r="G65" s="42"/>
      <c r="H65" s="42"/>
      <c r="I65" s="42"/>
      <c r="J65" s="42"/>
      <c r="K65" s="42"/>
      <c r="L65" s="99"/>
      <c r="M65" s="8"/>
      <c r="N65" s="8"/>
      <c r="O65" s="8"/>
    </row>
    <row r="66" spans="1:20">
      <c r="A66" s="2561"/>
      <c r="B66" s="2025"/>
      <c r="C66" s="116">
        <v>2018</v>
      </c>
      <c r="D66" s="117"/>
      <c r="E66" s="118"/>
      <c r="F66" s="42"/>
      <c r="G66" s="42"/>
      <c r="H66" s="42"/>
      <c r="I66" s="42"/>
      <c r="J66" s="42"/>
      <c r="K66" s="42"/>
      <c r="L66" s="99"/>
      <c r="M66" s="8"/>
      <c r="N66" s="8"/>
      <c r="O66" s="8"/>
    </row>
    <row r="67" spans="1:20" ht="17.25" customHeight="1">
      <c r="A67" s="2561"/>
      <c r="B67" s="2025"/>
      <c r="C67" s="116">
        <v>2019</v>
      </c>
      <c r="D67" s="117"/>
      <c r="E67" s="118"/>
      <c r="F67" s="42"/>
      <c r="G67" s="42"/>
      <c r="H67" s="42"/>
      <c r="I67" s="42"/>
      <c r="J67" s="42"/>
      <c r="K67" s="42"/>
      <c r="L67" s="99"/>
      <c r="M67" s="8"/>
      <c r="N67" s="8"/>
      <c r="O67" s="8"/>
    </row>
    <row r="68" spans="1:20" ht="16.5" customHeight="1">
      <c r="A68" s="2561"/>
      <c r="B68" s="2025"/>
      <c r="C68" s="116">
        <v>2020</v>
      </c>
      <c r="D68" s="117"/>
      <c r="E68" s="118"/>
      <c r="F68" s="42"/>
      <c r="G68" s="42"/>
      <c r="H68" s="42"/>
      <c r="I68" s="42"/>
      <c r="J68" s="42"/>
      <c r="K68" s="42"/>
      <c r="L68" s="99"/>
      <c r="M68" s="121"/>
      <c r="N68" s="121"/>
      <c r="O68" s="121"/>
    </row>
    <row r="69" spans="1:20" ht="18" customHeight="1" thickBot="1">
      <c r="A69" s="2134"/>
      <c r="B69" s="2027"/>
      <c r="C69" s="122" t="s">
        <v>12</v>
      </c>
      <c r="D69" s="123">
        <f>SUM(D62:D68)</f>
        <v>154</v>
      </c>
      <c r="E69" s="124">
        <f>SUM(E62:E68)</f>
        <v>154</v>
      </c>
      <c r="F69" s="125">
        <f t="shared" ref="F69:I69" si="4">SUM(F62:F68)</f>
        <v>0</v>
      </c>
      <c r="G69" s="125">
        <f t="shared" si="4"/>
        <v>0</v>
      </c>
      <c r="H69" s="125">
        <f t="shared" si="4"/>
        <v>0</v>
      </c>
      <c r="I69" s="125">
        <f t="shared" si="4"/>
        <v>0</v>
      </c>
      <c r="J69" s="125"/>
      <c r="K69" s="125">
        <f>SUM(K62:K68)</f>
        <v>0</v>
      </c>
      <c r="L69" s="126">
        <f>SUM(L62:L68)</f>
        <v>0</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1480" t="s">
        <v>42</v>
      </c>
      <c r="B71" s="1481" t="s">
        <v>7</v>
      </c>
      <c r="C71" s="80" t="s">
        <v>8</v>
      </c>
      <c r="D71" s="132" t="s">
        <v>43</v>
      </c>
      <c r="E71" s="132" t="s">
        <v>44</v>
      </c>
      <c r="F71" s="133" t="s">
        <v>45</v>
      </c>
      <c r="G71" s="488" t="s">
        <v>46</v>
      </c>
      <c r="H71" s="135" t="s">
        <v>13</v>
      </c>
      <c r="I71" s="136" t="s">
        <v>14</v>
      </c>
      <c r="J71" s="137" t="s">
        <v>15</v>
      </c>
      <c r="K71" s="136" t="s">
        <v>16</v>
      </c>
      <c r="L71" s="136" t="s">
        <v>17</v>
      </c>
      <c r="M71" s="138" t="s">
        <v>18</v>
      </c>
      <c r="N71" s="137" t="s">
        <v>19</v>
      </c>
      <c r="O71" s="139" t="s">
        <v>20</v>
      </c>
    </row>
    <row r="72" spans="1:20" ht="15" customHeight="1">
      <c r="A72" s="2563"/>
      <c r="B72" s="2025"/>
      <c r="C72" s="84">
        <v>2014</v>
      </c>
      <c r="D72" s="140"/>
      <c r="E72" s="140"/>
      <c r="F72" s="140"/>
      <c r="G72" s="141">
        <f>SUM(D72:F72)</f>
        <v>0</v>
      </c>
      <c r="H72" s="33"/>
      <c r="I72" s="142"/>
      <c r="J72" s="115"/>
      <c r="K72" s="115"/>
      <c r="L72" s="115"/>
      <c r="M72" s="115"/>
      <c r="N72" s="115"/>
      <c r="O72" s="143"/>
    </row>
    <row r="73" spans="1:20">
      <c r="A73" s="2558"/>
      <c r="B73" s="2025"/>
      <c r="C73" s="86">
        <v>2015</v>
      </c>
      <c r="D73" s="147">
        <v>0</v>
      </c>
      <c r="E73" s="147">
        <v>0</v>
      </c>
      <c r="F73" s="147">
        <v>0</v>
      </c>
      <c r="G73" s="141">
        <f t="shared" ref="G73:G78" si="5">SUM(D73:F73)</f>
        <v>0</v>
      </c>
      <c r="H73" s="50"/>
      <c r="I73" s="50"/>
      <c r="J73" s="42"/>
      <c r="K73" s="42"/>
      <c r="L73" s="42"/>
      <c r="M73" s="42"/>
      <c r="N73" s="42"/>
      <c r="O73" s="99"/>
    </row>
    <row r="74" spans="1:20">
      <c r="A74" s="2558"/>
      <c r="B74" s="2025"/>
      <c r="C74" s="86">
        <v>2016</v>
      </c>
      <c r="D74" s="147">
        <v>0</v>
      </c>
      <c r="E74" s="147">
        <v>0</v>
      </c>
      <c r="F74" s="147">
        <v>0</v>
      </c>
      <c r="G74" s="141">
        <f t="shared" si="5"/>
        <v>0</v>
      </c>
      <c r="H74" s="50">
        <v>0</v>
      </c>
      <c r="I74" s="50">
        <v>0</v>
      </c>
      <c r="J74" s="42">
        <v>0</v>
      </c>
      <c r="K74" s="42">
        <v>0</v>
      </c>
      <c r="L74" s="42">
        <v>0</v>
      </c>
      <c r="M74" s="42">
        <v>0</v>
      </c>
      <c r="N74" s="42">
        <v>0</v>
      </c>
      <c r="O74" s="99">
        <v>0</v>
      </c>
    </row>
    <row r="75" spans="1:20">
      <c r="A75" s="2558"/>
      <c r="B75" s="2025"/>
      <c r="C75" s="86">
        <v>2017</v>
      </c>
      <c r="D75" s="147"/>
      <c r="E75" s="147"/>
      <c r="F75" s="147"/>
      <c r="G75" s="141">
        <f t="shared" si="5"/>
        <v>0</v>
      </c>
      <c r="H75" s="50"/>
      <c r="I75" s="50"/>
      <c r="J75" s="42"/>
      <c r="K75" s="42"/>
      <c r="L75" s="42"/>
      <c r="M75" s="42"/>
      <c r="N75" s="42"/>
      <c r="O75" s="99"/>
    </row>
    <row r="76" spans="1:20">
      <c r="A76" s="2558"/>
      <c r="B76" s="2025"/>
      <c r="C76" s="86">
        <v>2018</v>
      </c>
      <c r="D76" s="147"/>
      <c r="E76" s="147"/>
      <c r="F76" s="147"/>
      <c r="G76" s="141">
        <f t="shared" si="5"/>
        <v>0</v>
      </c>
      <c r="H76" s="50"/>
      <c r="I76" s="50"/>
      <c r="J76" s="42"/>
      <c r="K76" s="42"/>
      <c r="L76" s="42"/>
      <c r="M76" s="42"/>
      <c r="N76" s="42"/>
      <c r="O76" s="99"/>
    </row>
    <row r="77" spans="1:20" ht="15.75" customHeight="1">
      <c r="A77" s="2558"/>
      <c r="B77" s="2025"/>
      <c r="C77" s="86">
        <v>2019</v>
      </c>
      <c r="D77" s="147"/>
      <c r="E77" s="147"/>
      <c r="F77" s="147"/>
      <c r="G77" s="141">
        <f t="shared" si="5"/>
        <v>0</v>
      </c>
      <c r="H77" s="50"/>
      <c r="I77" s="50"/>
      <c r="J77" s="42"/>
      <c r="K77" s="42"/>
      <c r="L77" s="42"/>
      <c r="M77" s="42"/>
      <c r="N77" s="42"/>
      <c r="O77" s="99"/>
    </row>
    <row r="78" spans="1:20" ht="17.25" customHeight="1">
      <c r="A78" s="2558"/>
      <c r="B78" s="2025"/>
      <c r="C78" s="86">
        <v>2020</v>
      </c>
      <c r="D78" s="147"/>
      <c r="E78" s="147"/>
      <c r="F78" s="147"/>
      <c r="G78" s="141">
        <f t="shared" si="5"/>
        <v>0</v>
      </c>
      <c r="H78" s="50"/>
      <c r="I78" s="50"/>
      <c r="J78" s="42"/>
      <c r="K78" s="42"/>
      <c r="L78" s="42"/>
      <c r="M78" s="42"/>
      <c r="N78" s="42"/>
      <c r="O78" s="99"/>
    </row>
    <row r="79" spans="1:20" ht="20.25" customHeight="1" thickBot="1">
      <c r="A79" s="2134"/>
      <c r="B79" s="2027"/>
      <c r="C79" s="148" t="s">
        <v>12</v>
      </c>
      <c r="D79" s="123">
        <f>SUM(D72:D78)</f>
        <v>0</v>
      </c>
      <c r="E79" s="123">
        <f>SUM(E72:E78)</f>
        <v>0</v>
      </c>
      <c r="F79" s="123">
        <f>SUM(F72:F78)</f>
        <v>0</v>
      </c>
      <c r="G79" s="149">
        <f>SUM(G72:G78)</f>
        <v>0</v>
      </c>
      <c r="H79" s="150">
        <v>0</v>
      </c>
      <c r="I79" s="151">
        <f t="shared" ref="I79:O79" si="6">SUM(I72:I78)</f>
        <v>0</v>
      </c>
      <c r="J79" s="125">
        <f t="shared" si="6"/>
        <v>0</v>
      </c>
      <c r="K79" s="125">
        <f t="shared" si="6"/>
        <v>0</v>
      </c>
      <c r="L79" s="125">
        <f t="shared" si="6"/>
        <v>0</v>
      </c>
      <c r="M79" s="125">
        <f t="shared" si="6"/>
        <v>0</v>
      </c>
      <c r="N79" s="125">
        <f t="shared" si="6"/>
        <v>0</v>
      </c>
      <c r="O79" s="126">
        <f t="shared" si="6"/>
        <v>0</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1482" t="s">
        <v>49</v>
      </c>
      <c r="B84" s="1483" t="s">
        <v>50</v>
      </c>
      <c r="C84" s="161" t="s">
        <v>8</v>
      </c>
      <c r="D84" s="491" t="s">
        <v>51</v>
      </c>
      <c r="E84" s="163" t="s">
        <v>52</v>
      </c>
      <c r="F84" s="164" t="s">
        <v>53</v>
      </c>
      <c r="G84" s="164" t="s">
        <v>54</v>
      </c>
      <c r="H84" s="164" t="s">
        <v>55</v>
      </c>
      <c r="I84" s="164" t="s">
        <v>56</v>
      </c>
      <c r="J84" s="164" t="s">
        <v>57</v>
      </c>
      <c r="K84" s="165" t="s">
        <v>58</v>
      </c>
    </row>
    <row r="85" spans="1:16" ht="15" customHeight="1">
      <c r="A85" s="2564"/>
      <c r="B85" s="2025"/>
      <c r="C85" s="84">
        <v>2014</v>
      </c>
      <c r="D85" s="166"/>
      <c r="E85" s="167"/>
      <c r="F85" s="34"/>
      <c r="G85" s="34"/>
      <c r="H85" s="34"/>
      <c r="I85" s="34"/>
      <c r="J85" s="34"/>
      <c r="K85" s="37"/>
    </row>
    <row r="86" spans="1:16">
      <c r="A86" s="2565"/>
      <c r="B86" s="2025"/>
      <c r="C86" s="86">
        <v>2015</v>
      </c>
      <c r="D86" s="168">
        <v>0</v>
      </c>
      <c r="E86" s="118"/>
      <c r="F86" s="42"/>
      <c r="G86" s="42"/>
      <c r="H86" s="42"/>
      <c r="I86" s="42"/>
      <c r="J86" s="42"/>
      <c r="K86" s="99"/>
    </row>
    <row r="87" spans="1:16">
      <c r="A87" s="2565"/>
      <c r="B87" s="2025"/>
      <c r="C87" s="86">
        <v>2016</v>
      </c>
      <c r="D87" s="168">
        <v>0</v>
      </c>
      <c r="E87" s="118"/>
      <c r="F87" s="42"/>
      <c r="G87" s="42"/>
      <c r="H87" s="42"/>
      <c r="I87" s="42"/>
      <c r="J87" s="42"/>
      <c r="K87" s="99"/>
    </row>
    <row r="88" spans="1:16">
      <c r="A88" s="2565"/>
      <c r="B88" s="2025"/>
      <c r="C88" s="86">
        <v>2017</v>
      </c>
      <c r="D88" s="168"/>
      <c r="E88" s="118"/>
      <c r="F88" s="42"/>
      <c r="G88" s="42"/>
      <c r="H88" s="42"/>
      <c r="I88" s="42"/>
      <c r="J88" s="42"/>
      <c r="K88" s="99"/>
    </row>
    <row r="89" spans="1:16">
      <c r="A89" s="2565"/>
      <c r="B89" s="2025"/>
      <c r="C89" s="86">
        <v>2018</v>
      </c>
      <c r="D89" s="168"/>
      <c r="E89" s="118"/>
      <c r="F89" s="42"/>
      <c r="G89" s="42"/>
      <c r="H89" s="42"/>
      <c r="I89" s="42"/>
      <c r="J89" s="42"/>
      <c r="K89" s="99"/>
    </row>
    <row r="90" spans="1:16">
      <c r="A90" s="2565"/>
      <c r="B90" s="2025"/>
      <c r="C90" s="86">
        <v>2019</v>
      </c>
      <c r="D90" s="168"/>
      <c r="E90" s="118"/>
      <c r="F90" s="42"/>
      <c r="G90" s="42"/>
      <c r="H90" s="42"/>
      <c r="I90" s="42"/>
      <c r="J90" s="42"/>
      <c r="K90" s="99"/>
    </row>
    <row r="91" spans="1:16">
      <c r="A91" s="2565"/>
      <c r="B91" s="2025"/>
      <c r="C91" s="86">
        <v>2020</v>
      </c>
      <c r="D91" s="168"/>
      <c r="E91" s="118"/>
      <c r="F91" s="42"/>
      <c r="G91" s="42"/>
      <c r="H91" s="42"/>
      <c r="I91" s="42"/>
      <c r="J91" s="42"/>
      <c r="K91" s="99"/>
    </row>
    <row r="92" spans="1:16" ht="18" customHeight="1" thickBot="1">
      <c r="A92" s="2073"/>
      <c r="B92" s="2027"/>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664" t="s">
        <v>60</v>
      </c>
      <c r="B96" s="2666" t="s">
        <v>61</v>
      </c>
      <c r="C96" s="2669" t="s">
        <v>8</v>
      </c>
      <c r="D96" s="2207" t="s">
        <v>62</v>
      </c>
      <c r="E96" s="2208"/>
      <c r="F96" s="174" t="s">
        <v>63</v>
      </c>
      <c r="G96" s="1484"/>
      <c r="H96" s="1484"/>
      <c r="I96" s="1484"/>
      <c r="J96" s="1484"/>
      <c r="K96" s="1484"/>
      <c r="L96" s="1484"/>
      <c r="M96" s="494"/>
      <c r="N96" s="177"/>
      <c r="O96" s="177"/>
      <c r="P96" s="177"/>
    </row>
    <row r="97" spans="1:16" ht="100.5" customHeight="1">
      <c r="A97" s="2665"/>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560"/>
      <c r="B98" s="2025"/>
      <c r="C98" s="112">
        <v>2014</v>
      </c>
      <c r="D98" s="33"/>
      <c r="E98" s="34"/>
      <c r="F98" s="186"/>
      <c r="G98" s="187"/>
      <c r="H98" s="187"/>
      <c r="I98" s="187"/>
      <c r="J98" s="187"/>
      <c r="K98" s="187"/>
      <c r="L98" s="187"/>
      <c r="M98" s="188"/>
      <c r="N98" s="177"/>
      <c r="O98" s="177"/>
      <c r="P98" s="177"/>
    </row>
    <row r="99" spans="1:16" ht="16.5" customHeight="1">
      <c r="A99" s="2561"/>
      <c r="B99" s="2025"/>
      <c r="C99" s="116">
        <v>2015</v>
      </c>
      <c r="D99" s="50">
        <v>0</v>
      </c>
      <c r="E99" s="42">
        <v>0</v>
      </c>
      <c r="F99" s="189"/>
      <c r="G99" s="190"/>
      <c r="H99" s="190"/>
      <c r="I99" s="190"/>
      <c r="J99" s="190"/>
      <c r="K99" s="190"/>
      <c r="L99" s="190"/>
      <c r="M99" s="193"/>
      <c r="N99" s="177"/>
      <c r="O99" s="177"/>
      <c r="P99" s="177"/>
    </row>
    <row r="100" spans="1:16" ht="16.5" customHeight="1">
      <c r="A100" s="2561"/>
      <c r="B100" s="2025"/>
      <c r="C100" s="116">
        <v>2016</v>
      </c>
      <c r="D100" s="50">
        <v>0</v>
      </c>
      <c r="E100" s="42">
        <v>0</v>
      </c>
      <c r="F100" s="189"/>
      <c r="G100" s="190"/>
      <c r="H100" s="190"/>
      <c r="I100" s="190"/>
      <c r="J100" s="190"/>
      <c r="K100" s="190"/>
      <c r="L100" s="190"/>
      <c r="M100" s="193"/>
      <c r="N100" s="177"/>
      <c r="O100" s="177"/>
      <c r="P100" s="177"/>
    </row>
    <row r="101" spans="1:16" ht="16.5" customHeight="1">
      <c r="A101" s="2561"/>
      <c r="B101" s="2025"/>
      <c r="C101" s="116">
        <v>2017</v>
      </c>
      <c r="D101" s="50"/>
      <c r="E101" s="42"/>
      <c r="F101" s="189"/>
      <c r="G101" s="190"/>
      <c r="H101" s="190"/>
      <c r="I101" s="190"/>
      <c r="J101" s="190"/>
      <c r="K101" s="190"/>
      <c r="L101" s="190"/>
      <c r="M101" s="193"/>
      <c r="N101" s="177"/>
      <c r="O101" s="177"/>
      <c r="P101" s="177"/>
    </row>
    <row r="102" spans="1:16" ht="15.75" customHeight="1">
      <c r="A102" s="2561"/>
      <c r="B102" s="2025"/>
      <c r="C102" s="116">
        <v>2018</v>
      </c>
      <c r="D102" s="50"/>
      <c r="E102" s="42"/>
      <c r="F102" s="189"/>
      <c r="G102" s="190"/>
      <c r="H102" s="190"/>
      <c r="I102" s="190"/>
      <c r="J102" s="190"/>
      <c r="K102" s="190"/>
      <c r="L102" s="190"/>
      <c r="M102" s="193"/>
      <c r="N102" s="177"/>
      <c r="O102" s="177"/>
      <c r="P102" s="177"/>
    </row>
    <row r="103" spans="1:16" ht="14.25" customHeight="1">
      <c r="A103" s="2561"/>
      <c r="B103" s="2025"/>
      <c r="C103" s="116">
        <v>2019</v>
      </c>
      <c r="D103" s="50"/>
      <c r="E103" s="42"/>
      <c r="F103" s="189"/>
      <c r="G103" s="190"/>
      <c r="H103" s="190"/>
      <c r="I103" s="190"/>
      <c r="J103" s="190"/>
      <c r="K103" s="190"/>
      <c r="L103" s="190"/>
      <c r="M103" s="193"/>
      <c r="N103" s="177"/>
      <c r="O103" s="177"/>
      <c r="P103" s="177"/>
    </row>
    <row r="104" spans="1:16" ht="14.25" customHeight="1">
      <c r="A104" s="2561"/>
      <c r="B104" s="2025"/>
      <c r="C104" s="116">
        <v>2020</v>
      </c>
      <c r="D104" s="50"/>
      <c r="E104" s="42"/>
      <c r="F104" s="189"/>
      <c r="G104" s="190"/>
      <c r="H104" s="190"/>
      <c r="I104" s="190"/>
      <c r="J104" s="190"/>
      <c r="K104" s="190"/>
      <c r="L104" s="190"/>
      <c r="M104" s="193"/>
      <c r="N104" s="177"/>
      <c r="O104" s="177"/>
      <c r="P104" s="177"/>
    </row>
    <row r="105" spans="1:16" ht="19.5" customHeight="1" thickBot="1">
      <c r="A105" s="2046"/>
      <c r="B105" s="2027"/>
      <c r="C105" s="122" t="s">
        <v>12</v>
      </c>
      <c r="D105" s="151">
        <f>SUM(D98:D104)</f>
        <v>0</v>
      </c>
      <c r="E105" s="125">
        <f t="shared" ref="E105:K105" si="8">SUM(E98:E104)</f>
        <v>0</v>
      </c>
      <c r="F105" s="194">
        <f t="shared" si="8"/>
        <v>0</v>
      </c>
      <c r="G105" s="195">
        <f t="shared" si="8"/>
        <v>0</v>
      </c>
      <c r="H105" s="195">
        <f t="shared" si="8"/>
        <v>0</v>
      </c>
      <c r="I105" s="195">
        <f>SUM(I98:I104)</f>
        <v>0</v>
      </c>
      <c r="J105" s="195">
        <f t="shared" si="8"/>
        <v>0</v>
      </c>
      <c r="K105" s="195">
        <f t="shared" si="8"/>
        <v>0</v>
      </c>
      <c r="L105" s="195">
        <f>SUM(L98:L104)</f>
        <v>0</v>
      </c>
      <c r="M105" s="196">
        <f>SUM(M98:M104)</f>
        <v>0</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664" t="s">
        <v>69</v>
      </c>
      <c r="B107" s="2666" t="s">
        <v>61</v>
      </c>
      <c r="C107" s="2669" t="s">
        <v>8</v>
      </c>
      <c r="D107" s="2670" t="s">
        <v>70</v>
      </c>
      <c r="E107" s="174" t="s">
        <v>71</v>
      </c>
      <c r="F107" s="1484"/>
      <c r="G107" s="1484"/>
      <c r="H107" s="1484"/>
      <c r="I107" s="1484"/>
      <c r="J107" s="1484"/>
      <c r="K107" s="1484"/>
      <c r="L107" s="494"/>
      <c r="M107" s="199"/>
      <c r="N107" s="199"/>
    </row>
    <row r="108" spans="1:16" ht="103.5" customHeight="1">
      <c r="A108" s="2665"/>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560"/>
      <c r="B109" s="2025"/>
      <c r="C109" s="112">
        <v>2014</v>
      </c>
      <c r="D109" s="34"/>
      <c r="E109" s="186"/>
      <c r="F109" s="187"/>
      <c r="G109" s="187"/>
      <c r="H109" s="187"/>
      <c r="I109" s="187"/>
      <c r="J109" s="187"/>
      <c r="K109" s="187"/>
      <c r="L109" s="188"/>
      <c r="M109" s="199"/>
      <c r="N109" s="199"/>
    </row>
    <row r="110" spans="1:16">
      <c r="A110" s="2561"/>
      <c r="B110" s="2025"/>
      <c r="C110" s="116">
        <v>2015</v>
      </c>
      <c r="D110" s="42">
        <v>0</v>
      </c>
      <c r="E110" s="189"/>
      <c r="F110" s="190"/>
      <c r="G110" s="190"/>
      <c r="H110" s="190"/>
      <c r="I110" s="190"/>
      <c r="J110" s="190"/>
      <c r="K110" s="190"/>
      <c r="L110" s="193"/>
      <c r="M110" s="199"/>
      <c r="N110" s="199"/>
    </row>
    <row r="111" spans="1:16">
      <c r="A111" s="2561"/>
      <c r="B111" s="2025"/>
      <c r="C111" s="116">
        <v>2016</v>
      </c>
      <c r="D111" s="42">
        <v>0</v>
      </c>
      <c r="E111" s="189"/>
      <c r="F111" s="190"/>
      <c r="G111" s="190"/>
      <c r="H111" s="190"/>
      <c r="I111" s="190"/>
      <c r="J111" s="190"/>
      <c r="K111" s="190"/>
      <c r="L111" s="193"/>
      <c r="M111" s="199"/>
      <c r="N111" s="199"/>
    </row>
    <row r="112" spans="1:16">
      <c r="A112" s="2561"/>
      <c r="B112" s="2025"/>
      <c r="C112" s="116">
        <v>2017</v>
      </c>
      <c r="D112" s="42"/>
      <c r="E112" s="189"/>
      <c r="F112" s="190"/>
      <c r="G112" s="190"/>
      <c r="H112" s="190"/>
      <c r="I112" s="190"/>
      <c r="J112" s="190"/>
      <c r="K112" s="190"/>
      <c r="L112" s="193"/>
      <c r="M112" s="199"/>
      <c r="N112" s="199"/>
    </row>
    <row r="113" spans="1:14">
      <c r="A113" s="2561"/>
      <c r="B113" s="2025"/>
      <c r="C113" s="116">
        <v>2018</v>
      </c>
      <c r="D113" s="42"/>
      <c r="E113" s="189"/>
      <c r="F113" s="190"/>
      <c r="G113" s="190"/>
      <c r="H113" s="190"/>
      <c r="I113" s="190"/>
      <c r="J113" s="190"/>
      <c r="K113" s="190"/>
      <c r="L113" s="193"/>
      <c r="M113" s="199"/>
      <c r="N113" s="199"/>
    </row>
    <row r="114" spans="1:14">
      <c r="A114" s="2561"/>
      <c r="B114" s="2025"/>
      <c r="C114" s="116">
        <v>2019</v>
      </c>
      <c r="D114" s="42"/>
      <c r="E114" s="189"/>
      <c r="F114" s="190"/>
      <c r="G114" s="190"/>
      <c r="H114" s="190"/>
      <c r="I114" s="190"/>
      <c r="J114" s="190"/>
      <c r="K114" s="190"/>
      <c r="L114" s="193"/>
      <c r="M114" s="199"/>
      <c r="N114" s="199"/>
    </row>
    <row r="115" spans="1:14">
      <c r="A115" s="2561"/>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664" t="s">
        <v>72</v>
      </c>
      <c r="B118" s="2666" t="s">
        <v>61</v>
      </c>
      <c r="C118" s="2669" t="s">
        <v>8</v>
      </c>
      <c r="D118" s="2670" t="s">
        <v>73</v>
      </c>
      <c r="E118" s="174" t="s">
        <v>71</v>
      </c>
      <c r="F118" s="1484"/>
      <c r="G118" s="1484"/>
      <c r="H118" s="1484"/>
      <c r="I118" s="1484"/>
      <c r="J118" s="1484"/>
      <c r="K118" s="1484"/>
      <c r="L118" s="494"/>
      <c r="M118" s="199"/>
      <c r="N118" s="199"/>
    </row>
    <row r="119" spans="1:14" ht="120.75" customHeight="1">
      <c r="A119" s="2665"/>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560" t="s">
        <v>415</v>
      </c>
      <c r="B120" s="2025"/>
      <c r="C120" s="112">
        <v>2014</v>
      </c>
      <c r="D120" s="34"/>
      <c r="E120" s="186"/>
      <c r="F120" s="187"/>
      <c r="G120" s="187"/>
      <c r="H120" s="187"/>
      <c r="I120" s="187"/>
      <c r="J120" s="187"/>
      <c r="K120" s="187"/>
      <c r="L120" s="188"/>
      <c r="M120" s="199"/>
      <c r="N120" s="199"/>
    </row>
    <row r="121" spans="1:14">
      <c r="A121" s="2561"/>
      <c r="B121" s="2025"/>
      <c r="C121" s="116">
        <v>2015</v>
      </c>
      <c r="D121" s="42">
        <v>0</v>
      </c>
      <c r="E121" s="189"/>
      <c r="F121" s="190"/>
      <c r="G121" s="190"/>
      <c r="H121" s="190"/>
      <c r="I121" s="190"/>
      <c r="J121" s="190"/>
      <c r="K121" s="190"/>
      <c r="L121" s="193"/>
      <c r="M121" s="199"/>
      <c r="N121" s="199"/>
    </row>
    <row r="122" spans="1:14">
      <c r="A122" s="2561"/>
      <c r="B122" s="2025"/>
      <c r="C122" s="116">
        <v>2016</v>
      </c>
      <c r="D122" s="42">
        <v>2</v>
      </c>
      <c r="E122" s="189">
        <v>2</v>
      </c>
      <c r="F122" s="190"/>
      <c r="G122" s="190"/>
      <c r="H122" s="190"/>
      <c r="I122" s="190"/>
      <c r="J122" s="190"/>
      <c r="K122" s="190"/>
      <c r="L122" s="193"/>
      <c r="M122" s="199"/>
      <c r="N122" s="199"/>
    </row>
    <row r="123" spans="1:14">
      <c r="A123" s="2561"/>
      <c r="B123" s="2025"/>
      <c r="C123" s="116">
        <v>2017</v>
      </c>
      <c r="D123" s="42"/>
      <c r="E123" s="189"/>
      <c r="F123" s="190"/>
      <c r="G123" s="190"/>
      <c r="H123" s="190"/>
      <c r="I123" s="190"/>
      <c r="J123" s="190"/>
      <c r="K123" s="190"/>
      <c r="L123" s="193"/>
      <c r="M123" s="199"/>
      <c r="N123" s="199"/>
    </row>
    <row r="124" spans="1:14">
      <c r="A124" s="2561"/>
      <c r="B124" s="2025"/>
      <c r="C124" s="116">
        <v>2018</v>
      </c>
      <c r="D124" s="42"/>
      <c r="E124" s="189"/>
      <c r="F124" s="190"/>
      <c r="G124" s="190"/>
      <c r="H124" s="190"/>
      <c r="I124" s="190"/>
      <c r="J124" s="190"/>
      <c r="K124" s="190"/>
      <c r="L124" s="193"/>
      <c r="M124" s="199"/>
      <c r="N124" s="199"/>
    </row>
    <row r="125" spans="1:14">
      <c r="A125" s="2561"/>
      <c r="B125" s="2025"/>
      <c r="C125" s="116">
        <v>2019</v>
      </c>
      <c r="D125" s="42"/>
      <c r="E125" s="189"/>
      <c r="F125" s="190"/>
      <c r="G125" s="190"/>
      <c r="H125" s="190"/>
      <c r="I125" s="190"/>
      <c r="J125" s="190"/>
      <c r="K125" s="190"/>
      <c r="L125" s="193"/>
      <c r="M125" s="199"/>
      <c r="N125" s="199"/>
    </row>
    <row r="126" spans="1:14">
      <c r="A126" s="2561"/>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f t="shared" ref="D127:I127" si="10">SUM(D120:D126)</f>
        <v>2</v>
      </c>
      <c r="E127" s="194">
        <f t="shared" si="10"/>
        <v>2</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664" t="s">
        <v>74</v>
      </c>
      <c r="B129" s="2666" t="s">
        <v>61</v>
      </c>
      <c r="C129" s="1485" t="s">
        <v>8</v>
      </c>
      <c r="D129" s="496" t="s">
        <v>75</v>
      </c>
      <c r="E129" s="1486"/>
      <c r="F129" s="1486"/>
      <c r="G129" s="498"/>
      <c r="H129" s="199"/>
      <c r="I129" s="199"/>
      <c r="J129" s="199"/>
      <c r="K129" s="199"/>
      <c r="L129" s="199"/>
      <c r="M129" s="199"/>
      <c r="N129" s="199"/>
    </row>
    <row r="130" spans="1:16" ht="77.25" customHeight="1">
      <c r="A130" s="2665"/>
      <c r="B130" s="2043"/>
      <c r="C130" s="1432"/>
      <c r="D130" s="178" t="s">
        <v>76</v>
      </c>
      <c r="E130" s="207" t="s">
        <v>77</v>
      </c>
      <c r="F130" s="179" t="s">
        <v>78</v>
      </c>
      <c r="G130" s="208" t="s">
        <v>12</v>
      </c>
      <c r="H130" s="199"/>
      <c r="I130" s="199"/>
      <c r="J130" s="199"/>
      <c r="K130" s="199"/>
      <c r="L130" s="199"/>
      <c r="M130" s="199"/>
      <c r="N130" s="199"/>
    </row>
    <row r="131" spans="1:16" ht="15" customHeight="1">
      <c r="A131" s="2563"/>
      <c r="B131" s="1988"/>
      <c r="C131" s="340">
        <v>2015</v>
      </c>
      <c r="D131" s="557">
        <v>0</v>
      </c>
      <c r="E131" s="342">
        <v>0</v>
      </c>
      <c r="F131" s="342">
        <v>0</v>
      </c>
      <c r="G131" s="209">
        <v>0</v>
      </c>
      <c r="H131" s="199"/>
      <c r="I131" s="199"/>
      <c r="J131" s="199"/>
      <c r="K131" s="199"/>
      <c r="L131" s="199"/>
      <c r="M131" s="199"/>
      <c r="N131" s="199"/>
    </row>
    <row r="132" spans="1:16">
      <c r="A132" s="2558"/>
      <c r="B132" s="1988"/>
      <c r="C132" s="116">
        <v>2016</v>
      </c>
      <c r="D132" s="50">
        <v>0</v>
      </c>
      <c r="E132" s="42">
        <v>0</v>
      </c>
      <c r="F132" s="42">
        <v>1657</v>
      </c>
      <c r="G132" s="209">
        <f t="shared" ref="G132:G136" si="11">SUM(D132:F132)</f>
        <v>1657</v>
      </c>
      <c r="H132" s="199"/>
      <c r="I132" s="199"/>
      <c r="J132" s="199"/>
      <c r="K132" s="199"/>
      <c r="L132" s="199"/>
      <c r="M132" s="199"/>
      <c r="N132" s="199"/>
    </row>
    <row r="133" spans="1:16">
      <c r="A133" s="2558"/>
      <c r="B133" s="1988"/>
      <c r="C133" s="116">
        <v>2017</v>
      </c>
      <c r="D133" s="50"/>
      <c r="E133" s="42"/>
      <c r="F133" s="42"/>
      <c r="G133" s="209">
        <f t="shared" si="11"/>
        <v>0</v>
      </c>
      <c r="H133" s="199"/>
      <c r="I133" s="199"/>
      <c r="J133" s="199"/>
      <c r="K133" s="199"/>
      <c r="L133" s="199"/>
      <c r="M133" s="199"/>
      <c r="N133" s="199"/>
    </row>
    <row r="134" spans="1:16">
      <c r="A134" s="2558"/>
      <c r="B134" s="1988"/>
      <c r="C134" s="116">
        <v>2018</v>
      </c>
      <c r="D134" s="50"/>
      <c r="E134" s="42"/>
      <c r="F134" s="42"/>
      <c r="G134" s="209">
        <f t="shared" si="11"/>
        <v>0</v>
      </c>
      <c r="H134" s="199"/>
      <c r="I134" s="199"/>
      <c r="J134" s="199"/>
      <c r="K134" s="199"/>
      <c r="L134" s="199"/>
      <c r="M134" s="199"/>
      <c r="N134" s="199"/>
    </row>
    <row r="135" spans="1:16">
      <c r="A135" s="2558"/>
      <c r="B135" s="1988"/>
      <c r="C135" s="116">
        <v>2019</v>
      </c>
      <c r="D135" s="50"/>
      <c r="E135" s="42"/>
      <c r="F135" s="42"/>
      <c r="G135" s="209">
        <f t="shared" si="11"/>
        <v>0</v>
      </c>
      <c r="H135" s="199"/>
      <c r="I135" s="199"/>
      <c r="J135" s="199"/>
      <c r="K135" s="199"/>
      <c r="L135" s="199"/>
      <c r="M135" s="199"/>
      <c r="N135" s="199"/>
    </row>
    <row r="136" spans="1:16">
      <c r="A136" s="2558"/>
      <c r="B136" s="1988"/>
      <c r="C136" s="116">
        <v>2020</v>
      </c>
      <c r="D136" s="50"/>
      <c r="E136" s="42"/>
      <c r="F136" s="42"/>
      <c r="G136" s="209">
        <f t="shared" si="11"/>
        <v>0</v>
      </c>
      <c r="H136" s="199"/>
      <c r="I136" s="199"/>
      <c r="J136" s="199"/>
      <c r="K136" s="199"/>
      <c r="L136" s="199"/>
      <c r="M136" s="199"/>
      <c r="N136" s="199"/>
    </row>
    <row r="137" spans="1:16" ht="17.25" customHeight="1" thickBot="1">
      <c r="A137" s="1989"/>
      <c r="B137" s="1990"/>
      <c r="C137" s="122" t="s">
        <v>12</v>
      </c>
      <c r="D137" s="151">
        <f>SUM(D131:D136)</f>
        <v>0</v>
      </c>
      <c r="E137" s="151">
        <f>SUM(E131:E136)</f>
        <v>0</v>
      </c>
      <c r="F137" s="151">
        <f>SUM(F131:F136)</f>
        <v>1657</v>
      </c>
      <c r="G137" s="210">
        <f>SUM(G131:G136)</f>
        <v>1657</v>
      </c>
      <c r="H137" s="199"/>
      <c r="I137" s="199"/>
      <c r="J137" s="199"/>
      <c r="K137" s="199"/>
      <c r="L137" s="199"/>
      <c r="M137" s="199"/>
      <c r="N137" s="199"/>
    </row>
    <row r="138" spans="1:16" ht="17.25" customHeight="1">
      <c r="A138" s="1658"/>
      <c r="B138" s="415"/>
      <c r="C138" s="1659"/>
      <c r="D138" s="38"/>
      <c r="E138" s="38"/>
      <c r="F138" s="38"/>
      <c r="G138" s="1660"/>
      <c r="H138" s="199"/>
      <c r="I138" s="199"/>
      <c r="J138" s="199"/>
      <c r="K138" s="199"/>
      <c r="L138" s="199"/>
      <c r="M138" s="199"/>
      <c r="N138" s="199"/>
    </row>
    <row r="139" spans="1:16">
      <c r="A139" s="197"/>
      <c r="B139" s="197"/>
      <c r="C139" s="198"/>
      <c r="D139" s="8"/>
      <c r="E139" s="8"/>
      <c r="H139" s="199"/>
      <c r="I139" s="199"/>
      <c r="J139" s="199"/>
      <c r="K139" s="199"/>
      <c r="L139" s="199"/>
      <c r="M139" s="199"/>
      <c r="N139" s="199"/>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667" t="s">
        <v>80</v>
      </c>
      <c r="B142" s="2657" t="s">
        <v>61</v>
      </c>
      <c r="C142" s="2659" t="s">
        <v>8</v>
      </c>
      <c r="D142" s="1487" t="s">
        <v>81</v>
      </c>
      <c r="E142" s="1488"/>
      <c r="F142" s="1488"/>
      <c r="G142" s="1488"/>
      <c r="H142" s="1488"/>
      <c r="I142" s="1489"/>
      <c r="J142" s="2653" t="s">
        <v>82</v>
      </c>
      <c r="K142" s="2654"/>
      <c r="L142" s="2654"/>
      <c r="M142" s="2654"/>
      <c r="N142" s="2655"/>
      <c r="O142" s="177"/>
      <c r="P142" s="177"/>
    </row>
    <row r="143" spans="1:16" ht="130.5" customHeight="1">
      <c r="A143" s="2668"/>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560"/>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561"/>
      <c r="B145" s="2025"/>
      <c r="C145" s="116">
        <v>2015</v>
      </c>
      <c r="D145" s="50">
        <v>2</v>
      </c>
      <c r="E145" s="50"/>
      <c r="F145" s="42">
        <v>1</v>
      </c>
      <c r="G145" s="190"/>
      <c r="H145" s="190">
        <v>1</v>
      </c>
      <c r="I145" s="227">
        <v>2</v>
      </c>
      <c r="J145" s="231">
        <v>1</v>
      </c>
      <c r="K145" s="232"/>
      <c r="L145" s="231"/>
      <c r="M145" s="232"/>
      <c r="N145" s="233">
        <v>1</v>
      </c>
      <c r="O145" s="177"/>
      <c r="P145" s="177"/>
    </row>
    <row r="146" spans="1:16" ht="20.25" customHeight="1">
      <c r="A146" s="2561"/>
      <c r="B146" s="2025"/>
      <c r="C146" s="116">
        <v>2016</v>
      </c>
      <c r="D146" s="50">
        <v>4</v>
      </c>
      <c r="E146" s="50">
        <v>6</v>
      </c>
      <c r="F146" s="42"/>
      <c r="G146" s="190"/>
      <c r="H146" s="190"/>
      <c r="I146" s="227">
        <f t="shared" ref="I146:I150" si="12">D146+F146+G146+H146</f>
        <v>4</v>
      </c>
      <c r="J146" s="231"/>
      <c r="K146" s="232"/>
      <c r="L146" s="231"/>
      <c r="M146" s="232"/>
      <c r="N146" s="233">
        <v>4</v>
      </c>
      <c r="O146" s="177"/>
      <c r="P146" s="177"/>
    </row>
    <row r="147" spans="1:16" ht="17.25" customHeight="1">
      <c r="A147" s="2561"/>
      <c r="B147" s="2025"/>
      <c r="C147" s="116">
        <v>2017</v>
      </c>
      <c r="D147" s="50"/>
      <c r="E147" s="50"/>
      <c r="F147" s="42"/>
      <c r="G147" s="190"/>
      <c r="H147" s="190"/>
      <c r="I147" s="227">
        <f t="shared" si="12"/>
        <v>0</v>
      </c>
      <c r="J147" s="231"/>
      <c r="K147" s="232"/>
      <c r="L147" s="231"/>
      <c r="M147" s="232"/>
      <c r="N147" s="233"/>
      <c r="O147" s="177"/>
      <c r="P147" s="177"/>
    </row>
    <row r="148" spans="1:16" ht="19.5" customHeight="1">
      <c r="A148" s="2561"/>
      <c r="B148" s="2025"/>
      <c r="C148" s="116">
        <v>2018</v>
      </c>
      <c r="D148" s="50"/>
      <c r="E148" s="50"/>
      <c r="F148" s="42"/>
      <c r="G148" s="190"/>
      <c r="H148" s="190"/>
      <c r="I148" s="227">
        <f t="shared" si="12"/>
        <v>0</v>
      </c>
      <c r="J148" s="231"/>
      <c r="K148" s="232"/>
      <c r="L148" s="231"/>
      <c r="M148" s="232"/>
      <c r="N148" s="233"/>
      <c r="O148" s="177"/>
      <c r="P148" s="177"/>
    </row>
    <row r="149" spans="1:16" ht="19.5" customHeight="1">
      <c r="A149" s="2561"/>
      <c r="B149" s="2025"/>
      <c r="C149" s="116">
        <v>2019</v>
      </c>
      <c r="D149" s="50"/>
      <c r="E149" s="50"/>
      <c r="F149" s="42"/>
      <c r="G149" s="190"/>
      <c r="H149" s="190"/>
      <c r="I149" s="227">
        <f t="shared" si="12"/>
        <v>0</v>
      </c>
      <c r="J149" s="231"/>
      <c r="K149" s="232"/>
      <c r="L149" s="231"/>
      <c r="M149" s="232"/>
      <c r="N149" s="233"/>
      <c r="O149" s="177"/>
      <c r="P149" s="177"/>
    </row>
    <row r="150" spans="1:16" ht="18.75" customHeight="1">
      <c r="A150" s="2561"/>
      <c r="B150" s="2025"/>
      <c r="C150" s="116">
        <v>2020</v>
      </c>
      <c r="D150" s="50"/>
      <c r="E150" s="50"/>
      <c r="F150" s="42"/>
      <c r="G150" s="190"/>
      <c r="H150" s="190"/>
      <c r="I150" s="227">
        <f t="shared" si="12"/>
        <v>0</v>
      </c>
      <c r="J150" s="231"/>
      <c r="K150" s="232"/>
      <c r="L150" s="231"/>
      <c r="M150" s="232"/>
      <c r="N150" s="233"/>
      <c r="O150" s="177"/>
      <c r="P150" s="177"/>
    </row>
    <row r="151" spans="1:16" ht="18" customHeight="1" thickBot="1">
      <c r="A151" s="2026"/>
      <c r="B151" s="2027"/>
      <c r="C151" s="122" t="s">
        <v>12</v>
      </c>
      <c r="D151" s="151">
        <f>SUM(D144:D150)</f>
        <v>6</v>
      </c>
      <c r="E151" s="151">
        <f t="shared" ref="E151:I151" si="13">SUM(E144:E150)</f>
        <v>6</v>
      </c>
      <c r="F151" s="151">
        <f t="shared" si="13"/>
        <v>1</v>
      </c>
      <c r="G151" s="151">
        <f t="shared" si="13"/>
        <v>0</v>
      </c>
      <c r="H151" s="151">
        <f t="shared" si="13"/>
        <v>1</v>
      </c>
      <c r="I151" s="234">
        <f t="shared" si="13"/>
        <v>6</v>
      </c>
      <c r="J151" s="235">
        <f>SUM(J144:J150)</f>
        <v>1</v>
      </c>
      <c r="K151" s="236">
        <f>SUM(K144:K150)</f>
        <v>0</v>
      </c>
      <c r="L151" s="235">
        <f>SUM(L144:L150)</f>
        <v>0</v>
      </c>
      <c r="M151" s="236">
        <f>SUM(M144:M150)</f>
        <v>0</v>
      </c>
      <c r="N151" s="237">
        <f>SUM(N144:N150)</f>
        <v>5</v>
      </c>
      <c r="O151" s="177"/>
      <c r="P151" s="177"/>
    </row>
    <row r="152" spans="1:16" ht="27" customHeight="1" thickBot="1">
      <c r="B152" s="238"/>
      <c r="O152" s="177"/>
      <c r="P152" s="177"/>
    </row>
    <row r="153" spans="1:16" ht="35.25" customHeight="1">
      <c r="A153" s="2656" t="s">
        <v>93</v>
      </c>
      <c r="B153" s="2657" t="s">
        <v>61</v>
      </c>
      <c r="C153" s="2658" t="s">
        <v>8</v>
      </c>
      <c r="D153" s="1490" t="s">
        <v>94</v>
      </c>
      <c r="E153" s="1490"/>
      <c r="F153" s="503"/>
      <c r="G153" s="503"/>
      <c r="H153" s="1490" t="s">
        <v>95</v>
      </c>
      <c r="I153" s="1490"/>
      <c r="J153" s="504"/>
      <c r="K153" s="31"/>
      <c r="L153" s="31"/>
      <c r="M153" s="31"/>
      <c r="N153" s="31"/>
      <c r="O153" s="177"/>
      <c r="P153" s="177"/>
    </row>
    <row r="154" spans="1:16" ht="49.5" customHeight="1">
      <c r="A154" s="2562"/>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560"/>
      <c r="B155" s="2025"/>
      <c r="C155" s="247">
        <v>2014</v>
      </c>
      <c r="D155" s="228"/>
      <c r="E155" s="187"/>
      <c r="F155" s="229"/>
      <c r="G155" s="227">
        <f>SUM(D155:F155)</f>
        <v>0</v>
      </c>
      <c r="H155" s="228"/>
      <c r="I155" s="187"/>
      <c r="J155" s="188"/>
      <c r="O155" s="177"/>
      <c r="P155" s="177"/>
    </row>
    <row r="156" spans="1:16" ht="19.5" customHeight="1">
      <c r="A156" s="2561"/>
      <c r="B156" s="2025"/>
      <c r="C156" s="248">
        <v>2015</v>
      </c>
      <c r="D156" s="231">
        <v>0</v>
      </c>
      <c r="E156" s="190">
        <v>0</v>
      </c>
      <c r="F156" s="232">
        <v>0</v>
      </c>
      <c r="G156" s="227">
        <f t="shared" ref="G156:G161" si="14">SUM(D156:F156)</f>
        <v>0</v>
      </c>
      <c r="H156" s="231"/>
      <c r="I156" s="190"/>
      <c r="J156" s="193"/>
      <c r="O156" s="177"/>
      <c r="P156" s="177"/>
    </row>
    <row r="157" spans="1:16" ht="17.25" customHeight="1">
      <c r="A157" s="2561"/>
      <c r="B157" s="2025"/>
      <c r="C157" s="248">
        <v>2016</v>
      </c>
      <c r="D157" s="231">
        <v>1</v>
      </c>
      <c r="E157" s="190"/>
      <c r="F157" s="232"/>
      <c r="G157" s="227">
        <f t="shared" si="14"/>
        <v>1</v>
      </c>
      <c r="H157" s="231"/>
      <c r="I157" s="190"/>
      <c r="J157" s="193">
        <v>1</v>
      </c>
      <c r="O157" s="177"/>
      <c r="P157" s="177"/>
    </row>
    <row r="158" spans="1:16" ht="15" customHeight="1">
      <c r="A158" s="2561"/>
      <c r="B158" s="2025"/>
      <c r="C158" s="248">
        <v>2017</v>
      </c>
      <c r="D158" s="231"/>
      <c r="E158" s="190"/>
      <c r="F158" s="232"/>
      <c r="G158" s="227">
        <f t="shared" si="14"/>
        <v>0</v>
      </c>
      <c r="H158" s="231"/>
      <c r="I158" s="190"/>
      <c r="J158" s="193"/>
      <c r="O158" s="177"/>
      <c r="P158" s="177"/>
    </row>
    <row r="159" spans="1:16" ht="19.5" customHeight="1">
      <c r="A159" s="2561"/>
      <c r="B159" s="2025"/>
      <c r="C159" s="248">
        <v>2018</v>
      </c>
      <c r="D159" s="231"/>
      <c r="E159" s="190"/>
      <c r="F159" s="232"/>
      <c r="G159" s="227">
        <f t="shared" si="14"/>
        <v>0</v>
      </c>
      <c r="H159" s="231"/>
      <c r="I159" s="190"/>
      <c r="J159" s="193"/>
      <c r="O159" s="177"/>
      <c r="P159" s="177"/>
    </row>
    <row r="160" spans="1:16" ht="15" customHeight="1">
      <c r="A160" s="2561"/>
      <c r="B160" s="2025"/>
      <c r="C160" s="248">
        <v>2019</v>
      </c>
      <c r="D160" s="231"/>
      <c r="E160" s="190"/>
      <c r="F160" s="232"/>
      <c r="G160" s="227">
        <f t="shared" si="14"/>
        <v>0</v>
      </c>
      <c r="H160" s="231"/>
      <c r="I160" s="190"/>
      <c r="J160" s="193"/>
      <c r="O160" s="177"/>
      <c r="P160" s="177"/>
    </row>
    <row r="161" spans="1:18" ht="17.25" customHeight="1">
      <c r="A161" s="2561"/>
      <c r="B161" s="2025"/>
      <c r="C161" s="248">
        <v>2020</v>
      </c>
      <c r="D161" s="231"/>
      <c r="E161" s="190"/>
      <c r="F161" s="232"/>
      <c r="G161" s="227">
        <f t="shared" si="14"/>
        <v>0</v>
      </c>
      <c r="H161" s="231"/>
      <c r="I161" s="190"/>
      <c r="J161" s="193"/>
      <c r="O161" s="177"/>
      <c r="P161" s="177"/>
    </row>
    <row r="162" spans="1:18" ht="15.75" thickBot="1">
      <c r="A162" s="2026"/>
      <c r="B162" s="2027"/>
      <c r="C162" s="249" t="s">
        <v>12</v>
      </c>
      <c r="D162" s="235">
        <f t="shared" ref="D162:G162" si="15">SUM(D155:D161)</f>
        <v>1</v>
      </c>
      <c r="E162" s="195">
        <f t="shared" si="15"/>
        <v>0</v>
      </c>
      <c r="F162" s="236">
        <f t="shared" si="15"/>
        <v>0</v>
      </c>
      <c r="G162" s="236">
        <f t="shared" si="15"/>
        <v>1</v>
      </c>
      <c r="H162" s="235">
        <f>SUM(H155:H161)</f>
        <v>0</v>
      </c>
      <c r="I162" s="195">
        <f>SUM(I155:I161)</f>
        <v>0</v>
      </c>
      <c r="J162" s="250">
        <f>SUM(J155:J161)</f>
        <v>1</v>
      </c>
    </row>
    <row r="163" spans="1:18" ht="24.75" customHeight="1" thickBot="1">
      <c r="A163" s="251"/>
      <c r="B163" s="252"/>
      <c r="C163" s="253"/>
      <c r="D163" s="177"/>
      <c r="E163" s="1491"/>
      <c r="F163" s="177"/>
      <c r="G163" s="177"/>
      <c r="H163" s="177"/>
      <c r="I163" s="177"/>
      <c r="J163" s="255"/>
      <c r="K163" s="256"/>
    </row>
    <row r="164" spans="1:18" ht="95.25" customHeight="1">
      <c r="A164" s="257" t="s">
        <v>102</v>
      </c>
      <c r="B164" s="258" t="s">
        <v>103</v>
      </c>
      <c r="C164" s="1447" t="s">
        <v>8</v>
      </c>
      <c r="D164" s="260" t="s">
        <v>104</v>
      </c>
      <c r="E164" s="260" t="s">
        <v>105</v>
      </c>
      <c r="F164" s="1492" t="s">
        <v>106</v>
      </c>
      <c r="G164" s="260" t="s">
        <v>107</v>
      </c>
      <c r="H164" s="260" t="s">
        <v>108</v>
      </c>
      <c r="I164" s="262" t="s">
        <v>109</v>
      </c>
      <c r="J164" s="263" t="s">
        <v>110</v>
      </c>
      <c r="K164" s="263" t="s">
        <v>111</v>
      </c>
      <c r="L164" s="1380"/>
    </row>
    <row r="165" spans="1:18" ht="15.75" customHeight="1">
      <c r="A165" s="2011" t="s">
        <v>416</v>
      </c>
      <c r="B165" s="2012"/>
      <c r="C165" s="265">
        <v>2014</v>
      </c>
      <c r="D165" s="187"/>
      <c r="E165" s="187"/>
      <c r="F165" s="187"/>
      <c r="G165" s="187"/>
      <c r="H165" s="187"/>
      <c r="I165" s="188"/>
      <c r="J165" s="1493">
        <f>SUM(D165,F165,H165)</f>
        <v>0</v>
      </c>
      <c r="K165" s="267">
        <f>SUM(E165,G165,I165)</f>
        <v>0</v>
      </c>
      <c r="L165" s="1380"/>
    </row>
    <row r="166" spans="1:18">
      <c r="A166" s="2013"/>
      <c r="B166" s="2014"/>
      <c r="C166" s="268">
        <v>2015</v>
      </c>
      <c r="D166" s="269">
        <v>0</v>
      </c>
      <c r="E166" s="269">
        <v>0</v>
      </c>
      <c r="F166" s="269">
        <v>0</v>
      </c>
      <c r="G166" s="269">
        <v>0</v>
      </c>
      <c r="H166" s="269">
        <v>0</v>
      </c>
      <c r="I166" s="270">
        <v>0</v>
      </c>
      <c r="J166" s="1494">
        <v>0</v>
      </c>
      <c r="K166" s="272">
        <f t="shared" ref="K166:K171" si="16">SUM(E166,G166,I166)</f>
        <v>0</v>
      </c>
      <c r="L166" s="1380"/>
    </row>
    <row r="167" spans="1:18">
      <c r="A167" s="2013"/>
      <c r="B167" s="2014"/>
      <c r="C167" s="268">
        <v>2016</v>
      </c>
      <c r="D167" s="269">
        <v>0</v>
      </c>
      <c r="E167" s="269"/>
      <c r="F167" s="269"/>
      <c r="G167" s="269"/>
      <c r="H167" s="269">
        <v>148</v>
      </c>
      <c r="I167" s="270">
        <v>148</v>
      </c>
      <c r="J167" s="1494">
        <f t="shared" ref="J167:J171" si="17">SUM(D167,F167,H167)</f>
        <v>148</v>
      </c>
      <c r="K167" s="272">
        <f t="shared" si="16"/>
        <v>148</v>
      </c>
    </row>
    <row r="168" spans="1:18">
      <c r="A168" s="2013"/>
      <c r="B168" s="2014"/>
      <c r="C168" s="268">
        <v>2017</v>
      </c>
      <c r="D168" s="269"/>
      <c r="E168" s="177"/>
      <c r="F168" s="269"/>
      <c r="G168" s="269"/>
      <c r="H168" s="269"/>
      <c r="I168" s="270"/>
      <c r="J168" s="1494">
        <f t="shared" si="17"/>
        <v>0</v>
      </c>
      <c r="K168" s="272">
        <f t="shared" si="16"/>
        <v>0</v>
      </c>
    </row>
    <row r="169" spans="1:18">
      <c r="A169" s="2013"/>
      <c r="B169" s="2014"/>
      <c r="C169" s="273">
        <v>2018</v>
      </c>
      <c r="D169" s="269"/>
      <c r="E169" s="269"/>
      <c r="F169" s="269"/>
      <c r="G169" s="274"/>
      <c r="H169" s="269"/>
      <c r="I169" s="270"/>
      <c r="J169" s="1494">
        <f t="shared" si="17"/>
        <v>0</v>
      </c>
      <c r="K169" s="272">
        <f t="shared" si="16"/>
        <v>0</v>
      </c>
      <c r="L169" s="1380"/>
    </row>
    <row r="170" spans="1:18">
      <c r="A170" s="2013"/>
      <c r="B170" s="2014"/>
      <c r="C170" s="268">
        <v>2019</v>
      </c>
      <c r="D170" s="177"/>
      <c r="E170" s="269"/>
      <c r="F170" s="269"/>
      <c r="G170" s="269"/>
      <c r="H170" s="274"/>
      <c r="I170" s="270"/>
      <c r="J170" s="1494">
        <f t="shared" si="17"/>
        <v>0</v>
      </c>
      <c r="K170" s="272">
        <f t="shared" si="16"/>
        <v>0</v>
      </c>
      <c r="L170" s="1380"/>
    </row>
    <row r="171" spans="1:18">
      <c r="A171" s="2013"/>
      <c r="B171" s="2014"/>
      <c r="C171" s="273">
        <v>2020</v>
      </c>
      <c r="D171" s="269"/>
      <c r="E171" s="269"/>
      <c r="F171" s="269"/>
      <c r="G171" s="269"/>
      <c r="H171" s="269"/>
      <c r="I171" s="270"/>
      <c r="J171" s="1494">
        <f t="shared" si="17"/>
        <v>0</v>
      </c>
      <c r="K171" s="272">
        <f t="shared" si="16"/>
        <v>0</v>
      </c>
      <c r="L171" s="1380"/>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148</v>
      </c>
      <c r="I172" s="276">
        <f t="shared" si="18"/>
        <v>148</v>
      </c>
      <c r="J172" s="277">
        <f t="shared" si="18"/>
        <v>148</v>
      </c>
      <c r="K172" s="235">
        <f t="shared" si="18"/>
        <v>148</v>
      </c>
      <c r="L172" s="1380"/>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660" t="s">
        <v>113</v>
      </c>
      <c r="B176" s="2651" t="s">
        <v>114</v>
      </c>
      <c r="C176" s="2662" t="s">
        <v>8</v>
      </c>
      <c r="D176" s="510" t="s">
        <v>115</v>
      </c>
      <c r="E176" s="1495"/>
      <c r="F176" s="1495"/>
      <c r="G176" s="512"/>
      <c r="H176" s="513"/>
      <c r="I176" s="2021" t="s">
        <v>116</v>
      </c>
      <c r="J176" s="2663"/>
      <c r="K176" s="2663"/>
      <c r="L176" s="2663"/>
      <c r="M176" s="2663"/>
      <c r="N176" s="2663"/>
      <c r="O176" s="2233"/>
    </row>
    <row r="177" spans="1:15" s="31" customFormat="1" ht="129.75" customHeight="1">
      <c r="A177" s="2661"/>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561" t="s">
        <v>417</v>
      </c>
      <c r="B178" s="2025"/>
      <c r="C178" s="112">
        <v>2014</v>
      </c>
      <c r="D178" s="33"/>
      <c r="E178" s="34"/>
      <c r="F178" s="34"/>
      <c r="G178" s="293">
        <f>SUM(D178:F178)</f>
        <v>0</v>
      </c>
      <c r="H178" s="167"/>
      <c r="I178" s="167"/>
      <c r="J178" s="34"/>
      <c r="K178" s="34"/>
      <c r="L178" s="34"/>
      <c r="M178" s="34"/>
      <c r="N178" s="34"/>
      <c r="O178" s="37"/>
    </row>
    <row r="179" spans="1:15">
      <c r="A179" s="2561"/>
      <c r="B179" s="2025"/>
      <c r="C179" s="116">
        <v>2015</v>
      </c>
      <c r="D179" s="50">
        <v>2</v>
      </c>
      <c r="E179" s="42"/>
      <c r="F179" s="42"/>
      <c r="G179" s="293">
        <f t="shared" ref="G179:G184" si="19">SUM(D179:F179)</f>
        <v>2</v>
      </c>
      <c r="H179" s="294">
        <v>3</v>
      </c>
      <c r="I179" s="118">
        <v>2</v>
      </c>
      <c r="J179" s="42">
        <v>0</v>
      </c>
      <c r="K179" s="42">
        <v>0</v>
      </c>
      <c r="L179" s="42">
        <v>0</v>
      </c>
      <c r="M179" s="42">
        <v>0</v>
      </c>
      <c r="N179" s="42">
        <v>0</v>
      </c>
      <c r="O179" s="99">
        <v>0</v>
      </c>
    </row>
    <row r="180" spans="1:15">
      <c r="A180" s="2561"/>
      <c r="B180" s="2025"/>
      <c r="C180" s="116">
        <v>2016</v>
      </c>
      <c r="D180" s="50">
        <v>5</v>
      </c>
      <c r="E180" s="42">
        <v>6</v>
      </c>
      <c r="F180" s="42">
        <v>5</v>
      </c>
      <c r="G180" s="293">
        <f t="shared" si="19"/>
        <v>16</v>
      </c>
      <c r="H180" s="294">
        <v>17</v>
      </c>
      <c r="I180" s="118">
        <v>16</v>
      </c>
      <c r="J180" s="42">
        <v>0</v>
      </c>
      <c r="K180" s="42">
        <v>0</v>
      </c>
      <c r="L180" s="42">
        <v>0</v>
      </c>
      <c r="M180" s="42">
        <v>0</v>
      </c>
      <c r="N180" s="42">
        <v>0</v>
      </c>
      <c r="O180" s="99">
        <v>0</v>
      </c>
    </row>
    <row r="181" spans="1:15">
      <c r="A181" s="2561"/>
      <c r="B181" s="2025"/>
      <c r="C181" s="116">
        <v>2017</v>
      </c>
      <c r="D181" s="50"/>
      <c r="E181" s="42"/>
      <c r="F181" s="42"/>
      <c r="G181" s="293">
        <f t="shared" si="19"/>
        <v>0</v>
      </c>
      <c r="H181" s="294"/>
      <c r="I181" s="118"/>
      <c r="J181" s="42"/>
      <c r="K181" s="42"/>
      <c r="L181" s="42"/>
      <c r="M181" s="42"/>
      <c r="N181" s="42"/>
      <c r="O181" s="99"/>
    </row>
    <row r="182" spans="1:15">
      <c r="A182" s="2561"/>
      <c r="B182" s="2025"/>
      <c r="C182" s="116">
        <v>2018</v>
      </c>
      <c r="D182" s="50"/>
      <c r="E182" s="42"/>
      <c r="F182" s="42"/>
      <c r="G182" s="293">
        <f t="shared" si="19"/>
        <v>0</v>
      </c>
      <c r="H182" s="294"/>
      <c r="I182" s="118"/>
      <c r="J182" s="42"/>
      <c r="K182" s="42"/>
      <c r="L182" s="42"/>
      <c r="M182" s="42"/>
      <c r="N182" s="42"/>
      <c r="O182" s="99"/>
    </row>
    <row r="183" spans="1:15">
      <c r="A183" s="2561"/>
      <c r="B183" s="2025"/>
      <c r="C183" s="116">
        <v>2019</v>
      </c>
      <c r="D183" s="50"/>
      <c r="E183" s="42"/>
      <c r="F183" s="42"/>
      <c r="G183" s="293">
        <f t="shared" si="19"/>
        <v>0</v>
      </c>
      <c r="H183" s="294"/>
      <c r="I183" s="118"/>
      <c r="J183" s="42"/>
      <c r="K183" s="42"/>
      <c r="L183" s="42"/>
      <c r="M183" s="42"/>
      <c r="N183" s="42"/>
      <c r="O183" s="99"/>
    </row>
    <row r="184" spans="1:15">
      <c r="A184" s="2561"/>
      <c r="B184" s="2025"/>
      <c r="C184" s="116">
        <v>2020</v>
      </c>
      <c r="D184" s="50"/>
      <c r="E184" s="42"/>
      <c r="F184" s="42"/>
      <c r="G184" s="293">
        <f t="shared" si="19"/>
        <v>0</v>
      </c>
      <c r="H184" s="294"/>
      <c r="I184" s="118"/>
      <c r="J184" s="42"/>
      <c r="K184" s="42"/>
      <c r="L184" s="42"/>
      <c r="M184" s="42"/>
      <c r="N184" s="42"/>
      <c r="O184" s="99"/>
    </row>
    <row r="185" spans="1:15" ht="45" customHeight="1" thickBot="1">
      <c r="A185" s="2026"/>
      <c r="B185" s="2027"/>
      <c r="C185" s="122" t="s">
        <v>12</v>
      </c>
      <c r="D185" s="151">
        <f>SUM(D178:D184)</f>
        <v>7</v>
      </c>
      <c r="E185" s="125">
        <f>SUM(E178:E184)</f>
        <v>6</v>
      </c>
      <c r="F185" s="125">
        <f>SUM(F178:F184)</f>
        <v>5</v>
      </c>
      <c r="G185" s="234">
        <f t="shared" ref="G185:O185" si="20">SUM(G178:G184)</f>
        <v>18</v>
      </c>
      <c r="H185" s="295">
        <f t="shared" si="20"/>
        <v>20</v>
      </c>
      <c r="I185" s="124">
        <f t="shared" si="20"/>
        <v>18</v>
      </c>
      <c r="J185" s="125">
        <f t="shared" si="20"/>
        <v>0</v>
      </c>
      <c r="K185" s="125">
        <f t="shared" si="20"/>
        <v>0</v>
      </c>
      <c r="L185" s="125">
        <f t="shared" si="20"/>
        <v>0</v>
      </c>
      <c r="M185" s="125">
        <f t="shared" si="20"/>
        <v>0</v>
      </c>
      <c r="N185" s="125">
        <f t="shared" si="20"/>
        <v>0</v>
      </c>
      <c r="O185" s="126">
        <f t="shared" si="20"/>
        <v>0</v>
      </c>
    </row>
    <row r="186" spans="1:15" ht="33" customHeight="1" thickBot="1"/>
    <row r="187" spans="1:15" ht="19.5" customHeight="1">
      <c r="A187" s="1994" t="s">
        <v>122</v>
      </c>
      <c r="B187" s="2651" t="s">
        <v>114</v>
      </c>
      <c r="C187" s="1998" t="s">
        <v>8</v>
      </c>
      <c r="D187" s="2000" t="s">
        <v>123</v>
      </c>
      <c r="E187" s="2652"/>
      <c r="F187" s="2652"/>
      <c r="G187" s="2220"/>
      <c r="H187" s="2221"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111" t="s">
        <v>418</v>
      </c>
      <c r="B189" s="2112"/>
      <c r="C189" s="392">
        <v>2014</v>
      </c>
      <c r="D189" s="142"/>
      <c r="E189" s="115"/>
      <c r="F189" s="115"/>
      <c r="G189" s="301">
        <f>SUM(D189:F189)</f>
        <v>0</v>
      </c>
      <c r="H189" s="114"/>
      <c r="I189" s="115"/>
      <c r="J189" s="115"/>
      <c r="K189" s="115"/>
      <c r="L189" s="143"/>
    </row>
    <row r="190" spans="1:15">
      <c r="A190" s="2559"/>
      <c r="B190" s="1988"/>
      <c r="C190" s="86">
        <v>2015</v>
      </c>
      <c r="D190" s="50">
        <v>51</v>
      </c>
      <c r="E190" s="42"/>
      <c r="F190" s="42"/>
      <c r="G190" s="301">
        <f t="shared" ref="G190:G195" si="21">SUM(D190:F190)</f>
        <v>51</v>
      </c>
      <c r="H190" s="118"/>
      <c r="I190" s="42"/>
      <c r="J190" s="42">
        <v>51</v>
      </c>
      <c r="K190" s="42"/>
      <c r="L190" s="99"/>
    </row>
    <row r="191" spans="1:15">
      <c r="A191" s="2559"/>
      <c r="B191" s="1988"/>
      <c r="C191" s="86">
        <v>2016</v>
      </c>
      <c r="D191" s="50">
        <v>422</v>
      </c>
      <c r="E191" s="42">
        <v>443</v>
      </c>
      <c r="F191" s="42">
        <v>166</v>
      </c>
      <c r="G191" s="301">
        <f t="shared" si="21"/>
        <v>1031</v>
      </c>
      <c r="H191" s="1496">
        <v>6</v>
      </c>
      <c r="I191" s="1497">
        <v>5</v>
      </c>
      <c r="J191" s="1497">
        <v>398</v>
      </c>
      <c r="K191" s="1497"/>
      <c r="L191" s="1498">
        <v>622</v>
      </c>
    </row>
    <row r="192" spans="1:15">
      <c r="A192" s="2559"/>
      <c r="B192" s="1988"/>
      <c r="C192" s="86">
        <v>2017</v>
      </c>
      <c r="D192" s="50"/>
      <c r="E192" s="42"/>
      <c r="F192" s="42"/>
      <c r="G192" s="301">
        <f t="shared" si="21"/>
        <v>0</v>
      </c>
      <c r="H192" s="118"/>
      <c r="I192" s="42"/>
      <c r="J192" s="42"/>
      <c r="K192" s="42"/>
      <c r="L192" s="99"/>
    </row>
    <row r="193" spans="1:14">
      <c r="A193" s="2559"/>
      <c r="B193" s="1988"/>
      <c r="C193" s="86">
        <v>2018</v>
      </c>
      <c r="D193" s="50"/>
      <c r="E193" s="42"/>
      <c r="F193" s="42"/>
      <c r="G193" s="301">
        <f t="shared" si="21"/>
        <v>0</v>
      </c>
      <c r="H193" s="118"/>
      <c r="I193" s="42"/>
      <c r="J193" s="42"/>
      <c r="K193" s="42"/>
      <c r="L193" s="99"/>
    </row>
    <row r="194" spans="1:14">
      <c r="A194" s="2559"/>
      <c r="B194" s="1988"/>
      <c r="C194" s="86">
        <v>2019</v>
      </c>
      <c r="D194" s="50"/>
      <c r="E194" s="42"/>
      <c r="F194" s="42"/>
      <c r="G194" s="301">
        <f t="shared" si="21"/>
        <v>0</v>
      </c>
      <c r="H194" s="118"/>
      <c r="I194" s="42"/>
      <c r="J194" s="42"/>
      <c r="K194" s="42"/>
      <c r="L194" s="99"/>
    </row>
    <row r="195" spans="1:14">
      <c r="A195" s="2559"/>
      <c r="B195" s="1988"/>
      <c r="C195" s="86">
        <v>2020</v>
      </c>
      <c r="D195" s="50"/>
      <c r="E195" s="42"/>
      <c r="F195" s="42"/>
      <c r="G195" s="301">
        <f t="shared" si="21"/>
        <v>0</v>
      </c>
      <c r="H195" s="118"/>
      <c r="I195" s="42"/>
      <c r="J195" s="42"/>
      <c r="K195" s="42"/>
      <c r="L195" s="99"/>
    </row>
    <row r="196" spans="1:14" ht="15.75" thickBot="1">
      <c r="A196" s="2114"/>
      <c r="B196" s="1990"/>
      <c r="C196" s="148" t="s">
        <v>12</v>
      </c>
      <c r="D196" s="151">
        <f t="shared" ref="D196:L196" si="22">SUM(D189:D195)</f>
        <v>473</v>
      </c>
      <c r="E196" s="125">
        <f t="shared" si="22"/>
        <v>443</v>
      </c>
      <c r="F196" s="125">
        <f t="shared" si="22"/>
        <v>166</v>
      </c>
      <c r="G196" s="304">
        <f t="shared" si="22"/>
        <v>1082</v>
      </c>
      <c r="H196" s="124">
        <f t="shared" si="22"/>
        <v>6</v>
      </c>
      <c r="I196" s="125">
        <f t="shared" si="22"/>
        <v>5</v>
      </c>
      <c r="J196" s="125">
        <f t="shared" si="22"/>
        <v>449</v>
      </c>
      <c r="K196" s="125">
        <f t="shared" si="22"/>
        <v>0</v>
      </c>
      <c r="L196" s="126">
        <f t="shared" si="22"/>
        <v>622</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1499" t="s">
        <v>135</v>
      </c>
      <c r="B201" s="309" t="s">
        <v>114</v>
      </c>
      <c r="C201" s="310" t="s">
        <v>8</v>
      </c>
      <c r="D201" s="515" t="s">
        <v>136</v>
      </c>
      <c r="E201" s="312" t="s">
        <v>137</v>
      </c>
      <c r="F201" s="312" t="s">
        <v>138</v>
      </c>
      <c r="G201" s="310" t="s">
        <v>139</v>
      </c>
      <c r="H201" s="1500" t="s">
        <v>140</v>
      </c>
      <c r="I201" s="517" t="s">
        <v>141</v>
      </c>
      <c r="J201" s="518" t="s">
        <v>142</v>
      </c>
      <c r="K201" s="312" t="s">
        <v>143</v>
      </c>
      <c r="L201" s="316" t="s">
        <v>144</v>
      </c>
    </row>
    <row r="202" spans="1:14" ht="15" customHeight="1">
      <c r="A202" s="2558"/>
      <c r="B202" s="1988"/>
      <c r="C202" s="84">
        <v>2014</v>
      </c>
      <c r="D202" s="33"/>
      <c r="E202" s="34"/>
      <c r="F202" s="34"/>
      <c r="G202" s="32"/>
      <c r="H202" s="317"/>
      <c r="I202" s="318"/>
      <c r="J202" s="319"/>
      <c r="K202" s="34"/>
      <c r="L202" s="37"/>
    </row>
    <row r="203" spans="1:14">
      <c r="A203" s="2558"/>
      <c r="B203" s="1988"/>
      <c r="C203" s="86">
        <v>2015</v>
      </c>
      <c r="D203" s="50"/>
      <c r="E203" s="42"/>
      <c r="F203" s="42"/>
      <c r="G203" s="39"/>
      <c r="H203" s="320"/>
      <c r="I203" s="321"/>
      <c r="J203" s="322"/>
      <c r="K203" s="42"/>
      <c r="L203" s="99"/>
    </row>
    <row r="204" spans="1:14">
      <c r="A204" s="2558"/>
      <c r="B204" s="1988"/>
      <c r="C204" s="86">
        <v>2016</v>
      </c>
      <c r="D204" s="50">
        <v>0</v>
      </c>
      <c r="E204" s="42"/>
      <c r="F204" s="42"/>
      <c r="G204" s="39"/>
      <c r="H204" s="320"/>
      <c r="I204" s="321">
        <v>0</v>
      </c>
      <c r="J204" s="322"/>
      <c r="K204" s="42"/>
      <c r="L204" s="99"/>
    </row>
    <row r="205" spans="1:14">
      <c r="A205" s="2558"/>
      <c r="B205" s="1988"/>
      <c r="C205" s="86">
        <v>2017</v>
      </c>
      <c r="D205" s="50"/>
      <c r="E205" s="42"/>
      <c r="F205" s="42"/>
      <c r="G205" s="39"/>
      <c r="H205" s="320"/>
      <c r="I205" s="321"/>
      <c r="J205" s="322"/>
      <c r="K205" s="42"/>
      <c r="L205" s="99"/>
    </row>
    <row r="206" spans="1:14">
      <c r="A206" s="2558"/>
      <c r="B206" s="1988"/>
      <c r="C206" s="86">
        <v>2018</v>
      </c>
      <c r="D206" s="50"/>
      <c r="E206" s="42"/>
      <c r="F206" s="42"/>
      <c r="G206" s="39"/>
      <c r="H206" s="320"/>
      <c r="I206" s="321"/>
      <c r="J206" s="322"/>
      <c r="K206" s="42"/>
      <c r="L206" s="99"/>
    </row>
    <row r="207" spans="1:14">
      <c r="A207" s="2558"/>
      <c r="B207" s="1988"/>
      <c r="C207" s="86">
        <v>2019</v>
      </c>
      <c r="D207" s="50"/>
      <c r="E207" s="42"/>
      <c r="F207" s="42"/>
      <c r="G207" s="39"/>
      <c r="H207" s="320"/>
      <c r="I207" s="321"/>
      <c r="J207" s="322"/>
      <c r="K207" s="42"/>
      <c r="L207" s="99"/>
    </row>
    <row r="208" spans="1:14">
      <c r="A208" s="2558"/>
      <c r="B208" s="1988"/>
      <c r="C208" s="86">
        <v>2020</v>
      </c>
      <c r="D208" s="1434"/>
      <c r="E208" s="324"/>
      <c r="F208" s="324"/>
      <c r="G208" s="325"/>
      <c r="H208" s="326"/>
      <c r="I208" s="327"/>
      <c r="J208" s="328"/>
      <c r="K208" s="324"/>
      <c r="L208" s="329"/>
    </row>
    <row r="209" spans="1:12" ht="20.25" customHeight="1" thickBot="1">
      <c r="A209" s="1989"/>
      <c r="B209" s="1990"/>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1501" t="s">
        <v>145</v>
      </c>
      <c r="B212" s="331" t="s">
        <v>146</v>
      </c>
      <c r="C212" s="332">
        <v>2014</v>
      </c>
      <c r="D212" s="333">
        <v>2015</v>
      </c>
      <c r="E212" s="333">
        <v>2016</v>
      </c>
      <c r="F212" s="333">
        <v>2017</v>
      </c>
      <c r="G212" s="333">
        <v>2018</v>
      </c>
      <c r="H212" s="333">
        <v>2019</v>
      </c>
      <c r="I212" s="334">
        <v>2020</v>
      </c>
    </row>
    <row r="213" spans="1:12" ht="15" customHeight="1">
      <c r="A213" t="s">
        <v>147</v>
      </c>
      <c r="B213" s="2196" t="s">
        <v>419</v>
      </c>
      <c r="C213" s="84"/>
      <c r="D213" s="403">
        <f>SUM(D214:D217)</f>
        <v>20304.68</v>
      </c>
      <c r="E213" s="408">
        <f>SUM(E214:E217)</f>
        <v>1300439.32</v>
      </c>
      <c r="F213" s="147"/>
      <c r="G213" s="147"/>
      <c r="H213" s="147"/>
      <c r="I213" s="335"/>
    </row>
    <row r="214" spans="1:12">
      <c r="A214" t="s">
        <v>149</v>
      </c>
      <c r="B214" s="2168"/>
      <c r="C214" s="84"/>
      <c r="D214" s="403">
        <v>20304.68</v>
      </c>
      <c r="E214" s="403">
        <v>741270.42</v>
      </c>
      <c r="F214" s="147"/>
      <c r="G214" s="147"/>
      <c r="H214" s="147"/>
      <c r="I214" s="335"/>
    </row>
    <row r="215" spans="1:12">
      <c r="A215" t="s">
        <v>150</v>
      </c>
      <c r="B215" s="2168"/>
      <c r="C215" s="84"/>
      <c r="D215" s="403"/>
      <c r="E215" s="403">
        <v>0</v>
      </c>
      <c r="F215" s="147"/>
      <c r="G215" s="147"/>
      <c r="H215" s="147"/>
      <c r="I215" s="335"/>
    </row>
    <row r="216" spans="1:12">
      <c r="A216" t="s">
        <v>151</v>
      </c>
      <c r="B216" s="2168"/>
      <c r="C216" s="84"/>
      <c r="D216" s="403"/>
      <c r="E216" s="403">
        <v>7811.25</v>
      </c>
      <c r="F216" s="147"/>
      <c r="G216" s="147"/>
      <c r="H216" s="147"/>
      <c r="I216" s="335"/>
      <c r="K216" s="2649"/>
    </row>
    <row r="217" spans="1:12">
      <c r="A217" t="s">
        <v>152</v>
      </c>
      <c r="B217" s="2168"/>
      <c r="C217" s="84"/>
      <c r="D217" s="403"/>
      <c r="E217" s="403">
        <v>551357.65</v>
      </c>
      <c r="F217" s="147"/>
      <c r="G217" s="147"/>
      <c r="H217" s="147"/>
      <c r="I217" s="335"/>
      <c r="K217" s="2649"/>
    </row>
    <row r="218" spans="1:12" ht="30.75" thickBot="1">
      <c r="A218" s="31" t="s">
        <v>153</v>
      </c>
      <c r="B218" s="2168"/>
      <c r="C218" s="84"/>
      <c r="D218" s="403">
        <v>98244.2</v>
      </c>
      <c r="E218" s="403">
        <v>489921.88</v>
      </c>
      <c r="F218" s="147"/>
      <c r="G218" s="147"/>
      <c r="H218" s="147"/>
      <c r="I218" s="335"/>
      <c r="K218" s="2649"/>
    </row>
    <row r="219" spans="1:12" ht="157.5" customHeight="1" thickBot="1">
      <c r="A219" s="1502" t="s">
        <v>420</v>
      </c>
      <c r="B219" s="2250"/>
      <c r="C219" s="54" t="s">
        <v>12</v>
      </c>
      <c r="D219" s="405">
        <f>SUM(D214:D218)</f>
        <v>118548.88</v>
      </c>
      <c r="E219" s="405">
        <f t="shared" ref="E219:I219" si="24">SUM(E214:E218)</f>
        <v>1790361.2000000002</v>
      </c>
      <c r="F219" s="337">
        <f t="shared" si="24"/>
        <v>0</v>
      </c>
      <c r="G219" s="337">
        <f t="shared" si="24"/>
        <v>0</v>
      </c>
      <c r="H219" s="337">
        <f t="shared" si="24"/>
        <v>0</v>
      </c>
      <c r="I219" s="337">
        <f t="shared" si="24"/>
        <v>0</v>
      </c>
      <c r="K219" s="2649"/>
    </row>
    <row r="227" spans="1:13">
      <c r="A227" s="31"/>
      <c r="F227" s="2650"/>
      <c r="G227" s="2650"/>
      <c r="H227" s="2650"/>
      <c r="I227" s="2650"/>
      <c r="J227" s="2650"/>
      <c r="K227" s="2650"/>
      <c r="L227" s="2650"/>
      <c r="M227" s="2650"/>
    </row>
    <row r="228" spans="1:13">
      <c r="F228" s="2650"/>
      <c r="G228" s="2650"/>
      <c r="H228" s="2650"/>
      <c r="I228" s="2650"/>
      <c r="J228" s="2650"/>
      <c r="K228" s="2650"/>
      <c r="L228" s="2650"/>
      <c r="M228" s="2650"/>
    </row>
  </sheetData>
  <mergeCells count="58">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29:A130"/>
    <mergeCell ref="B129:B130"/>
    <mergeCell ref="A131:B137"/>
    <mergeCell ref="A142:A143"/>
    <mergeCell ref="B142:B143"/>
    <mergeCell ref="A178:B185"/>
    <mergeCell ref="J142:N142"/>
    <mergeCell ref="A144:B151"/>
    <mergeCell ref="A153:A154"/>
    <mergeCell ref="B153:B154"/>
    <mergeCell ref="C153:C154"/>
    <mergeCell ref="A155:B162"/>
    <mergeCell ref="C142:C143"/>
    <mergeCell ref="A165:B172"/>
    <mergeCell ref="A176:A177"/>
    <mergeCell ref="B176:B177"/>
    <mergeCell ref="C176:C177"/>
    <mergeCell ref="I176:O176"/>
    <mergeCell ref="A202:B209"/>
    <mergeCell ref="B213:B219"/>
    <mergeCell ref="K216:K219"/>
    <mergeCell ref="F227:M228"/>
    <mergeCell ref="A187:A188"/>
    <mergeCell ref="B187:B188"/>
    <mergeCell ref="C187:C188"/>
    <mergeCell ref="D187:G187"/>
    <mergeCell ref="H187:L187"/>
    <mergeCell ref="A189:B19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dimension ref="A1:Y227"/>
  <sheetViews>
    <sheetView topLeftCell="A211" workbookViewId="0">
      <selection activeCell="E219" sqref="E219"/>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421</v>
      </c>
      <c r="C1" s="2077"/>
      <c r="D1" s="2077"/>
      <c r="E1" s="2077"/>
      <c r="F1" s="2077"/>
    </row>
    <row r="2" spans="1:25" s="2" customFormat="1" ht="20.100000000000001" customHeight="1" thickBot="1"/>
    <row r="3" spans="1:25" s="5" customFormat="1" ht="20.100000000000001" customHeight="1">
      <c r="A3" s="1503" t="s">
        <v>1</v>
      </c>
      <c r="B3" s="1504"/>
      <c r="C3" s="1504"/>
      <c r="D3" s="1504"/>
      <c r="E3" s="1504"/>
      <c r="F3" s="2707"/>
      <c r="G3" s="2707"/>
      <c r="H3" s="2707"/>
      <c r="I3" s="2707"/>
      <c r="J3" s="2707"/>
      <c r="K3" s="2707"/>
      <c r="L3" s="2707"/>
      <c r="M3" s="2707"/>
      <c r="N3" s="2707"/>
      <c r="O3" s="2708"/>
    </row>
    <row r="4" spans="1:25" s="5" customFormat="1" ht="20.100000000000001" customHeight="1">
      <c r="A4" s="2566" t="s">
        <v>2</v>
      </c>
      <c r="B4" s="2081"/>
      <c r="C4" s="2081"/>
      <c r="D4" s="2081"/>
      <c r="E4" s="2081"/>
      <c r="F4" s="2081"/>
      <c r="G4" s="2081"/>
      <c r="H4" s="2081"/>
      <c r="I4" s="2081"/>
      <c r="J4" s="2081"/>
      <c r="K4" s="2081"/>
      <c r="L4" s="2081"/>
      <c r="M4" s="2081"/>
      <c r="N4" s="2081"/>
      <c r="O4" s="2082"/>
    </row>
    <row r="5" spans="1:25" s="5" customFormat="1" ht="20.100000000000001" customHeight="1">
      <c r="A5" s="2566"/>
      <c r="B5" s="2081"/>
      <c r="C5" s="2081"/>
      <c r="D5" s="2081"/>
      <c r="E5" s="2081"/>
      <c r="F5" s="2081"/>
      <c r="G5" s="2081"/>
      <c r="H5" s="2081"/>
      <c r="I5" s="2081"/>
      <c r="J5" s="2081"/>
      <c r="K5" s="2081"/>
      <c r="L5" s="2081"/>
      <c r="M5" s="2081"/>
      <c r="N5" s="2081"/>
      <c r="O5" s="2082"/>
    </row>
    <row r="6" spans="1:25" s="5" customFormat="1" ht="20.100000000000001" customHeight="1">
      <c r="A6" s="2566"/>
      <c r="B6" s="2081"/>
      <c r="C6" s="2081"/>
      <c r="D6" s="2081"/>
      <c r="E6" s="2081"/>
      <c r="F6" s="2081"/>
      <c r="G6" s="2081"/>
      <c r="H6" s="2081"/>
      <c r="I6" s="2081"/>
      <c r="J6" s="2081"/>
      <c r="K6" s="2081"/>
      <c r="L6" s="2081"/>
      <c r="M6" s="2081"/>
      <c r="N6" s="2081"/>
      <c r="O6" s="2082"/>
    </row>
    <row r="7" spans="1:25" s="5" customFormat="1" ht="20.100000000000001" customHeight="1">
      <c r="A7" s="2566"/>
      <c r="B7" s="2081"/>
      <c r="C7" s="2081"/>
      <c r="D7" s="2081"/>
      <c r="E7" s="2081"/>
      <c r="F7" s="2081"/>
      <c r="G7" s="2081"/>
      <c r="H7" s="2081"/>
      <c r="I7" s="2081"/>
      <c r="J7" s="2081"/>
      <c r="K7" s="2081"/>
      <c r="L7" s="2081"/>
      <c r="M7" s="2081"/>
      <c r="N7" s="2081"/>
      <c r="O7" s="2082"/>
    </row>
    <row r="8" spans="1:25" s="5" customFormat="1" ht="20.100000000000001" customHeight="1">
      <c r="A8" s="2566"/>
      <c r="B8" s="2081"/>
      <c r="C8" s="2081"/>
      <c r="D8" s="2081"/>
      <c r="E8" s="2081"/>
      <c r="F8" s="2081"/>
      <c r="G8" s="2081"/>
      <c r="H8" s="2081"/>
      <c r="I8" s="2081"/>
      <c r="J8" s="2081"/>
      <c r="K8" s="2081"/>
      <c r="L8" s="2081"/>
      <c r="M8" s="2081"/>
      <c r="N8" s="2081"/>
      <c r="O8" s="2082"/>
    </row>
    <row r="9" spans="1:25" s="5" customFormat="1" ht="20.100000000000001" customHeight="1">
      <c r="A9" s="2566"/>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1505"/>
      <c r="B15" s="1506"/>
      <c r="C15" s="11"/>
      <c r="D15" s="2238" t="s">
        <v>4</v>
      </c>
      <c r="E15" s="2709"/>
      <c r="F15" s="2709"/>
      <c r="G15" s="2709"/>
      <c r="H15" s="12"/>
      <c r="I15" s="13" t="s">
        <v>5</v>
      </c>
      <c r="J15" s="14"/>
      <c r="K15" s="14"/>
      <c r="L15" s="14"/>
      <c r="M15" s="14"/>
      <c r="N15" s="14"/>
      <c r="O15" s="15"/>
      <c r="P15" s="16"/>
      <c r="Q15" s="17"/>
      <c r="R15" s="18"/>
      <c r="S15" s="18"/>
      <c r="T15" s="18"/>
      <c r="U15" s="18"/>
      <c r="V15" s="18"/>
      <c r="W15" s="16"/>
      <c r="X15" s="16"/>
      <c r="Y15" s="17"/>
    </row>
    <row r="16" spans="1:25" s="31" customFormat="1" ht="129" customHeight="1">
      <c r="A16" s="20"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694"/>
      <c r="B17" s="2710" t="s">
        <v>422</v>
      </c>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695"/>
      <c r="B18" s="2711"/>
      <c r="C18" s="39">
        <v>2015</v>
      </c>
      <c r="D18" s="50">
        <v>2</v>
      </c>
      <c r="E18" s="42"/>
      <c r="F18" s="42"/>
      <c r="G18" s="35">
        <f>SUM(D18:F18)</f>
        <v>2</v>
      </c>
      <c r="H18" s="51">
        <v>2</v>
      </c>
      <c r="I18" s="42"/>
      <c r="J18" s="42"/>
      <c r="K18" s="42"/>
      <c r="L18" s="42"/>
      <c r="M18" s="42"/>
      <c r="N18" s="42"/>
      <c r="O18" s="52"/>
      <c r="P18" s="38"/>
      <c r="Q18" s="38"/>
      <c r="R18" s="38"/>
      <c r="S18" s="38"/>
      <c r="T18" s="38"/>
      <c r="U18" s="38"/>
      <c r="V18" s="38"/>
      <c r="W18" s="38"/>
      <c r="X18" s="38"/>
      <c r="Y18" s="38"/>
    </row>
    <row r="19" spans="1:25">
      <c r="A19" s="2695"/>
      <c r="B19" s="2711"/>
      <c r="C19" s="39">
        <v>2016</v>
      </c>
      <c r="D19" s="50">
        <v>8</v>
      </c>
      <c r="E19" s="42"/>
      <c r="F19" s="42"/>
      <c r="G19" s="35">
        <f t="shared" si="0"/>
        <v>8</v>
      </c>
      <c r="H19" s="51">
        <v>8</v>
      </c>
      <c r="I19" s="42"/>
      <c r="J19" s="42"/>
      <c r="K19" s="42"/>
      <c r="L19" s="42"/>
      <c r="M19" s="42"/>
      <c r="N19" s="42"/>
      <c r="O19" s="52"/>
      <c r="P19" s="38"/>
      <c r="Q19" s="38"/>
      <c r="R19" s="38"/>
      <c r="S19" s="38"/>
      <c r="T19" s="38"/>
      <c r="U19" s="38"/>
      <c r="V19" s="38"/>
      <c r="W19" s="38"/>
      <c r="X19" s="38"/>
      <c r="Y19" s="38"/>
    </row>
    <row r="20" spans="1:25">
      <c r="A20" s="2695"/>
      <c r="B20" s="2711"/>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2695"/>
      <c r="B21" s="2711"/>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2695"/>
      <c r="B22" s="2711"/>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2695"/>
      <c r="B23" s="2711"/>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19.5" customHeight="1" thickBot="1">
      <c r="A24" s="2696"/>
      <c r="B24" s="2712"/>
      <c r="C24" s="54" t="s">
        <v>12</v>
      </c>
      <c r="D24" s="55">
        <f>SUM(D17:D23)</f>
        <v>10</v>
      </c>
      <c r="E24" s="56">
        <f>SUM(E17:E23)</f>
        <v>0</v>
      </c>
      <c r="F24" s="56">
        <f>SUM(F17:F23)</f>
        <v>0</v>
      </c>
      <c r="G24" s="57">
        <f>SUM(D24:F24)</f>
        <v>10</v>
      </c>
      <c r="H24" s="58">
        <f>SUM(H17:H23)</f>
        <v>10</v>
      </c>
      <c r="I24" s="59">
        <f>SUM(I17:I23)</f>
        <v>0</v>
      </c>
      <c r="J24" s="59">
        <f t="shared" ref="J24:N24" si="1">SUM(J17:J23)</f>
        <v>0</v>
      </c>
      <c r="K24" s="59">
        <f t="shared" si="1"/>
        <v>0</v>
      </c>
      <c r="L24" s="59">
        <f t="shared" si="1"/>
        <v>0</v>
      </c>
      <c r="M24" s="59">
        <f t="shared" si="1"/>
        <v>0</v>
      </c>
      <c r="N24" s="59">
        <f t="shared" si="1"/>
        <v>0</v>
      </c>
      <c r="O24" s="60">
        <f>SUM(O17:O23)</f>
        <v>0</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1505"/>
      <c r="B26" s="1506"/>
      <c r="C26" s="63"/>
      <c r="D26" s="2092" t="s">
        <v>4</v>
      </c>
      <c r="E26" s="2713"/>
      <c r="F26" s="2713"/>
      <c r="G26" s="2246"/>
      <c r="H26" s="16"/>
      <c r="I26" s="17"/>
      <c r="J26" s="18"/>
      <c r="K26" s="18"/>
      <c r="L26" s="18"/>
      <c r="M26" s="18"/>
      <c r="N26" s="18"/>
      <c r="O26" s="16"/>
      <c r="P26" s="16"/>
    </row>
    <row r="27" spans="1:25" s="31" customFormat="1" ht="93" customHeight="1">
      <c r="A27" s="1364"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694"/>
      <c r="B28" s="2710" t="s">
        <v>423</v>
      </c>
      <c r="C28" s="68">
        <v>2014</v>
      </c>
      <c r="D28" s="36"/>
      <c r="E28" s="34"/>
      <c r="F28" s="34"/>
      <c r="G28" s="69">
        <f>SUM(D28:F28)</f>
        <v>0</v>
      </c>
      <c r="H28" s="38"/>
      <c r="I28" s="38"/>
      <c r="J28" s="38"/>
      <c r="K28" s="38"/>
      <c r="L28" s="38"/>
      <c r="M28" s="38"/>
      <c r="N28" s="38"/>
      <c r="O28" s="38"/>
      <c r="P28" s="38"/>
      <c r="Q28" s="8"/>
    </row>
    <row r="29" spans="1:25">
      <c r="A29" s="2695"/>
      <c r="B29" s="2711"/>
      <c r="C29" s="70">
        <v>2015</v>
      </c>
      <c r="D29" s="51">
        <v>60</v>
      </c>
      <c r="E29" s="42"/>
      <c r="F29" s="42"/>
      <c r="G29" s="69">
        <f t="shared" ref="G29:G35" si="2">SUM(D29:F29)</f>
        <v>60</v>
      </c>
      <c r="H29" s="38"/>
      <c r="I29" s="38"/>
      <c r="J29" s="38"/>
      <c r="K29" s="38"/>
      <c r="L29" s="38"/>
      <c r="M29" s="38"/>
      <c r="N29" s="38"/>
      <c r="O29" s="38"/>
      <c r="P29" s="38"/>
      <c r="Q29" s="8"/>
    </row>
    <row r="30" spans="1:25">
      <c r="A30" s="2695"/>
      <c r="B30" s="2711"/>
      <c r="C30" s="70">
        <v>2016</v>
      </c>
      <c r="D30" s="346">
        <v>2500</v>
      </c>
      <c r="E30" s="42"/>
      <c r="F30" s="42"/>
      <c r="G30" s="348">
        <f t="shared" si="2"/>
        <v>2500</v>
      </c>
      <c r="H30" s="38"/>
      <c r="I30" s="38"/>
      <c r="J30" s="38"/>
      <c r="K30" s="38"/>
      <c r="L30" s="38"/>
      <c r="M30" s="38"/>
      <c r="N30" s="38"/>
      <c r="O30" s="38"/>
      <c r="P30" s="38"/>
      <c r="Q30" s="8"/>
    </row>
    <row r="31" spans="1:25">
      <c r="A31" s="2695"/>
      <c r="B31" s="2711"/>
      <c r="C31" s="70">
        <v>2017</v>
      </c>
      <c r="D31" s="51"/>
      <c r="E31" s="42"/>
      <c r="F31" s="42"/>
      <c r="G31" s="69">
        <f t="shared" si="2"/>
        <v>0</v>
      </c>
      <c r="H31" s="38"/>
      <c r="I31" s="38"/>
      <c r="J31" s="38"/>
      <c r="K31" s="38"/>
      <c r="L31" s="38"/>
      <c r="M31" s="38"/>
      <c r="N31" s="38"/>
      <c r="O31" s="38"/>
      <c r="P31" s="38"/>
      <c r="Q31" s="8"/>
    </row>
    <row r="32" spans="1:25">
      <c r="A32" s="2695"/>
      <c r="B32" s="2711"/>
      <c r="C32" s="70">
        <v>2018</v>
      </c>
      <c r="D32" s="51"/>
      <c r="E32" s="42"/>
      <c r="F32" s="42"/>
      <c r="G32" s="69">
        <f>SUM(D32:F32)</f>
        <v>0</v>
      </c>
      <c r="H32" s="38"/>
      <c r="I32" s="38"/>
      <c r="J32" s="38"/>
      <c r="K32" s="38"/>
      <c r="L32" s="38"/>
      <c r="M32" s="38"/>
      <c r="N32" s="38"/>
      <c r="O32" s="38"/>
      <c r="P32" s="38"/>
      <c r="Q32" s="8"/>
    </row>
    <row r="33" spans="1:17">
      <c r="A33" s="2695"/>
      <c r="B33" s="2711"/>
      <c r="C33" s="72">
        <v>2019</v>
      </c>
      <c r="D33" s="51"/>
      <c r="E33" s="42"/>
      <c r="F33" s="42"/>
      <c r="G33" s="69">
        <f t="shared" si="2"/>
        <v>0</v>
      </c>
      <c r="H33" s="38"/>
      <c r="I33" s="38"/>
      <c r="J33" s="38"/>
      <c r="K33" s="38"/>
      <c r="L33" s="38"/>
      <c r="M33" s="38"/>
      <c r="N33" s="38"/>
      <c r="O33" s="38"/>
      <c r="P33" s="38"/>
      <c r="Q33" s="8"/>
    </row>
    <row r="34" spans="1:17">
      <c r="A34" s="2695"/>
      <c r="B34" s="2711"/>
      <c r="C34" s="70">
        <v>2020</v>
      </c>
      <c r="D34" s="51"/>
      <c r="E34" s="42"/>
      <c r="F34" s="42"/>
      <c r="G34" s="69">
        <f t="shared" si="2"/>
        <v>0</v>
      </c>
      <c r="H34" s="38"/>
      <c r="I34" s="38"/>
      <c r="J34" s="38"/>
      <c r="K34" s="38"/>
      <c r="L34" s="38"/>
      <c r="M34" s="38"/>
      <c r="N34" s="38"/>
      <c r="O34" s="38"/>
      <c r="P34" s="38"/>
      <c r="Q34" s="8"/>
    </row>
    <row r="35" spans="1:17" ht="20.25" customHeight="1" thickBot="1">
      <c r="A35" s="2696"/>
      <c r="B35" s="2712"/>
      <c r="C35" s="73" t="s">
        <v>12</v>
      </c>
      <c r="D35" s="349">
        <f>SUM(D28:D34)</f>
        <v>2560</v>
      </c>
      <c r="E35" s="350">
        <f>SUM(E28:E34)</f>
        <v>0</v>
      </c>
      <c r="F35" s="350">
        <f>SUM(F28:F34)</f>
        <v>0</v>
      </c>
      <c r="G35" s="351">
        <f t="shared" si="2"/>
        <v>2560</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1480" t="s">
        <v>25</v>
      </c>
      <c r="B39" s="1481" t="s">
        <v>7</v>
      </c>
      <c r="C39" s="80" t="s">
        <v>8</v>
      </c>
      <c r="D39" s="546" t="s">
        <v>26</v>
      </c>
      <c r="E39" s="352" t="s">
        <v>27</v>
      </c>
      <c r="F39" s="353"/>
      <c r="G39" s="30"/>
      <c r="H39" s="30"/>
    </row>
    <row r="40" spans="1:17">
      <c r="A40" s="2694"/>
      <c r="B40" s="2704" t="s">
        <v>424</v>
      </c>
      <c r="C40" s="84">
        <v>2014</v>
      </c>
      <c r="D40" s="33"/>
      <c r="E40" s="32"/>
      <c r="F40" s="8"/>
      <c r="G40" s="38"/>
      <c r="H40" s="38"/>
    </row>
    <row r="41" spans="1:17">
      <c r="A41" s="2695"/>
      <c r="B41" s="2705"/>
      <c r="C41" s="86">
        <v>2015</v>
      </c>
      <c r="D41" s="1507">
        <v>14349</v>
      </c>
      <c r="E41" s="1508">
        <v>82434</v>
      </c>
      <c r="F41" s="8" t="s">
        <v>425</v>
      </c>
      <c r="G41" s="38"/>
      <c r="H41" s="38"/>
    </row>
    <row r="42" spans="1:17">
      <c r="A42" s="2695"/>
      <c r="B42" s="2705"/>
      <c r="C42" s="86">
        <v>2016</v>
      </c>
      <c r="D42" s="1507">
        <v>175942</v>
      </c>
      <c r="E42" s="1509">
        <v>83198</v>
      </c>
      <c r="F42" s="8" t="s">
        <v>425</v>
      </c>
      <c r="G42" s="38"/>
      <c r="H42" s="38"/>
    </row>
    <row r="43" spans="1:17">
      <c r="A43" s="2695"/>
      <c r="B43" s="2705"/>
      <c r="C43" s="86">
        <v>2017</v>
      </c>
      <c r="D43" s="50"/>
      <c r="E43" s="39"/>
      <c r="F43" s="8"/>
      <c r="G43" s="38"/>
      <c r="H43" s="38"/>
    </row>
    <row r="44" spans="1:17">
      <c r="A44" s="2695"/>
      <c r="B44" s="2705"/>
      <c r="C44" s="86">
        <v>2018</v>
      </c>
      <c r="D44" s="50"/>
      <c r="E44" s="39"/>
      <c r="F44" s="8"/>
      <c r="G44" s="38"/>
      <c r="H44" s="38"/>
    </row>
    <row r="45" spans="1:17">
      <c r="A45" s="2695"/>
      <c r="B45" s="2705"/>
      <c r="C45" s="86">
        <v>2019</v>
      </c>
      <c r="D45" s="50"/>
      <c r="E45" s="39"/>
      <c r="F45" s="8"/>
      <c r="G45" s="38"/>
      <c r="H45" s="38"/>
    </row>
    <row r="46" spans="1:17">
      <c r="A46" s="2695"/>
      <c r="B46" s="2705"/>
      <c r="C46" s="86">
        <v>2020</v>
      </c>
      <c r="D46" s="50"/>
      <c r="E46" s="39"/>
      <c r="F46" s="8"/>
      <c r="G46" s="38"/>
      <c r="H46" s="38"/>
    </row>
    <row r="47" spans="1:17" ht="15.75" thickBot="1">
      <c r="A47" s="2696"/>
      <c r="B47" s="2706"/>
      <c r="C47" s="54" t="s">
        <v>12</v>
      </c>
      <c r="D47" s="356">
        <f>SUM(D40:D46)</f>
        <v>190291</v>
      </c>
      <c r="E47" s="357">
        <f>SUM(E40:E46)</f>
        <v>165632</v>
      </c>
      <c r="F47" s="121"/>
      <c r="G47" s="38"/>
      <c r="H47" s="38"/>
    </row>
    <row r="48" spans="1:17" s="38" customFormat="1" ht="15.75" thickBot="1">
      <c r="A48" s="1510"/>
      <c r="B48" s="92"/>
      <c r="C48" s="93"/>
    </row>
    <row r="49" spans="1:15" ht="83.25" customHeight="1">
      <c r="A49" s="94" t="s">
        <v>29</v>
      </c>
      <c r="B49" s="1481" t="s">
        <v>7</v>
      </c>
      <c r="C49" s="95" t="s">
        <v>8</v>
      </c>
      <c r="D49" s="546" t="s">
        <v>30</v>
      </c>
      <c r="E49" s="96" t="s">
        <v>31</v>
      </c>
      <c r="F49" s="96" t="s">
        <v>32</v>
      </c>
      <c r="G49" s="96" t="s">
        <v>33</v>
      </c>
      <c r="H49" s="96" t="s">
        <v>34</v>
      </c>
      <c r="I49" s="96" t="s">
        <v>35</v>
      </c>
      <c r="J49" s="96" t="s">
        <v>36</v>
      </c>
      <c r="K49" s="97" t="s">
        <v>37</v>
      </c>
    </row>
    <row r="50" spans="1:15" ht="17.25" customHeight="1">
      <c r="A50" s="2694"/>
      <c r="B50" s="2685"/>
      <c r="C50" s="98" t="s">
        <v>38</v>
      </c>
      <c r="D50" s="33"/>
      <c r="E50" s="34"/>
      <c r="F50" s="34"/>
      <c r="G50" s="34"/>
      <c r="H50" s="34"/>
      <c r="I50" s="34"/>
      <c r="J50" s="34"/>
      <c r="K50" s="37"/>
    </row>
    <row r="51" spans="1:15" ht="15" customHeight="1">
      <c r="A51" s="2695"/>
      <c r="B51" s="2686"/>
      <c r="C51" s="86">
        <v>2014</v>
      </c>
      <c r="D51" s="50"/>
      <c r="E51" s="42"/>
      <c r="F51" s="42"/>
      <c r="G51" s="42"/>
      <c r="H51" s="42"/>
      <c r="I51" s="42"/>
      <c r="J51" s="42"/>
      <c r="K51" s="99"/>
    </row>
    <row r="52" spans="1:15">
      <c r="A52" s="2695"/>
      <c r="B52" s="2686"/>
      <c r="C52" s="86">
        <v>2015</v>
      </c>
      <c r="D52" s="50"/>
      <c r="E52" s="42"/>
      <c r="F52" s="42"/>
      <c r="G52" s="42"/>
      <c r="H52" s="42"/>
      <c r="I52" s="42"/>
      <c r="J52" s="42"/>
      <c r="K52" s="99"/>
    </row>
    <row r="53" spans="1:15">
      <c r="A53" s="2695"/>
      <c r="B53" s="2686"/>
      <c r="C53" s="86">
        <v>2016</v>
      </c>
      <c r="D53" s="50"/>
      <c r="E53" s="42"/>
      <c r="F53" s="42"/>
      <c r="G53" s="42"/>
      <c r="H53" s="42"/>
      <c r="I53" s="42"/>
      <c r="J53" s="42"/>
      <c r="K53" s="99"/>
    </row>
    <row r="54" spans="1:15">
      <c r="A54" s="2695"/>
      <c r="B54" s="2686"/>
      <c r="C54" s="86">
        <v>2017</v>
      </c>
      <c r="D54" s="50"/>
      <c r="E54" s="42"/>
      <c r="F54" s="42"/>
      <c r="G54" s="42"/>
      <c r="H54" s="42"/>
      <c r="I54" s="42"/>
      <c r="J54" s="42"/>
      <c r="K54" s="99"/>
    </row>
    <row r="55" spans="1:15">
      <c r="A55" s="2695"/>
      <c r="B55" s="2686"/>
      <c r="C55" s="86">
        <v>2018</v>
      </c>
      <c r="D55" s="50"/>
      <c r="E55" s="42"/>
      <c r="F55" s="42"/>
      <c r="G55" s="42"/>
      <c r="H55" s="42"/>
      <c r="I55" s="42"/>
      <c r="J55" s="42"/>
      <c r="K55" s="99"/>
    </row>
    <row r="56" spans="1:15">
      <c r="A56" s="2695"/>
      <c r="B56" s="2686"/>
      <c r="C56" s="86">
        <v>2019</v>
      </c>
      <c r="D56" s="50"/>
      <c r="E56" s="42"/>
      <c r="F56" s="42"/>
      <c r="G56" s="42"/>
      <c r="H56" s="42"/>
      <c r="I56" s="42"/>
      <c r="J56" s="42"/>
      <c r="K56" s="99"/>
    </row>
    <row r="57" spans="1:15">
      <c r="A57" s="2695"/>
      <c r="B57" s="2686"/>
      <c r="C57" s="86">
        <v>2020</v>
      </c>
      <c r="D57" s="50"/>
      <c r="E57" s="42"/>
      <c r="F57" s="42"/>
      <c r="G57" s="42"/>
      <c r="H57" s="42"/>
      <c r="I57" s="42"/>
      <c r="J57" s="42"/>
      <c r="K57" s="100"/>
    </row>
    <row r="58" spans="1:15" ht="20.25" customHeight="1" thickBot="1">
      <c r="A58" s="2696"/>
      <c r="B58" s="2687"/>
      <c r="C58" s="54" t="s">
        <v>12</v>
      </c>
      <c r="D58" s="55">
        <f>SUM(D51:D57)</f>
        <v>0</v>
      </c>
      <c r="E58" s="56">
        <f>SUM(E51:E57)</f>
        <v>0</v>
      </c>
      <c r="F58" s="56">
        <f>SUM(F51:F57)</f>
        <v>0</v>
      </c>
      <c r="G58" s="56">
        <f>SUM(G51:G57)</f>
        <v>0</v>
      </c>
      <c r="H58" s="56">
        <f>SUM(H51:H57)</f>
        <v>0</v>
      </c>
      <c r="I58" s="56">
        <f t="shared" ref="I58" si="3">SUM(I51:I57)</f>
        <v>0</v>
      </c>
      <c r="J58" s="56">
        <f>SUM(J51:J57)</f>
        <v>0</v>
      </c>
      <c r="K58" s="60">
        <f>SUM(K50:K56)</f>
        <v>0</v>
      </c>
    </row>
    <row r="59" spans="1:15" ht="15.75" thickBot="1"/>
    <row r="60" spans="1:15" ht="21" customHeight="1">
      <c r="A60" s="2700" t="s">
        <v>39</v>
      </c>
      <c r="B60" s="2701" t="s">
        <v>7</v>
      </c>
      <c r="C60" s="2703" t="s">
        <v>8</v>
      </c>
      <c r="D60" s="2671" t="s">
        <v>40</v>
      </c>
      <c r="E60" s="102" t="s">
        <v>5</v>
      </c>
      <c r="F60" s="1478"/>
      <c r="G60" s="1478"/>
      <c r="H60" s="1478"/>
      <c r="I60" s="1478"/>
      <c r="J60" s="1478"/>
      <c r="K60" s="1478"/>
      <c r="L60" s="485"/>
    </row>
    <row r="61" spans="1:15" ht="115.5" customHeight="1">
      <c r="A61" s="2100"/>
      <c r="B61" s="2702"/>
      <c r="C61" s="2102"/>
      <c r="D61" s="2075"/>
      <c r="E61" s="106" t="s">
        <v>13</v>
      </c>
      <c r="F61" s="107" t="s">
        <v>14</v>
      </c>
      <c r="G61" s="107" t="s">
        <v>15</v>
      </c>
      <c r="H61" s="108" t="s">
        <v>16</v>
      </c>
      <c r="I61" s="108" t="s">
        <v>17</v>
      </c>
      <c r="J61" s="109" t="s">
        <v>18</v>
      </c>
      <c r="K61" s="107" t="s">
        <v>19</v>
      </c>
      <c r="L61" s="110" t="s">
        <v>20</v>
      </c>
      <c r="M61" s="111"/>
      <c r="N61" s="8"/>
      <c r="O61" s="8"/>
    </row>
    <row r="62" spans="1:15">
      <c r="A62" s="2688"/>
      <c r="B62" s="2704" t="s">
        <v>426</v>
      </c>
      <c r="C62" s="112">
        <v>2014</v>
      </c>
      <c r="D62" s="113"/>
      <c r="E62" s="114"/>
      <c r="F62" s="115"/>
      <c r="G62" s="115"/>
      <c r="H62" s="115"/>
      <c r="I62" s="115"/>
      <c r="J62" s="115"/>
      <c r="K62" s="115"/>
      <c r="L62" s="37"/>
      <c r="M62" s="8"/>
      <c r="N62" s="8"/>
      <c r="O62" s="8"/>
    </row>
    <row r="63" spans="1:15">
      <c r="A63" s="2689"/>
      <c r="B63" s="2705"/>
      <c r="C63" s="116">
        <v>2015</v>
      </c>
      <c r="D63" s="117">
        <v>2</v>
      </c>
      <c r="E63" s="118">
        <v>2</v>
      </c>
      <c r="F63" s="42"/>
      <c r="G63" s="42"/>
      <c r="H63" s="42"/>
      <c r="I63" s="42"/>
      <c r="J63" s="42"/>
      <c r="K63" s="42"/>
      <c r="L63" s="99"/>
      <c r="M63" s="8"/>
      <c r="N63" s="8"/>
      <c r="O63" s="8"/>
    </row>
    <row r="64" spans="1:15">
      <c r="A64" s="2689"/>
      <c r="B64" s="2705"/>
      <c r="C64" s="116">
        <v>2016</v>
      </c>
      <c r="D64" s="117">
        <v>19</v>
      </c>
      <c r="E64" s="118">
        <v>19</v>
      </c>
      <c r="F64" s="42"/>
      <c r="G64" s="42"/>
      <c r="H64" s="42"/>
      <c r="I64" s="42"/>
      <c r="J64" s="42"/>
      <c r="K64" s="42"/>
      <c r="L64" s="99"/>
      <c r="M64" s="8"/>
      <c r="N64" s="8"/>
      <c r="O64" s="8"/>
    </row>
    <row r="65" spans="1:20">
      <c r="A65" s="2689"/>
      <c r="B65" s="2705"/>
      <c r="C65" s="116">
        <v>2017</v>
      </c>
      <c r="D65" s="117"/>
      <c r="E65" s="118"/>
      <c r="F65" s="42"/>
      <c r="G65" s="42"/>
      <c r="H65" s="42"/>
      <c r="I65" s="42"/>
      <c r="J65" s="42"/>
      <c r="K65" s="42"/>
      <c r="L65" s="99"/>
      <c r="M65" s="8"/>
      <c r="N65" s="8"/>
      <c r="O65" s="8"/>
    </row>
    <row r="66" spans="1:20">
      <c r="A66" s="2689"/>
      <c r="B66" s="2705"/>
      <c r="C66" s="116">
        <v>2018</v>
      </c>
      <c r="D66" s="117"/>
      <c r="E66" s="118"/>
      <c r="F66" s="42"/>
      <c r="G66" s="42"/>
      <c r="H66" s="42"/>
      <c r="I66" s="42"/>
      <c r="J66" s="42"/>
      <c r="K66" s="42"/>
      <c r="L66" s="99"/>
      <c r="M66" s="8"/>
      <c r="N66" s="8"/>
      <c r="O66" s="8"/>
    </row>
    <row r="67" spans="1:20" ht="17.25" customHeight="1">
      <c r="A67" s="2689"/>
      <c r="B67" s="2705"/>
      <c r="C67" s="116">
        <v>2019</v>
      </c>
      <c r="D67" s="117"/>
      <c r="E67" s="118"/>
      <c r="F67" s="42"/>
      <c r="G67" s="42"/>
      <c r="H67" s="42"/>
      <c r="I67" s="42"/>
      <c r="J67" s="42"/>
      <c r="K67" s="42"/>
      <c r="L67" s="99"/>
      <c r="M67" s="8"/>
      <c r="N67" s="8"/>
      <c r="O67" s="8"/>
    </row>
    <row r="68" spans="1:20" ht="16.5" customHeight="1">
      <c r="A68" s="2689"/>
      <c r="B68" s="2705"/>
      <c r="C68" s="116">
        <v>2020</v>
      </c>
      <c r="D68" s="117"/>
      <c r="E68" s="118"/>
      <c r="F68" s="42"/>
      <c r="G68" s="42"/>
      <c r="H68" s="42"/>
      <c r="I68" s="42"/>
      <c r="J68" s="42"/>
      <c r="K68" s="42"/>
      <c r="L68" s="99"/>
      <c r="M68" s="121"/>
      <c r="N68" s="121"/>
      <c r="O68" s="121"/>
    </row>
    <row r="69" spans="1:20" ht="90.75" customHeight="1" thickBot="1">
      <c r="A69" s="2690"/>
      <c r="B69" s="2706"/>
      <c r="C69" s="122" t="s">
        <v>12</v>
      </c>
      <c r="D69" s="123">
        <f>SUM(D62:D68)</f>
        <v>21</v>
      </c>
      <c r="E69" s="124">
        <f>SUM(E62:E68)</f>
        <v>21</v>
      </c>
      <c r="F69" s="125">
        <f t="shared" ref="F69:I69" si="4">SUM(F62:F68)</f>
        <v>0</v>
      </c>
      <c r="G69" s="125">
        <f t="shared" si="4"/>
        <v>0</v>
      </c>
      <c r="H69" s="125">
        <f t="shared" si="4"/>
        <v>0</v>
      </c>
      <c r="I69" s="125">
        <f t="shared" si="4"/>
        <v>0</v>
      </c>
      <c r="J69" s="125"/>
      <c r="K69" s="125">
        <f>SUM(K62:K68)</f>
        <v>0</v>
      </c>
      <c r="L69" s="126">
        <f>SUM(L62:L68)</f>
        <v>0</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1480" t="s">
        <v>42</v>
      </c>
      <c r="B71" s="1481" t="s">
        <v>7</v>
      </c>
      <c r="C71" s="80" t="s">
        <v>8</v>
      </c>
      <c r="D71" s="132" t="s">
        <v>43</v>
      </c>
      <c r="E71" s="132" t="s">
        <v>44</v>
      </c>
      <c r="F71" s="133" t="s">
        <v>45</v>
      </c>
      <c r="G71" s="488" t="s">
        <v>46</v>
      </c>
      <c r="H71" s="135" t="s">
        <v>13</v>
      </c>
      <c r="I71" s="136" t="s">
        <v>14</v>
      </c>
      <c r="J71" s="137" t="s">
        <v>15</v>
      </c>
      <c r="K71" s="136" t="s">
        <v>16</v>
      </c>
      <c r="L71" s="136" t="s">
        <v>17</v>
      </c>
      <c r="M71" s="138" t="s">
        <v>18</v>
      </c>
      <c r="N71" s="137" t="s">
        <v>19</v>
      </c>
      <c r="O71" s="139" t="s">
        <v>20</v>
      </c>
    </row>
    <row r="72" spans="1:20" ht="15" customHeight="1">
      <c r="A72" s="2694"/>
      <c r="B72" s="2691"/>
      <c r="C72" s="84">
        <v>2014</v>
      </c>
      <c r="D72" s="140"/>
      <c r="E72" s="140"/>
      <c r="F72" s="140"/>
      <c r="G72" s="141">
        <f>SUM(D72:F72)</f>
        <v>0</v>
      </c>
      <c r="H72" s="33"/>
      <c r="I72" s="142"/>
      <c r="J72" s="115"/>
      <c r="K72" s="115"/>
      <c r="L72" s="115"/>
      <c r="M72" s="115"/>
      <c r="N72" s="115"/>
      <c r="O72" s="143"/>
    </row>
    <row r="73" spans="1:20">
      <c r="A73" s="2695"/>
      <c r="B73" s="2692"/>
      <c r="C73" s="86">
        <v>2015</v>
      </c>
      <c r="D73" s="147"/>
      <c r="E73" s="147"/>
      <c r="F73" s="147"/>
      <c r="G73" s="141">
        <f t="shared" ref="G73:G78" si="5">SUM(D73:F73)</f>
        <v>0</v>
      </c>
      <c r="H73" s="50"/>
      <c r="I73" s="50"/>
      <c r="J73" s="42"/>
      <c r="K73" s="42"/>
      <c r="L73" s="42"/>
      <c r="M73" s="42"/>
      <c r="N73" s="42"/>
      <c r="O73" s="99"/>
    </row>
    <row r="74" spans="1:20">
      <c r="A74" s="2695"/>
      <c r="B74" s="2692"/>
      <c r="C74" s="86">
        <v>2016</v>
      </c>
      <c r="D74" s="147"/>
      <c r="E74" s="147"/>
      <c r="F74" s="147"/>
      <c r="G74" s="141">
        <f t="shared" si="5"/>
        <v>0</v>
      </c>
      <c r="H74" s="50"/>
      <c r="I74" s="50"/>
      <c r="J74" s="42"/>
      <c r="K74" s="42"/>
      <c r="L74" s="42"/>
      <c r="M74" s="42"/>
      <c r="N74" s="42"/>
      <c r="O74" s="99"/>
    </row>
    <row r="75" spans="1:20">
      <c r="A75" s="2695"/>
      <c r="B75" s="2692"/>
      <c r="C75" s="86">
        <v>2017</v>
      </c>
      <c r="D75" s="147"/>
      <c r="E75" s="147"/>
      <c r="F75" s="147"/>
      <c r="G75" s="141">
        <f t="shared" si="5"/>
        <v>0</v>
      </c>
      <c r="H75" s="50"/>
      <c r="I75" s="50"/>
      <c r="J75" s="42"/>
      <c r="K75" s="42"/>
      <c r="L75" s="42"/>
      <c r="M75" s="42"/>
      <c r="N75" s="42"/>
      <c r="O75" s="99"/>
    </row>
    <row r="76" spans="1:20">
      <c r="A76" s="2695"/>
      <c r="B76" s="2692"/>
      <c r="C76" s="86">
        <v>2018</v>
      </c>
      <c r="D76" s="147"/>
      <c r="E76" s="147"/>
      <c r="F76" s="147"/>
      <c r="G76" s="141">
        <f t="shared" si="5"/>
        <v>0</v>
      </c>
      <c r="H76" s="50"/>
      <c r="I76" s="50"/>
      <c r="J76" s="42"/>
      <c r="K76" s="42"/>
      <c r="L76" s="42"/>
      <c r="M76" s="42"/>
      <c r="N76" s="42"/>
      <c r="O76" s="99"/>
    </row>
    <row r="77" spans="1:20" ht="15.75" customHeight="1">
      <c r="A77" s="2695"/>
      <c r="B77" s="2692"/>
      <c r="C77" s="86">
        <v>2019</v>
      </c>
      <c r="D77" s="147"/>
      <c r="E77" s="147"/>
      <c r="F77" s="147"/>
      <c r="G77" s="141">
        <f t="shared" si="5"/>
        <v>0</v>
      </c>
      <c r="H77" s="50"/>
      <c r="I77" s="50"/>
      <c r="J77" s="42"/>
      <c r="K77" s="42"/>
      <c r="L77" s="42"/>
      <c r="M77" s="42"/>
      <c r="N77" s="42"/>
      <c r="O77" s="99"/>
    </row>
    <row r="78" spans="1:20" ht="17.25" customHeight="1">
      <c r="A78" s="2695"/>
      <c r="B78" s="2692"/>
      <c r="C78" s="86">
        <v>2020</v>
      </c>
      <c r="D78" s="147"/>
      <c r="E78" s="147"/>
      <c r="F78" s="147"/>
      <c r="G78" s="141">
        <f t="shared" si="5"/>
        <v>0</v>
      </c>
      <c r="H78" s="50"/>
      <c r="I78" s="50"/>
      <c r="J78" s="42"/>
      <c r="K78" s="42"/>
      <c r="L78" s="42"/>
      <c r="M78" s="42"/>
      <c r="N78" s="42"/>
      <c r="O78" s="99"/>
    </row>
    <row r="79" spans="1:20" ht="20.25" customHeight="1" thickBot="1">
      <c r="A79" s="2696"/>
      <c r="B79" s="2693"/>
      <c r="C79" s="148" t="s">
        <v>12</v>
      </c>
      <c r="D79" s="123">
        <f>SUM(D72:D78)</f>
        <v>0</v>
      </c>
      <c r="E79" s="123">
        <f>SUM(E72:E78)</f>
        <v>0</v>
      </c>
      <c r="F79" s="123">
        <f>SUM(F72:F78)</f>
        <v>0</v>
      </c>
      <c r="G79" s="149">
        <f>SUM(G72:G78)</f>
        <v>0</v>
      </c>
      <c r="H79" s="150">
        <v>0</v>
      </c>
      <c r="I79" s="151">
        <f t="shared" ref="I79:O79" si="6">SUM(I72:I78)</f>
        <v>0</v>
      </c>
      <c r="J79" s="125">
        <f t="shared" si="6"/>
        <v>0</v>
      </c>
      <c r="K79" s="125">
        <f t="shared" si="6"/>
        <v>0</v>
      </c>
      <c r="L79" s="125">
        <f t="shared" si="6"/>
        <v>0</v>
      </c>
      <c r="M79" s="125">
        <f t="shared" si="6"/>
        <v>0</v>
      </c>
      <c r="N79" s="125">
        <f t="shared" si="6"/>
        <v>0</v>
      </c>
      <c r="O79" s="126">
        <f t="shared" si="6"/>
        <v>0</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1482" t="s">
        <v>49</v>
      </c>
      <c r="B84" s="1483" t="s">
        <v>50</v>
      </c>
      <c r="C84" s="161" t="s">
        <v>8</v>
      </c>
      <c r="D84" s="491" t="s">
        <v>51</v>
      </c>
      <c r="E84" s="163" t="s">
        <v>52</v>
      </c>
      <c r="F84" s="164" t="s">
        <v>53</v>
      </c>
      <c r="G84" s="164" t="s">
        <v>54</v>
      </c>
      <c r="H84" s="164" t="s">
        <v>55</v>
      </c>
      <c r="I84" s="164" t="s">
        <v>56</v>
      </c>
      <c r="J84" s="164" t="s">
        <v>57</v>
      </c>
      <c r="K84" s="165" t="s">
        <v>58</v>
      </c>
    </row>
    <row r="85" spans="1:16" ht="15" customHeight="1">
      <c r="A85" s="2697"/>
      <c r="B85" s="2691"/>
      <c r="C85" s="84">
        <v>2014</v>
      </c>
      <c r="D85" s="166"/>
      <c r="E85" s="167"/>
      <c r="F85" s="34"/>
      <c r="G85" s="34"/>
      <c r="H85" s="34"/>
      <c r="I85" s="34"/>
      <c r="J85" s="34"/>
      <c r="K85" s="37"/>
    </row>
    <row r="86" spans="1:16">
      <c r="A86" s="2698"/>
      <c r="B86" s="2692"/>
      <c r="C86" s="86">
        <v>2015</v>
      </c>
      <c r="D86" s="168"/>
      <c r="E86" s="118"/>
      <c r="F86" s="42"/>
      <c r="G86" s="42"/>
      <c r="H86" s="42"/>
      <c r="I86" s="42"/>
      <c r="J86" s="42"/>
      <c r="K86" s="99"/>
    </row>
    <row r="87" spans="1:16">
      <c r="A87" s="2698"/>
      <c r="B87" s="2692"/>
      <c r="C87" s="86">
        <v>2016</v>
      </c>
      <c r="D87" s="168"/>
      <c r="E87" s="118"/>
      <c r="F87" s="42"/>
      <c r="G87" s="42"/>
      <c r="H87" s="42"/>
      <c r="I87" s="42"/>
      <c r="J87" s="42"/>
      <c r="K87" s="99"/>
    </row>
    <row r="88" spans="1:16">
      <c r="A88" s="2698"/>
      <c r="B88" s="2692"/>
      <c r="C88" s="86">
        <v>2017</v>
      </c>
      <c r="D88" s="168"/>
      <c r="E88" s="118"/>
      <c r="F88" s="42"/>
      <c r="G88" s="42"/>
      <c r="H88" s="42"/>
      <c r="I88" s="42"/>
      <c r="J88" s="42"/>
      <c r="K88" s="99"/>
    </row>
    <row r="89" spans="1:16">
      <c r="A89" s="2698"/>
      <c r="B89" s="2692"/>
      <c r="C89" s="86">
        <v>2018</v>
      </c>
      <c r="D89" s="168"/>
      <c r="E89" s="118"/>
      <c r="F89" s="42"/>
      <c r="G89" s="42"/>
      <c r="H89" s="42"/>
      <c r="I89" s="42"/>
      <c r="J89" s="42"/>
      <c r="K89" s="99"/>
    </row>
    <row r="90" spans="1:16">
      <c r="A90" s="2698"/>
      <c r="B90" s="2692"/>
      <c r="C90" s="86">
        <v>2019</v>
      </c>
      <c r="D90" s="168"/>
      <c r="E90" s="118"/>
      <c r="F90" s="42"/>
      <c r="G90" s="42"/>
      <c r="H90" s="42"/>
      <c r="I90" s="42"/>
      <c r="J90" s="42"/>
      <c r="K90" s="99"/>
    </row>
    <row r="91" spans="1:16">
      <c r="A91" s="2698"/>
      <c r="B91" s="2692"/>
      <c r="C91" s="86">
        <v>2020</v>
      </c>
      <c r="D91" s="168"/>
      <c r="E91" s="118"/>
      <c r="F91" s="42"/>
      <c r="G91" s="42"/>
      <c r="H91" s="42"/>
      <c r="I91" s="42"/>
      <c r="J91" s="42"/>
      <c r="K91" s="99"/>
    </row>
    <row r="92" spans="1:16" ht="18" customHeight="1" thickBot="1">
      <c r="A92" s="2699"/>
      <c r="B92" s="2693"/>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664" t="s">
        <v>60</v>
      </c>
      <c r="B96" s="2666" t="s">
        <v>61</v>
      </c>
      <c r="C96" s="2669" t="s">
        <v>8</v>
      </c>
      <c r="D96" s="2207" t="s">
        <v>62</v>
      </c>
      <c r="E96" s="2208"/>
      <c r="F96" s="174" t="s">
        <v>63</v>
      </c>
      <c r="G96" s="1484"/>
      <c r="H96" s="1484"/>
      <c r="I96" s="1484"/>
      <c r="J96" s="1484"/>
      <c r="K96" s="1484"/>
      <c r="L96" s="1484"/>
      <c r="M96" s="494"/>
      <c r="N96" s="177"/>
      <c r="O96" s="177"/>
      <c r="P96" s="177"/>
    </row>
    <row r="97" spans="1:16" ht="100.5" customHeight="1">
      <c r="A97" s="2041"/>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688"/>
      <c r="B98" s="2691"/>
      <c r="C98" s="112">
        <v>2014</v>
      </c>
      <c r="D98" s="33"/>
      <c r="E98" s="34"/>
      <c r="F98" s="186"/>
      <c r="G98" s="187"/>
      <c r="H98" s="187"/>
      <c r="I98" s="187"/>
      <c r="J98" s="187"/>
      <c r="K98" s="187"/>
      <c r="L98" s="187"/>
      <c r="M98" s="188"/>
      <c r="N98" s="177"/>
      <c r="O98" s="177"/>
      <c r="P98" s="177"/>
    </row>
    <row r="99" spans="1:16" ht="16.5" customHeight="1">
      <c r="A99" s="2689"/>
      <c r="B99" s="2692"/>
      <c r="C99" s="116">
        <v>2015</v>
      </c>
      <c r="D99" s="50"/>
      <c r="E99" s="42"/>
      <c r="F99" s="189"/>
      <c r="G99" s="190"/>
      <c r="H99" s="190"/>
      <c r="I99" s="190"/>
      <c r="J99" s="190"/>
      <c r="K99" s="190"/>
      <c r="L99" s="190"/>
      <c r="M99" s="193"/>
      <c r="N99" s="177"/>
      <c r="O99" s="177"/>
      <c r="P99" s="177"/>
    </row>
    <row r="100" spans="1:16" ht="16.5" customHeight="1">
      <c r="A100" s="2689"/>
      <c r="B100" s="2692"/>
      <c r="C100" s="116">
        <v>2016</v>
      </c>
      <c r="D100" s="50"/>
      <c r="E100" s="42"/>
      <c r="F100" s="189"/>
      <c r="G100" s="190"/>
      <c r="H100" s="190"/>
      <c r="I100" s="190"/>
      <c r="J100" s="190"/>
      <c r="K100" s="190"/>
      <c r="L100" s="190"/>
      <c r="M100" s="193"/>
      <c r="N100" s="177"/>
      <c r="O100" s="177"/>
      <c r="P100" s="177"/>
    </row>
    <row r="101" spans="1:16" ht="16.5" customHeight="1">
      <c r="A101" s="2689"/>
      <c r="B101" s="2692"/>
      <c r="C101" s="116">
        <v>2017</v>
      </c>
      <c r="D101" s="50"/>
      <c r="E101" s="42"/>
      <c r="F101" s="189"/>
      <c r="G101" s="190"/>
      <c r="H101" s="190"/>
      <c r="I101" s="190"/>
      <c r="J101" s="190"/>
      <c r="K101" s="190"/>
      <c r="L101" s="190"/>
      <c r="M101" s="193"/>
      <c r="N101" s="177"/>
      <c r="O101" s="177"/>
      <c r="P101" s="177"/>
    </row>
    <row r="102" spans="1:16" ht="15.75" customHeight="1">
      <c r="A102" s="2689"/>
      <c r="B102" s="2692"/>
      <c r="C102" s="116">
        <v>2018</v>
      </c>
      <c r="D102" s="50"/>
      <c r="E102" s="42"/>
      <c r="F102" s="189"/>
      <c r="G102" s="190"/>
      <c r="H102" s="190"/>
      <c r="I102" s="190"/>
      <c r="J102" s="190"/>
      <c r="K102" s="190"/>
      <c r="L102" s="190"/>
      <c r="M102" s="193"/>
      <c r="N102" s="177"/>
      <c r="O102" s="177"/>
      <c r="P102" s="177"/>
    </row>
    <row r="103" spans="1:16" ht="14.25" customHeight="1">
      <c r="A103" s="2689"/>
      <c r="B103" s="2692"/>
      <c r="C103" s="116">
        <v>2019</v>
      </c>
      <c r="D103" s="50"/>
      <c r="E103" s="42"/>
      <c r="F103" s="189"/>
      <c r="G103" s="190"/>
      <c r="H103" s="190"/>
      <c r="I103" s="190"/>
      <c r="J103" s="190"/>
      <c r="K103" s="190"/>
      <c r="L103" s="190"/>
      <c r="M103" s="193"/>
      <c r="N103" s="177"/>
      <c r="O103" s="177"/>
      <c r="P103" s="177"/>
    </row>
    <row r="104" spans="1:16" ht="14.25" customHeight="1">
      <c r="A104" s="2689"/>
      <c r="B104" s="2692"/>
      <c r="C104" s="116">
        <v>2020</v>
      </c>
      <c r="D104" s="50"/>
      <c r="E104" s="42"/>
      <c r="F104" s="189"/>
      <c r="G104" s="190"/>
      <c r="H104" s="190"/>
      <c r="I104" s="190"/>
      <c r="J104" s="190"/>
      <c r="K104" s="190"/>
      <c r="L104" s="190"/>
      <c r="M104" s="193"/>
      <c r="N104" s="177"/>
      <c r="O104" s="177"/>
      <c r="P104" s="177"/>
    </row>
    <row r="105" spans="1:16" ht="19.5" customHeight="1" thickBot="1">
      <c r="A105" s="2690"/>
      <c r="B105" s="2693"/>
      <c r="C105" s="122" t="s">
        <v>12</v>
      </c>
      <c r="D105" s="151">
        <f>SUM(D98:D104)</f>
        <v>0</v>
      </c>
      <c r="E105" s="125">
        <f t="shared" ref="E105:K105" si="8">SUM(E98:E104)</f>
        <v>0</v>
      </c>
      <c r="F105" s="194">
        <f t="shared" si="8"/>
        <v>0</v>
      </c>
      <c r="G105" s="195">
        <f t="shared" si="8"/>
        <v>0</v>
      </c>
      <c r="H105" s="195">
        <f t="shared" si="8"/>
        <v>0</v>
      </c>
      <c r="I105" s="195">
        <f>SUM(I98:I104)</f>
        <v>0</v>
      </c>
      <c r="J105" s="195">
        <f t="shared" si="8"/>
        <v>0</v>
      </c>
      <c r="K105" s="195">
        <f t="shared" si="8"/>
        <v>0</v>
      </c>
      <c r="L105" s="195">
        <f>SUM(L98:L104)</f>
        <v>0</v>
      </c>
      <c r="M105" s="196">
        <f>SUM(M98:M104)</f>
        <v>0</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664" t="s">
        <v>69</v>
      </c>
      <c r="B107" s="2666" t="s">
        <v>61</v>
      </c>
      <c r="C107" s="2669" t="s">
        <v>8</v>
      </c>
      <c r="D107" s="2670" t="s">
        <v>70</v>
      </c>
      <c r="E107" s="174" t="s">
        <v>71</v>
      </c>
      <c r="F107" s="1484"/>
      <c r="G107" s="1484"/>
      <c r="H107" s="1484"/>
      <c r="I107" s="1484"/>
      <c r="J107" s="1484"/>
      <c r="K107" s="1484"/>
      <c r="L107" s="494"/>
      <c r="M107" s="199"/>
      <c r="N107" s="199"/>
    </row>
    <row r="108" spans="1:16" ht="103.5" customHeight="1">
      <c r="A108" s="2041"/>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688"/>
      <c r="B109" s="2691"/>
      <c r="C109" s="112">
        <v>2014</v>
      </c>
      <c r="D109" s="34"/>
      <c r="E109" s="186"/>
      <c r="F109" s="187"/>
      <c r="G109" s="187"/>
      <c r="H109" s="187"/>
      <c r="I109" s="187"/>
      <c r="J109" s="187"/>
      <c r="K109" s="187"/>
      <c r="L109" s="188"/>
      <c r="M109" s="199"/>
      <c r="N109" s="199"/>
    </row>
    <row r="110" spans="1:16">
      <c r="A110" s="2689"/>
      <c r="B110" s="2692"/>
      <c r="C110" s="116">
        <v>2015</v>
      </c>
      <c r="D110" s="42"/>
      <c r="E110" s="189"/>
      <c r="F110" s="190"/>
      <c r="G110" s="190"/>
      <c r="H110" s="190"/>
      <c r="I110" s="190"/>
      <c r="J110" s="190"/>
      <c r="K110" s="190"/>
      <c r="L110" s="193"/>
      <c r="M110" s="199"/>
      <c r="N110" s="199"/>
    </row>
    <row r="111" spans="1:16">
      <c r="A111" s="2689"/>
      <c r="B111" s="2692"/>
      <c r="C111" s="116">
        <v>2016</v>
      </c>
      <c r="D111" s="42"/>
      <c r="E111" s="189"/>
      <c r="F111" s="190"/>
      <c r="G111" s="190"/>
      <c r="H111" s="190"/>
      <c r="I111" s="190"/>
      <c r="J111" s="190"/>
      <c r="K111" s="190"/>
      <c r="L111" s="193"/>
      <c r="M111" s="199"/>
      <c r="N111" s="199"/>
    </row>
    <row r="112" spans="1:16">
      <c r="A112" s="2689"/>
      <c r="B112" s="2692"/>
      <c r="C112" s="116">
        <v>2017</v>
      </c>
      <c r="D112" s="42"/>
      <c r="E112" s="189"/>
      <c r="F112" s="190"/>
      <c r="G112" s="190"/>
      <c r="H112" s="190"/>
      <c r="I112" s="190"/>
      <c r="J112" s="190"/>
      <c r="K112" s="190"/>
      <c r="L112" s="193"/>
      <c r="M112" s="199"/>
      <c r="N112" s="199"/>
    </row>
    <row r="113" spans="1:14">
      <c r="A113" s="2689"/>
      <c r="B113" s="2692"/>
      <c r="C113" s="116">
        <v>2018</v>
      </c>
      <c r="D113" s="42"/>
      <c r="E113" s="189"/>
      <c r="F113" s="190"/>
      <c r="G113" s="190"/>
      <c r="H113" s="190"/>
      <c r="I113" s="190"/>
      <c r="J113" s="190"/>
      <c r="K113" s="190"/>
      <c r="L113" s="193"/>
      <c r="M113" s="199"/>
      <c r="N113" s="199"/>
    </row>
    <row r="114" spans="1:14">
      <c r="A114" s="2689"/>
      <c r="B114" s="2692"/>
      <c r="C114" s="116">
        <v>2019</v>
      </c>
      <c r="D114" s="42"/>
      <c r="E114" s="189"/>
      <c r="F114" s="190"/>
      <c r="G114" s="190"/>
      <c r="H114" s="190"/>
      <c r="I114" s="190"/>
      <c r="J114" s="190"/>
      <c r="K114" s="190"/>
      <c r="L114" s="193"/>
      <c r="M114" s="199"/>
      <c r="N114" s="199"/>
    </row>
    <row r="115" spans="1:14">
      <c r="A115" s="2689"/>
      <c r="B115" s="2692"/>
      <c r="C115" s="116">
        <v>2020</v>
      </c>
      <c r="D115" s="42"/>
      <c r="E115" s="189"/>
      <c r="F115" s="190"/>
      <c r="G115" s="190"/>
      <c r="H115" s="190"/>
      <c r="I115" s="190"/>
      <c r="J115" s="190"/>
      <c r="K115" s="190"/>
      <c r="L115" s="193"/>
      <c r="M115" s="199"/>
      <c r="N115" s="199"/>
    </row>
    <row r="116" spans="1:14" ht="25.5" customHeight="1" thickBot="1">
      <c r="A116" s="2690"/>
      <c r="B116" s="2693"/>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664" t="s">
        <v>72</v>
      </c>
      <c r="B118" s="2666" t="s">
        <v>61</v>
      </c>
      <c r="C118" s="2669" t="s">
        <v>8</v>
      </c>
      <c r="D118" s="2670" t="s">
        <v>73</v>
      </c>
      <c r="E118" s="174" t="s">
        <v>71</v>
      </c>
      <c r="F118" s="1484"/>
      <c r="G118" s="1484"/>
      <c r="H118" s="1484"/>
      <c r="I118" s="1484"/>
      <c r="J118" s="1484"/>
      <c r="K118" s="1484"/>
      <c r="L118" s="494"/>
      <c r="M118" s="199"/>
      <c r="N118" s="199"/>
    </row>
    <row r="119" spans="1:14" ht="120.75" customHeight="1">
      <c r="A119" s="2041"/>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689"/>
      <c r="B120" s="2692"/>
      <c r="C120" s="116">
        <v>2015</v>
      </c>
      <c r="D120" s="42"/>
      <c r="E120" s="189"/>
      <c r="F120" s="190"/>
      <c r="G120" s="190"/>
      <c r="H120" s="190"/>
      <c r="I120" s="190"/>
      <c r="J120" s="190"/>
      <c r="K120" s="190"/>
      <c r="L120" s="193"/>
      <c r="M120" s="199"/>
      <c r="N120" s="199"/>
    </row>
    <row r="121" spans="1:14">
      <c r="A121" s="2689"/>
      <c r="B121" s="2692"/>
      <c r="C121" s="116">
        <v>2016</v>
      </c>
      <c r="D121" s="42"/>
      <c r="E121" s="189"/>
      <c r="F121" s="190"/>
      <c r="G121" s="190"/>
      <c r="H121" s="190"/>
      <c r="I121" s="190"/>
      <c r="J121" s="190"/>
      <c r="K121" s="190"/>
      <c r="L121" s="193"/>
      <c r="M121" s="199"/>
      <c r="N121" s="199"/>
    </row>
    <row r="122" spans="1:14">
      <c r="A122" s="2689"/>
      <c r="B122" s="2692"/>
      <c r="C122" s="116">
        <v>2017</v>
      </c>
      <c r="D122" s="42"/>
      <c r="E122" s="189"/>
      <c r="F122" s="190"/>
      <c r="G122" s="190"/>
      <c r="H122" s="190"/>
      <c r="I122" s="190"/>
      <c r="J122" s="190"/>
      <c r="K122" s="190"/>
      <c r="L122" s="193"/>
      <c r="M122" s="199"/>
      <c r="N122" s="199"/>
    </row>
    <row r="123" spans="1:14">
      <c r="A123" s="2689"/>
      <c r="B123" s="2692"/>
      <c r="C123" s="116">
        <v>2018</v>
      </c>
      <c r="D123" s="42"/>
      <c r="E123" s="189"/>
      <c r="F123" s="190"/>
      <c r="G123" s="190"/>
      <c r="H123" s="190"/>
      <c r="I123" s="190"/>
      <c r="J123" s="190"/>
      <c r="K123" s="190"/>
      <c r="L123" s="193"/>
      <c r="M123" s="199"/>
      <c r="N123" s="199"/>
    </row>
    <row r="124" spans="1:14">
      <c r="A124" s="2689"/>
      <c r="B124" s="2692"/>
      <c r="C124" s="116">
        <v>2019</v>
      </c>
      <c r="D124" s="42"/>
      <c r="E124" s="189"/>
      <c r="F124" s="190"/>
      <c r="G124" s="190"/>
      <c r="H124" s="190"/>
      <c r="I124" s="190"/>
      <c r="J124" s="190"/>
      <c r="K124" s="190"/>
      <c r="L124" s="193"/>
      <c r="M124" s="199"/>
      <c r="N124" s="199"/>
    </row>
    <row r="125" spans="1:14">
      <c r="A125" s="2689"/>
      <c r="B125" s="2692"/>
      <c r="C125" s="116">
        <v>2020</v>
      </c>
      <c r="D125" s="42"/>
      <c r="E125" s="189"/>
      <c r="F125" s="190"/>
      <c r="G125" s="190"/>
      <c r="H125" s="190"/>
      <c r="I125" s="190"/>
      <c r="J125" s="190"/>
      <c r="K125" s="190"/>
      <c r="L125" s="193"/>
      <c r="M125" s="199"/>
      <c r="N125" s="199"/>
    </row>
    <row r="126" spans="1:14" ht="15.75" thickBot="1">
      <c r="A126" s="2690"/>
      <c r="B126" s="2693"/>
      <c r="C126" s="122" t="s">
        <v>12</v>
      </c>
      <c r="D126" s="125">
        <f t="shared" ref="D126:I126" si="10">SUM(D120:D125)</f>
        <v>0</v>
      </c>
      <c r="E126" s="194">
        <f t="shared" si="10"/>
        <v>0</v>
      </c>
      <c r="F126" s="195">
        <f t="shared" si="10"/>
        <v>0</v>
      </c>
      <c r="G126" s="195">
        <f t="shared" si="10"/>
        <v>0</v>
      </c>
      <c r="H126" s="195">
        <f t="shared" si="10"/>
        <v>0</v>
      </c>
      <c r="I126" s="195">
        <f t="shared" si="10"/>
        <v>0</v>
      </c>
      <c r="J126" s="195"/>
      <c r="K126" s="195">
        <f>SUM(K120:K125)</f>
        <v>0</v>
      </c>
      <c r="L126" s="196">
        <f>SUM(L120:L125)</f>
        <v>0</v>
      </c>
      <c r="M126" s="199"/>
      <c r="N126" s="199"/>
    </row>
    <row r="127" spans="1:14">
      <c r="A127" s="1661"/>
      <c r="B127" s="1662"/>
      <c r="C127" s="1659"/>
      <c r="D127" s="38"/>
      <c r="E127" s="213"/>
      <c r="F127" s="213"/>
      <c r="G127" s="213"/>
      <c r="H127" s="213"/>
      <c r="I127" s="213"/>
      <c r="J127" s="213"/>
      <c r="K127" s="213"/>
      <c r="L127" s="213"/>
      <c r="M127" s="199"/>
      <c r="N127" s="199"/>
    </row>
    <row r="128" spans="1:14" ht="15.75" thickBot="1">
      <c r="A128" s="197"/>
      <c r="B128" s="197"/>
      <c r="C128" s="198"/>
      <c r="D128" s="8"/>
      <c r="E128" s="8"/>
      <c r="H128" s="199"/>
      <c r="I128" s="199"/>
      <c r="J128" s="199"/>
      <c r="K128" s="199"/>
      <c r="L128" s="199"/>
      <c r="M128" s="199"/>
      <c r="N128" s="199"/>
    </row>
    <row r="129" spans="1:16" ht="15" customHeight="1">
      <c r="A129" s="2664" t="s">
        <v>74</v>
      </c>
      <c r="B129" s="2666" t="s">
        <v>61</v>
      </c>
      <c r="C129" s="1485" t="s">
        <v>8</v>
      </c>
      <c r="D129" s="496" t="s">
        <v>75</v>
      </c>
      <c r="E129" s="1486"/>
      <c r="F129" s="1486"/>
      <c r="G129" s="498"/>
      <c r="H129" s="199"/>
      <c r="I129" s="199"/>
      <c r="J129" s="199"/>
      <c r="K129" s="199"/>
      <c r="L129" s="199"/>
      <c r="M129" s="199"/>
      <c r="N129" s="199"/>
    </row>
    <row r="130" spans="1:16" ht="77.25" customHeight="1">
      <c r="A130" s="2041"/>
      <c r="B130" s="2043"/>
      <c r="C130" s="1432"/>
      <c r="D130" s="178" t="s">
        <v>76</v>
      </c>
      <c r="E130" s="207" t="s">
        <v>77</v>
      </c>
      <c r="F130" s="179" t="s">
        <v>78</v>
      </c>
      <c r="G130" s="208" t="s">
        <v>12</v>
      </c>
      <c r="H130" s="199"/>
      <c r="I130" s="199"/>
      <c r="J130" s="199"/>
      <c r="K130" s="199"/>
      <c r="L130" s="199"/>
      <c r="M130" s="199"/>
      <c r="N130" s="199"/>
    </row>
    <row r="131" spans="1:16" ht="15" customHeight="1">
      <c r="A131" s="2694"/>
      <c r="B131" s="2196"/>
      <c r="C131" s="112">
        <v>2015</v>
      </c>
      <c r="D131" s="33"/>
      <c r="E131" s="34"/>
      <c r="F131" s="34"/>
      <c r="G131" s="209">
        <f t="shared" ref="G131:G136" si="11">SUM(D131:F131)</f>
        <v>0</v>
      </c>
      <c r="H131" s="199"/>
      <c r="I131" s="199"/>
      <c r="J131" s="199"/>
      <c r="K131" s="199"/>
      <c r="L131" s="199"/>
      <c r="M131" s="199"/>
      <c r="N131" s="199"/>
    </row>
    <row r="132" spans="1:16">
      <c r="A132" s="2695"/>
      <c r="B132" s="2168"/>
      <c r="C132" s="116">
        <v>2016</v>
      </c>
      <c r="D132" s="50"/>
      <c r="E132" s="42"/>
      <c r="F132" s="42"/>
      <c r="G132" s="209">
        <f t="shared" si="11"/>
        <v>0</v>
      </c>
      <c r="H132" s="199"/>
      <c r="I132" s="199"/>
      <c r="J132" s="199"/>
      <c r="K132" s="199"/>
      <c r="L132" s="199"/>
      <c r="M132" s="199"/>
      <c r="N132" s="199"/>
    </row>
    <row r="133" spans="1:16">
      <c r="A133" s="2695"/>
      <c r="B133" s="2168"/>
      <c r="C133" s="116">
        <v>2017</v>
      </c>
      <c r="D133" s="50"/>
      <c r="E133" s="42"/>
      <c r="F133" s="42"/>
      <c r="G133" s="209">
        <f t="shared" si="11"/>
        <v>0</v>
      </c>
      <c r="H133" s="199"/>
      <c r="I133" s="199"/>
      <c r="J133" s="199"/>
      <c r="K133" s="199"/>
      <c r="L133" s="199"/>
      <c r="M133" s="199"/>
      <c r="N133" s="199"/>
    </row>
    <row r="134" spans="1:16">
      <c r="A134" s="2695"/>
      <c r="B134" s="2168"/>
      <c r="C134" s="116">
        <v>2018</v>
      </c>
      <c r="D134" s="50"/>
      <c r="E134" s="42"/>
      <c r="F134" s="42"/>
      <c r="G134" s="209">
        <f t="shared" si="11"/>
        <v>0</v>
      </c>
      <c r="H134" s="199"/>
      <c r="I134" s="199"/>
      <c r="J134" s="199"/>
      <c r="K134" s="199"/>
      <c r="L134" s="199"/>
      <c r="M134" s="199"/>
      <c r="N134" s="199"/>
    </row>
    <row r="135" spans="1:16">
      <c r="A135" s="2695"/>
      <c r="B135" s="2168"/>
      <c r="C135" s="116">
        <v>2019</v>
      </c>
      <c r="D135" s="50"/>
      <c r="E135" s="42"/>
      <c r="F135" s="42"/>
      <c r="G135" s="209">
        <f t="shared" si="11"/>
        <v>0</v>
      </c>
      <c r="H135" s="199"/>
      <c r="I135" s="199"/>
      <c r="J135" s="199"/>
      <c r="K135" s="199"/>
      <c r="L135" s="199"/>
      <c r="M135" s="199"/>
      <c r="N135" s="199"/>
    </row>
    <row r="136" spans="1:16">
      <c r="A136" s="2695"/>
      <c r="B136" s="2168"/>
      <c r="C136" s="116">
        <v>2020</v>
      </c>
      <c r="D136" s="50"/>
      <c r="E136" s="42"/>
      <c r="F136" s="42"/>
      <c r="G136" s="209">
        <f t="shared" si="11"/>
        <v>0</v>
      </c>
      <c r="H136" s="199"/>
      <c r="I136" s="199"/>
      <c r="J136" s="199"/>
      <c r="K136" s="199"/>
      <c r="L136" s="199"/>
      <c r="M136" s="199"/>
      <c r="N136" s="199"/>
    </row>
    <row r="137" spans="1:16" ht="17.25" customHeight="1" thickBot="1">
      <c r="A137" s="2696"/>
      <c r="B137" s="2169"/>
      <c r="C137" s="122" t="s">
        <v>12</v>
      </c>
      <c r="D137" s="151">
        <f>SUM(D131:D136)</f>
        <v>0</v>
      </c>
      <c r="E137" s="151">
        <f t="shared" ref="E137:F137" si="12">SUM(E131:E136)</f>
        <v>0</v>
      </c>
      <c r="F137" s="151">
        <f t="shared" si="12"/>
        <v>0</v>
      </c>
      <c r="G137" s="210">
        <f>SUM(G131:G136)</f>
        <v>0</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667" t="s">
        <v>80</v>
      </c>
      <c r="B142" s="2657" t="s">
        <v>61</v>
      </c>
      <c r="C142" s="2659" t="s">
        <v>8</v>
      </c>
      <c r="D142" s="1487" t="s">
        <v>81</v>
      </c>
      <c r="E142" s="1488"/>
      <c r="F142" s="1488"/>
      <c r="G142" s="1488"/>
      <c r="H142" s="1488"/>
      <c r="I142" s="1489"/>
      <c r="J142" s="2653" t="s">
        <v>82</v>
      </c>
      <c r="K142" s="2654"/>
      <c r="L142" s="2654"/>
      <c r="M142" s="2654"/>
      <c r="N142" s="2655"/>
      <c r="O142" s="177"/>
      <c r="P142" s="177"/>
    </row>
    <row r="143" spans="1:16" ht="113.25" customHeight="1">
      <c r="A143" s="2045"/>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688"/>
      <c r="B144" s="2691"/>
      <c r="C144" s="112">
        <v>2014</v>
      </c>
      <c r="D144" s="33"/>
      <c r="E144" s="33"/>
      <c r="F144" s="34"/>
      <c r="G144" s="187"/>
      <c r="H144" s="187"/>
      <c r="I144" s="227">
        <f>D144+F144+G144+H144</f>
        <v>0</v>
      </c>
      <c r="J144" s="228"/>
      <c r="K144" s="229"/>
      <c r="L144" s="228"/>
      <c r="M144" s="229"/>
      <c r="N144" s="230"/>
      <c r="O144" s="177"/>
      <c r="P144" s="177"/>
    </row>
    <row r="145" spans="1:16" ht="19.5" customHeight="1">
      <c r="A145" s="2689"/>
      <c r="B145" s="2692"/>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689"/>
      <c r="B146" s="2692"/>
      <c r="C146" s="116">
        <v>2016</v>
      </c>
      <c r="D146" s="50"/>
      <c r="E146" s="50"/>
      <c r="F146" s="42"/>
      <c r="G146" s="190"/>
      <c r="H146" s="190"/>
      <c r="I146" s="227">
        <f t="shared" si="13"/>
        <v>0</v>
      </c>
      <c r="J146" s="231"/>
      <c r="K146" s="232"/>
      <c r="L146" s="231"/>
      <c r="M146" s="232"/>
      <c r="N146" s="233"/>
      <c r="O146" s="177"/>
      <c r="P146" s="177"/>
    </row>
    <row r="147" spans="1:16" ht="17.25" customHeight="1">
      <c r="A147" s="2689"/>
      <c r="B147" s="2692"/>
      <c r="C147" s="116">
        <v>2017</v>
      </c>
      <c r="D147" s="50"/>
      <c r="E147" s="50"/>
      <c r="F147" s="42"/>
      <c r="G147" s="190"/>
      <c r="H147" s="190"/>
      <c r="I147" s="227">
        <f t="shared" si="13"/>
        <v>0</v>
      </c>
      <c r="J147" s="231"/>
      <c r="K147" s="232"/>
      <c r="L147" s="231"/>
      <c r="M147" s="232"/>
      <c r="N147" s="233"/>
      <c r="O147" s="177"/>
      <c r="P147" s="177"/>
    </row>
    <row r="148" spans="1:16" ht="19.5" customHeight="1">
      <c r="A148" s="2689"/>
      <c r="B148" s="2692"/>
      <c r="C148" s="116">
        <v>2018</v>
      </c>
      <c r="D148" s="50"/>
      <c r="E148" s="50"/>
      <c r="F148" s="42"/>
      <c r="G148" s="190"/>
      <c r="H148" s="190"/>
      <c r="I148" s="227">
        <f t="shared" si="13"/>
        <v>0</v>
      </c>
      <c r="J148" s="231"/>
      <c r="K148" s="232"/>
      <c r="L148" s="231"/>
      <c r="M148" s="232"/>
      <c r="N148" s="233"/>
      <c r="O148" s="177"/>
      <c r="P148" s="177"/>
    </row>
    <row r="149" spans="1:16" ht="19.5" customHeight="1">
      <c r="A149" s="2689"/>
      <c r="B149" s="2692"/>
      <c r="C149" s="116">
        <v>2019</v>
      </c>
      <c r="D149" s="50"/>
      <c r="E149" s="50"/>
      <c r="F149" s="42"/>
      <c r="G149" s="190"/>
      <c r="H149" s="190"/>
      <c r="I149" s="227">
        <f t="shared" si="13"/>
        <v>0</v>
      </c>
      <c r="J149" s="231"/>
      <c r="K149" s="232"/>
      <c r="L149" s="231"/>
      <c r="M149" s="232"/>
      <c r="N149" s="233"/>
      <c r="O149" s="177"/>
      <c r="P149" s="177"/>
    </row>
    <row r="150" spans="1:16" ht="18.75" customHeight="1">
      <c r="A150" s="2689"/>
      <c r="B150" s="2692"/>
      <c r="C150" s="116">
        <v>2020</v>
      </c>
      <c r="D150" s="50"/>
      <c r="E150" s="50"/>
      <c r="F150" s="42"/>
      <c r="G150" s="190"/>
      <c r="H150" s="190"/>
      <c r="I150" s="227">
        <f t="shared" si="13"/>
        <v>0</v>
      </c>
      <c r="J150" s="231"/>
      <c r="K150" s="232"/>
      <c r="L150" s="231"/>
      <c r="M150" s="232"/>
      <c r="N150" s="233"/>
      <c r="O150" s="177"/>
      <c r="P150" s="177"/>
    </row>
    <row r="151" spans="1:16" ht="18" customHeight="1" thickBot="1">
      <c r="A151" s="2690"/>
      <c r="B151" s="2693"/>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656" t="s">
        <v>93</v>
      </c>
      <c r="B153" s="2657" t="s">
        <v>61</v>
      </c>
      <c r="C153" s="2658" t="s">
        <v>8</v>
      </c>
      <c r="D153" s="1490" t="s">
        <v>94</v>
      </c>
      <c r="E153" s="1490"/>
      <c r="F153" s="503"/>
      <c r="G153" s="503"/>
      <c r="H153" s="1490" t="s">
        <v>95</v>
      </c>
      <c r="I153" s="1490"/>
      <c r="J153" s="504"/>
      <c r="K153" s="31"/>
      <c r="L153" s="31"/>
      <c r="M153" s="31"/>
      <c r="N153" s="31"/>
      <c r="O153" s="177"/>
      <c r="P153" s="177"/>
    </row>
    <row r="154" spans="1:16" ht="49.5" customHeight="1">
      <c r="A154" s="2556"/>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688"/>
      <c r="B155" s="2691"/>
      <c r="C155" s="247">
        <v>2014</v>
      </c>
      <c r="D155" s="228"/>
      <c r="E155" s="187"/>
      <c r="F155" s="229"/>
      <c r="G155" s="227">
        <f>SUM(D155:F155)</f>
        <v>0</v>
      </c>
      <c r="H155" s="228"/>
      <c r="I155" s="187"/>
      <c r="J155" s="188"/>
      <c r="O155" s="177"/>
      <c r="P155" s="177"/>
    </row>
    <row r="156" spans="1:16" ht="19.5" customHeight="1">
      <c r="A156" s="2689"/>
      <c r="B156" s="2692"/>
      <c r="C156" s="248">
        <v>2015</v>
      </c>
      <c r="D156" s="231"/>
      <c r="E156" s="190"/>
      <c r="F156" s="232"/>
      <c r="G156" s="227">
        <f t="shared" ref="G156:G161" si="15">SUM(D156:F156)</f>
        <v>0</v>
      </c>
      <c r="H156" s="231"/>
      <c r="I156" s="190"/>
      <c r="J156" s="193"/>
      <c r="O156" s="177"/>
      <c r="P156" s="177"/>
    </row>
    <row r="157" spans="1:16" ht="17.25" customHeight="1">
      <c r="A157" s="2689"/>
      <c r="B157" s="2692"/>
      <c r="C157" s="248">
        <v>2016</v>
      </c>
      <c r="D157" s="231"/>
      <c r="E157" s="190"/>
      <c r="F157" s="232"/>
      <c r="G157" s="227">
        <f t="shared" si="15"/>
        <v>0</v>
      </c>
      <c r="H157" s="231"/>
      <c r="I157" s="190"/>
      <c r="J157" s="193"/>
      <c r="O157" s="177"/>
      <c r="P157" s="177"/>
    </row>
    <row r="158" spans="1:16" ht="15" customHeight="1">
      <c r="A158" s="2689"/>
      <c r="B158" s="2692"/>
      <c r="C158" s="248">
        <v>2017</v>
      </c>
      <c r="D158" s="231"/>
      <c r="E158" s="190"/>
      <c r="F158" s="232"/>
      <c r="G158" s="227">
        <f t="shared" si="15"/>
        <v>0</v>
      </c>
      <c r="H158" s="231"/>
      <c r="I158" s="190"/>
      <c r="J158" s="193"/>
      <c r="O158" s="177"/>
      <c r="P158" s="177"/>
    </row>
    <row r="159" spans="1:16" ht="19.5" customHeight="1">
      <c r="A159" s="2689"/>
      <c r="B159" s="2692"/>
      <c r="C159" s="248">
        <v>2018</v>
      </c>
      <c r="D159" s="231"/>
      <c r="E159" s="190"/>
      <c r="F159" s="232"/>
      <c r="G159" s="227">
        <f t="shared" si="15"/>
        <v>0</v>
      </c>
      <c r="H159" s="231"/>
      <c r="I159" s="190"/>
      <c r="J159" s="193"/>
      <c r="O159" s="177"/>
      <c r="P159" s="177"/>
    </row>
    <row r="160" spans="1:16" ht="15" customHeight="1">
      <c r="A160" s="2689"/>
      <c r="B160" s="2692"/>
      <c r="C160" s="248">
        <v>2019</v>
      </c>
      <c r="D160" s="231"/>
      <c r="E160" s="190"/>
      <c r="F160" s="232"/>
      <c r="G160" s="227">
        <f t="shared" si="15"/>
        <v>0</v>
      </c>
      <c r="H160" s="231"/>
      <c r="I160" s="190"/>
      <c r="J160" s="193"/>
      <c r="O160" s="177"/>
      <c r="P160" s="177"/>
    </row>
    <row r="161" spans="1:18" ht="17.25" customHeight="1">
      <c r="A161" s="2689"/>
      <c r="B161" s="2692"/>
      <c r="C161" s="248">
        <v>2020</v>
      </c>
      <c r="D161" s="231"/>
      <c r="E161" s="190"/>
      <c r="F161" s="232"/>
      <c r="G161" s="227">
        <f t="shared" si="15"/>
        <v>0</v>
      </c>
      <c r="H161" s="231"/>
      <c r="I161" s="190"/>
      <c r="J161" s="193"/>
      <c r="O161" s="177"/>
      <c r="P161" s="177"/>
    </row>
    <row r="162" spans="1:18" ht="15.75" thickBot="1">
      <c r="A162" s="2690"/>
      <c r="B162" s="2693"/>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1491"/>
      <c r="F163" s="177"/>
      <c r="G163" s="177"/>
      <c r="H163" s="177"/>
      <c r="I163" s="177"/>
      <c r="J163" s="255"/>
      <c r="K163" s="256"/>
    </row>
    <row r="164" spans="1:18" ht="95.25" customHeight="1">
      <c r="A164" s="257" t="s">
        <v>102</v>
      </c>
      <c r="B164" s="258" t="s">
        <v>103</v>
      </c>
      <c r="C164" s="1447" t="s">
        <v>8</v>
      </c>
      <c r="D164" s="260" t="s">
        <v>104</v>
      </c>
      <c r="E164" s="260" t="s">
        <v>105</v>
      </c>
      <c r="F164" s="1492" t="s">
        <v>106</v>
      </c>
      <c r="G164" s="260" t="s">
        <v>107</v>
      </c>
      <c r="H164" s="260" t="s">
        <v>108</v>
      </c>
      <c r="I164" s="262" t="s">
        <v>109</v>
      </c>
      <c r="J164" s="263" t="s">
        <v>110</v>
      </c>
      <c r="K164" s="263" t="s">
        <v>111</v>
      </c>
      <c r="L164" s="1371"/>
    </row>
    <row r="165" spans="1:18" ht="15.75" customHeight="1">
      <c r="A165" s="2682"/>
      <c r="B165" s="2685"/>
      <c r="C165" s="265">
        <v>2014</v>
      </c>
      <c r="D165" s="187"/>
      <c r="E165" s="187"/>
      <c r="F165" s="187"/>
      <c r="G165" s="187"/>
      <c r="H165" s="187"/>
      <c r="I165" s="188"/>
      <c r="J165" s="266">
        <f>SUM(D165,F165,H165)</f>
        <v>0</v>
      </c>
      <c r="K165" s="267">
        <f>SUM(E165,G165,I165)</f>
        <v>0</v>
      </c>
      <c r="L165" s="1371"/>
    </row>
    <row r="166" spans="1:18">
      <c r="A166" s="2683"/>
      <c r="B166" s="2686"/>
      <c r="C166" s="268">
        <v>2015</v>
      </c>
      <c r="D166" s="269"/>
      <c r="E166" s="269"/>
      <c r="F166" s="269"/>
      <c r="G166" s="269"/>
      <c r="H166" s="269"/>
      <c r="I166" s="270"/>
      <c r="J166" s="271">
        <f t="shared" ref="J166:K171" si="17">SUM(D166,F166,H166)</f>
        <v>0</v>
      </c>
      <c r="K166" s="272">
        <f t="shared" si="17"/>
        <v>0</v>
      </c>
      <c r="L166" s="1371"/>
    </row>
    <row r="167" spans="1:18">
      <c r="A167" s="2683"/>
      <c r="B167" s="2686"/>
      <c r="C167" s="268">
        <v>2016</v>
      </c>
      <c r="D167" s="269"/>
      <c r="E167" s="269"/>
      <c r="F167" s="269"/>
      <c r="G167" s="269"/>
      <c r="H167" s="269"/>
      <c r="I167" s="270"/>
      <c r="J167" s="271">
        <f t="shared" si="17"/>
        <v>0</v>
      </c>
      <c r="K167" s="272">
        <f t="shared" si="17"/>
        <v>0</v>
      </c>
    </row>
    <row r="168" spans="1:18">
      <c r="A168" s="2683"/>
      <c r="B168" s="2686"/>
      <c r="C168" s="268">
        <v>2017</v>
      </c>
      <c r="D168" s="269"/>
      <c r="E168" s="177"/>
      <c r="F168" s="269"/>
      <c r="G168" s="269"/>
      <c r="H168" s="269"/>
      <c r="I168" s="270"/>
      <c r="J168" s="271">
        <f t="shared" si="17"/>
        <v>0</v>
      </c>
      <c r="K168" s="272">
        <f t="shared" si="17"/>
        <v>0</v>
      </c>
    </row>
    <row r="169" spans="1:18">
      <c r="A169" s="2683"/>
      <c r="B169" s="2686"/>
      <c r="C169" s="273">
        <v>2018</v>
      </c>
      <c r="D169" s="269"/>
      <c r="E169" s="269"/>
      <c r="F169" s="269"/>
      <c r="G169" s="274"/>
      <c r="H169" s="269"/>
      <c r="I169" s="270"/>
      <c r="J169" s="271">
        <f t="shared" si="17"/>
        <v>0</v>
      </c>
      <c r="K169" s="272">
        <f t="shared" si="17"/>
        <v>0</v>
      </c>
      <c r="L169" s="1371"/>
    </row>
    <row r="170" spans="1:18">
      <c r="A170" s="2683"/>
      <c r="B170" s="2686"/>
      <c r="C170" s="268">
        <v>2019</v>
      </c>
      <c r="D170" s="177"/>
      <c r="E170" s="269"/>
      <c r="F170" s="269"/>
      <c r="G170" s="269"/>
      <c r="H170" s="274"/>
      <c r="I170" s="270"/>
      <c r="J170" s="271">
        <f t="shared" si="17"/>
        <v>0</v>
      </c>
      <c r="K170" s="272">
        <f t="shared" si="17"/>
        <v>0</v>
      </c>
      <c r="L170" s="1371"/>
    </row>
    <row r="171" spans="1:18">
      <c r="A171" s="2683"/>
      <c r="B171" s="2686"/>
      <c r="C171" s="273">
        <v>2020</v>
      </c>
      <c r="D171" s="269"/>
      <c r="E171" s="269"/>
      <c r="F171" s="269"/>
      <c r="G171" s="269"/>
      <c r="H171" s="269"/>
      <c r="I171" s="270"/>
      <c r="J171" s="271">
        <f t="shared" si="17"/>
        <v>0</v>
      </c>
      <c r="K171" s="272">
        <f t="shared" si="17"/>
        <v>0</v>
      </c>
      <c r="L171" s="1371"/>
    </row>
    <row r="172" spans="1:18" ht="41.25" customHeight="1" thickBot="1">
      <c r="A172" s="2684"/>
      <c r="B172" s="2687"/>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1371"/>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660" t="s">
        <v>113</v>
      </c>
      <c r="B176" s="2651" t="s">
        <v>114</v>
      </c>
      <c r="C176" s="2662" t="s">
        <v>8</v>
      </c>
      <c r="D176" s="510" t="s">
        <v>115</v>
      </c>
      <c r="E176" s="1495"/>
      <c r="F176" s="1495"/>
      <c r="G176" s="512"/>
      <c r="H176" s="513"/>
      <c r="I176" s="2021" t="s">
        <v>116</v>
      </c>
      <c r="J176" s="2663"/>
      <c r="K176" s="2663"/>
      <c r="L176" s="2663"/>
      <c r="M176" s="2663"/>
      <c r="N176" s="2663"/>
      <c r="O176" s="2233"/>
    </row>
    <row r="177" spans="1:15" s="31" customFormat="1" ht="129.75" customHeight="1">
      <c r="A177" s="2018"/>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679"/>
      <c r="B178" s="2302" t="s">
        <v>427</v>
      </c>
      <c r="C178" s="112">
        <v>2014</v>
      </c>
      <c r="D178" s="33"/>
      <c r="E178" s="34"/>
      <c r="F178" s="34"/>
      <c r="G178" s="293">
        <f>SUM(D178:F178)</f>
        <v>0</v>
      </c>
      <c r="H178" s="167"/>
      <c r="I178" s="167"/>
      <c r="J178" s="34"/>
      <c r="K178" s="34"/>
      <c r="L178" s="34"/>
      <c r="M178" s="34"/>
      <c r="N178" s="34"/>
      <c r="O178" s="37"/>
    </row>
    <row r="179" spans="1:15">
      <c r="A179" s="2680"/>
      <c r="B179" s="2303"/>
      <c r="C179" s="116">
        <v>2015</v>
      </c>
      <c r="D179" s="50"/>
      <c r="E179" s="42"/>
      <c r="F179" s="42">
        <v>2</v>
      </c>
      <c r="G179" s="293">
        <f t="shared" ref="G179:G184" si="19">SUM(D179:F179)</f>
        <v>2</v>
      </c>
      <c r="H179" s="294">
        <v>2</v>
      </c>
      <c r="I179" s="118">
        <v>2</v>
      </c>
      <c r="J179" s="42"/>
      <c r="K179" s="42"/>
      <c r="L179" s="42"/>
      <c r="M179" s="42"/>
      <c r="N179" s="42"/>
      <c r="O179" s="99"/>
    </row>
    <row r="180" spans="1:15">
      <c r="A180" s="2680"/>
      <c r="B180" s="2303"/>
      <c r="C180" s="116">
        <v>2016</v>
      </c>
      <c r="D180" s="50">
        <v>1</v>
      </c>
      <c r="E180" s="42">
        <f>2+1</f>
        <v>3</v>
      </c>
      <c r="F180" s="342">
        <v>39</v>
      </c>
      <c r="G180" s="293">
        <f t="shared" si="19"/>
        <v>43</v>
      </c>
      <c r="H180" s="294">
        <f>6+2+39+4</f>
        <v>51</v>
      </c>
      <c r="I180" s="118">
        <f>2+1+39+1</f>
        <v>43</v>
      </c>
      <c r="J180" s="42"/>
      <c r="K180" s="42"/>
      <c r="L180" s="42"/>
      <c r="M180" s="42"/>
      <c r="N180" s="42"/>
      <c r="O180" s="99"/>
    </row>
    <row r="181" spans="1:15">
      <c r="A181" s="2680"/>
      <c r="B181" s="2303"/>
      <c r="C181" s="116">
        <v>2017</v>
      </c>
      <c r="D181" s="50"/>
      <c r="E181" s="42"/>
      <c r="F181" s="42"/>
      <c r="G181" s="293">
        <f t="shared" si="19"/>
        <v>0</v>
      </c>
      <c r="H181" s="294"/>
      <c r="I181" s="118"/>
      <c r="J181" s="42"/>
      <c r="K181" s="42"/>
      <c r="L181" s="42"/>
      <c r="M181" s="42"/>
      <c r="N181" s="42"/>
      <c r="O181" s="99"/>
    </row>
    <row r="182" spans="1:15">
      <c r="A182" s="2680"/>
      <c r="B182" s="2303"/>
      <c r="C182" s="116">
        <v>2018</v>
      </c>
      <c r="D182" s="50"/>
      <c r="E182" s="42"/>
      <c r="F182" s="42"/>
      <c r="G182" s="293">
        <f t="shared" si="19"/>
        <v>0</v>
      </c>
      <c r="H182" s="294"/>
      <c r="I182" s="118"/>
      <c r="J182" s="42"/>
      <c r="K182" s="42"/>
      <c r="L182" s="42"/>
      <c r="M182" s="42"/>
      <c r="N182" s="42"/>
      <c r="O182" s="99"/>
    </row>
    <row r="183" spans="1:15">
      <c r="A183" s="2680"/>
      <c r="B183" s="2303"/>
      <c r="C183" s="116">
        <v>2019</v>
      </c>
      <c r="D183" s="50"/>
      <c r="E183" s="42"/>
      <c r="F183" s="42"/>
      <c r="G183" s="293">
        <f t="shared" si="19"/>
        <v>0</v>
      </c>
      <c r="H183" s="294"/>
      <c r="I183" s="118"/>
      <c r="J183" s="42"/>
      <c r="K183" s="42"/>
      <c r="L183" s="42"/>
      <c r="M183" s="42"/>
      <c r="N183" s="42"/>
      <c r="O183" s="99"/>
    </row>
    <row r="184" spans="1:15">
      <c r="A184" s="2680"/>
      <c r="B184" s="2303"/>
      <c r="C184" s="116">
        <v>2020</v>
      </c>
      <c r="D184" s="50"/>
      <c r="E184" s="42"/>
      <c r="F184" s="42"/>
      <c r="G184" s="293">
        <f t="shared" si="19"/>
        <v>0</v>
      </c>
      <c r="H184" s="294"/>
      <c r="I184" s="118"/>
      <c r="J184" s="42"/>
      <c r="K184" s="42"/>
      <c r="L184" s="42"/>
      <c r="M184" s="42"/>
      <c r="N184" s="42"/>
      <c r="O184" s="99"/>
    </row>
    <row r="185" spans="1:15" ht="127.5" customHeight="1" thickBot="1">
      <c r="A185" s="2681"/>
      <c r="B185" s="2304"/>
      <c r="C185" s="122" t="s">
        <v>12</v>
      </c>
      <c r="D185" s="151">
        <f>SUM(D178:D184)</f>
        <v>1</v>
      </c>
      <c r="E185" s="125">
        <f>SUM(E178:E184)</f>
        <v>3</v>
      </c>
      <c r="F185" s="125">
        <f>SUM(F178:F184)</f>
        <v>41</v>
      </c>
      <c r="G185" s="234">
        <f t="shared" ref="G185:O185" si="20">SUM(G178:G184)</f>
        <v>45</v>
      </c>
      <c r="H185" s="295">
        <f t="shared" si="20"/>
        <v>53</v>
      </c>
      <c r="I185" s="124">
        <f t="shared" si="20"/>
        <v>45</v>
      </c>
      <c r="J185" s="125">
        <f t="shared" si="20"/>
        <v>0</v>
      </c>
      <c r="K185" s="125">
        <f t="shared" si="20"/>
        <v>0</v>
      </c>
      <c r="L185" s="125">
        <f t="shared" si="20"/>
        <v>0</v>
      </c>
      <c r="M185" s="125">
        <f t="shared" si="20"/>
        <v>0</v>
      </c>
      <c r="N185" s="125">
        <f t="shared" si="20"/>
        <v>0</v>
      </c>
      <c r="O185" s="126">
        <f t="shared" si="20"/>
        <v>0</v>
      </c>
    </row>
    <row r="186" spans="1:15" ht="33" customHeight="1" thickBot="1"/>
    <row r="187" spans="1:15" ht="19.5" customHeight="1">
      <c r="A187" s="1994" t="s">
        <v>122</v>
      </c>
      <c r="B187" s="2651" t="s">
        <v>114</v>
      </c>
      <c r="C187" s="1998" t="s">
        <v>8</v>
      </c>
      <c r="D187" s="2000" t="s">
        <v>123</v>
      </c>
      <c r="E187" s="2652"/>
      <c r="F187" s="2652"/>
      <c r="G187" s="2220"/>
      <c r="H187" s="2221"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676"/>
      <c r="B189" s="2302" t="s">
        <v>428</v>
      </c>
      <c r="C189" s="392">
        <v>2014</v>
      </c>
      <c r="D189" s="142"/>
      <c r="E189" s="115"/>
      <c r="F189" s="115"/>
      <c r="G189" s="301">
        <f>SUM(D189:F189)</f>
        <v>0</v>
      </c>
      <c r="H189" s="114"/>
      <c r="I189" s="115"/>
      <c r="J189" s="115"/>
      <c r="K189" s="115"/>
      <c r="L189" s="143"/>
    </row>
    <row r="190" spans="1:15">
      <c r="A190" s="2677"/>
      <c r="B190" s="2303"/>
      <c r="C190" s="86">
        <v>2015</v>
      </c>
      <c r="D190" s="50"/>
      <c r="E190" s="42"/>
      <c r="F190" s="42">
        <v>60</v>
      </c>
      <c r="G190" s="301">
        <f t="shared" ref="G190:G195" si="21">SUM(D190:F190)</f>
        <v>60</v>
      </c>
      <c r="H190" s="118">
        <v>4</v>
      </c>
      <c r="I190" s="42">
        <v>1</v>
      </c>
      <c r="J190" s="42">
        <v>15</v>
      </c>
      <c r="K190" s="42">
        <v>36</v>
      </c>
      <c r="L190" s="99">
        <v>4</v>
      </c>
    </row>
    <row r="191" spans="1:15">
      <c r="A191" s="2677"/>
      <c r="B191" s="2303"/>
      <c r="C191" s="86">
        <v>2016</v>
      </c>
      <c r="D191" s="50">
        <v>30</v>
      </c>
      <c r="E191" s="42">
        <f>70+35</f>
        <v>105</v>
      </c>
      <c r="F191" s="42">
        <v>457</v>
      </c>
      <c r="G191" s="301">
        <f t="shared" si="21"/>
        <v>592</v>
      </c>
      <c r="H191" s="118">
        <f>1+2+1</f>
        <v>4</v>
      </c>
      <c r="I191" s="42">
        <f>7</f>
        <v>7</v>
      </c>
      <c r="J191" s="42">
        <f>19+10+105+9</f>
        <v>143</v>
      </c>
      <c r="K191" s="42">
        <f>42+18+300+25</f>
        <v>385</v>
      </c>
      <c r="L191" s="99">
        <f>7+1+44+1</f>
        <v>53</v>
      </c>
    </row>
    <row r="192" spans="1:15">
      <c r="A192" s="2677"/>
      <c r="B192" s="2303"/>
      <c r="C192" s="86">
        <v>2017</v>
      </c>
      <c r="D192" s="50"/>
      <c r="E192" s="42"/>
      <c r="F192" s="42" t="s">
        <v>429</v>
      </c>
      <c r="G192" s="301">
        <f t="shared" si="21"/>
        <v>0</v>
      </c>
      <c r="H192" s="118"/>
      <c r="I192" s="42"/>
      <c r="J192" s="42"/>
      <c r="K192" s="42"/>
      <c r="L192" s="99"/>
    </row>
    <row r="193" spans="1:14">
      <c r="A193" s="2677"/>
      <c r="B193" s="2303"/>
      <c r="C193" s="86">
        <v>2018</v>
      </c>
      <c r="D193" s="50"/>
      <c r="E193" s="42"/>
      <c r="F193" s="42"/>
      <c r="G193" s="301">
        <f t="shared" si="21"/>
        <v>0</v>
      </c>
      <c r="H193" s="118"/>
      <c r="I193" s="42"/>
      <c r="J193" s="42"/>
      <c r="K193" s="42"/>
      <c r="L193" s="99"/>
    </row>
    <row r="194" spans="1:14">
      <c r="A194" s="2677"/>
      <c r="B194" s="2303"/>
      <c r="C194" s="86">
        <v>2019</v>
      </c>
      <c r="D194" s="50"/>
      <c r="E194" s="42"/>
      <c r="F194" s="42"/>
      <c r="G194" s="301">
        <f t="shared" si="21"/>
        <v>0</v>
      </c>
      <c r="H194" s="118"/>
      <c r="I194" s="42"/>
      <c r="J194" s="42"/>
      <c r="K194" s="42"/>
      <c r="L194" s="99"/>
    </row>
    <row r="195" spans="1:14">
      <c r="A195" s="2677"/>
      <c r="B195" s="2303"/>
      <c r="C195" s="86">
        <v>2020</v>
      </c>
      <c r="D195" s="50"/>
      <c r="E195" s="42"/>
      <c r="F195" s="42"/>
      <c r="G195" s="301">
        <f t="shared" si="21"/>
        <v>0</v>
      </c>
      <c r="H195" s="118"/>
      <c r="I195" s="42"/>
      <c r="J195" s="42"/>
      <c r="K195" s="42"/>
      <c r="L195" s="99"/>
    </row>
    <row r="196" spans="1:14" ht="125.25" customHeight="1" thickBot="1">
      <c r="A196" s="2678"/>
      <c r="B196" s="2304"/>
      <c r="C196" s="148" t="s">
        <v>12</v>
      </c>
      <c r="D196" s="151">
        <f t="shared" ref="D196:L196" si="22">SUM(D189:D195)</f>
        <v>30</v>
      </c>
      <c r="E196" s="125">
        <f t="shared" si="22"/>
        <v>105</v>
      </c>
      <c r="F196" s="125">
        <f t="shared" si="22"/>
        <v>517</v>
      </c>
      <c r="G196" s="304">
        <f t="shared" si="22"/>
        <v>652</v>
      </c>
      <c r="H196" s="124">
        <f t="shared" si="22"/>
        <v>8</v>
      </c>
      <c r="I196" s="125">
        <f t="shared" si="22"/>
        <v>8</v>
      </c>
      <c r="J196" s="125">
        <f t="shared" si="22"/>
        <v>158</v>
      </c>
      <c r="K196" s="125">
        <f t="shared" si="22"/>
        <v>421</v>
      </c>
      <c r="L196" s="126">
        <f t="shared" si="22"/>
        <v>57</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1499" t="s">
        <v>135</v>
      </c>
      <c r="B201" s="1511" t="s">
        <v>114</v>
      </c>
      <c r="C201" s="310" t="s">
        <v>8</v>
      </c>
      <c r="D201" s="515" t="s">
        <v>136</v>
      </c>
      <c r="E201" s="312" t="s">
        <v>137</v>
      </c>
      <c r="F201" s="312" t="s">
        <v>138</v>
      </c>
      <c r="G201" s="310" t="s">
        <v>139</v>
      </c>
      <c r="H201" s="1500" t="s">
        <v>140</v>
      </c>
      <c r="I201" s="517" t="s">
        <v>141</v>
      </c>
      <c r="J201" s="518" t="s">
        <v>142</v>
      </c>
      <c r="K201" s="312" t="s">
        <v>143</v>
      </c>
      <c r="L201" s="316" t="s">
        <v>144</v>
      </c>
    </row>
    <row r="202" spans="1:14" ht="15" customHeight="1">
      <c r="A202" s="2673"/>
      <c r="B202" s="2196"/>
      <c r="C202" s="84">
        <v>2014</v>
      </c>
      <c r="D202" s="33"/>
      <c r="E202" s="34"/>
      <c r="F202" s="34"/>
      <c r="G202" s="32"/>
      <c r="H202" s="317"/>
      <c r="I202" s="318"/>
      <c r="J202" s="319"/>
      <c r="K202" s="34"/>
      <c r="L202" s="37"/>
    </row>
    <row r="203" spans="1:14">
      <c r="A203" s="2674"/>
      <c r="B203" s="2168"/>
      <c r="C203" s="86">
        <v>2015</v>
      </c>
      <c r="D203" s="50"/>
      <c r="E203" s="42"/>
      <c r="F203" s="42"/>
      <c r="G203" s="39"/>
      <c r="H203" s="320"/>
      <c r="I203" s="321"/>
      <c r="J203" s="322"/>
      <c r="K203" s="42"/>
      <c r="L203" s="99"/>
    </row>
    <row r="204" spans="1:14">
      <c r="A204" s="2674"/>
      <c r="B204" s="2168"/>
      <c r="C204" s="86">
        <v>2016</v>
      </c>
      <c r="D204" s="50"/>
      <c r="E204" s="42"/>
      <c r="F204" s="42"/>
      <c r="G204" s="39"/>
      <c r="H204" s="320"/>
      <c r="I204" s="321"/>
      <c r="J204" s="322"/>
      <c r="K204" s="42"/>
      <c r="L204" s="99"/>
    </row>
    <row r="205" spans="1:14">
      <c r="A205" s="2674"/>
      <c r="B205" s="2168"/>
      <c r="C205" s="86">
        <v>2017</v>
      </c>
      <c r="D205" s="50"/>
      <c r="E205" s="42"/>
      <c r="F205" s="42"/>
      <c r="G205" s="39"/>
      <c r="H205" s="320"/>
      <c r="I205" s="321"/>
      <c r="J205" s="322"/>
      <c r="K205" s="42"/>
      <c r="L205" s="99"/>
    </row>
    <row r="206" spans="1:14">
      <c r="A206" s="2674"/>
      <c r="B206" s="2168"/>
      <c r="C206" s="86">
        <v>2018</v>
      </c>
      <c r="D206" s="50"/>
      <c r="E206" s="42"/>
      <c r="F206" s="42"/>
      <c r="G206" s="39"/>
      <c r="H206" s="320"/>
      <c r="I206" s="321"/>
      <c r="J206" s="322"/>
      <c r="K206" s="42"/>
      <c r="L206" s="99"/>
    </row>
    <row r="207" spans="1:14">
      <c r="A207" s="2674"/>
      <c r="B207" s="2168"/>
      <c r="C207" s="86">
        <v>2019</v>
      </c>
      <c r="D207" s="50"/>
      <c r="E207" s="42"/>
      <c r="F207" s="42"/>
      <c r="G207" s="39"/>
      <c r="H207" s="320"/>
      <c r="I207" s="321"/>
      <c r="J207" s="322"/>
      <c r="K207" s="42"/>
      <c r="L207" s="99"/>
    </row>
    <row r="208" spans="1:14">
      <c r="A208" s="2674"/>
      <c r="B208" s="2168"/>
      <c r="C208" s="86">
        <v>2020</v>
      </c>
      <c r="D208" s="1434"/>
      <c r="E208" s="324"/>
      <c r="F208" s="324"/>
      <c r="G208" s="325"/>
      <c r="H208" s="326"/>
      <c r="I208" s="327"/>
      <c r="J208" s="328"/>
      <c r="K208" s="324"/>
      <c r="L208" s="329"/>
    </row>
    <row r="209" spans="1:12" ht="20.25" customHeight="1" thickBot="1">
      <c r="A209" s="2675"/>
      <c r="B209" s="2169"/>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1501" t="s">
        <v>145</v>
      </c>
      <c r="B212" s="331" t="s">
        <v>146</v>
      </c>
      <c r="C212" s="332">
        <v>2014</v>
      </c>
      <c r="D212" s="333">
        <v>2015</v>
      </c>
      <c r="E212" s="333">
        <v>2016</v>
      </c>
      <c r="F212" s="333">
        <v>2017</v>
      </c>
      <c r="G212" s="333">
        <v>2018</v>
      </c>
      <c r="H212" s="333">
        <v>2019</v>
      </c>
      <c r="I212" s="334">
        <v>2020</v>
      </c>
    </row>
    <row r="213" spans="1:12" ht="15" customHeight="1">
      <c r="A213" t="s">
        <v>147</v>
      </c>
      <c r="B213" s="2302" t="s">
        <v>430</v>
      </c>
      <c r="C213" s="84"/>
      <c r="D213" s="403">
        <f>D214+D215+D216+D217</f>
        <v>7464.17</v>
      </c>
      <c r="E213" s="403">
        <f>E217+E214+E215+E216</f>
        <v>162008.51</v>
      </c>
      <c r="F213" s="147"/>
      <c r="G213" s="147"/>
      <c r="H213" s="147"/>
      <c r="I213" s="335"/>
    </row>
    <row r="214" spans="1:12">
      <c r="A214" t="s">
        <v>149</v>
      </c>
      <c r="B214" s="2303"/>
      <c r="C214" s="84"/>
      <c r="D214" s="403">
        <v>7464.17</v>
      </c>
      <c r="E214" s="403">
        <v>0</v>
      </c>
      <c r="F214" s="147"/>
      <c r="G214" s="147"/>
      <c r="H214" s="147"/>
      <c r="I214" s="335"/>
    </row>
    <row r="215" spans="1:12">
      <c r="A215" t="s">
        <v>150</v>
      </c>
      <c r="B215" s="2303"/>
      <c r="C215" s="84"/>
      <c r="D215" s="403">
        <v>0</v>
      </c>
      <c r="E215" s="403">
        <v>0</v>
      </c>
      <c r="F215" s="147"/>
      <c r="G215" s="147"/>
      <c r="H215" s="147"/>
      <c r="I215" s="335"/>
    </row>
    <row r="216" spans="1:12">
      <c r="A216" t="s">
        <v>151</v>
      </c>
      <c r="B216" s="2303"/>
      <c r="C216" s="84"/>
      <c r="D216" s="403">
        <v>0</v>
      </c>
      <c r="E216" s="403">
        <v>0</v>
      </c>
      <c r="F216" s="147"/>
      <c r="G216" s="147"/>
      <c r="H216" s="147"/>
      <c r="I216" s="335"/>
    </row>
    <row r="217" spans="1:12">
      <c r="A217" t="s">
        <v>152</v>
      </c>
      <c r="B217" s="2303"/>
      <c r="C217" s="84"/>
      <c r="D217" s="403">
        <v>0</v>
      </c>
      <c r="E217" s="403">
        <f>3000+98.6+2583+615.6+149420+4450+1841.31</f>
        <v>162008.51</v>
      </c>
      <c r="F217" s="147"/>
      <c r="G217" s="147"/>
      <c r="H217" s="147"/>
      <c r="I217" s="335"/>
    </row>
    <row r="218" spans="1:12" ht="336" customHeight="1">
      <c r="A218" s="74" t="s">
        <v>153</v>
      </c>
      <c r="B218" s="2303"/>
      <c r="C218" s="84"/>
      <c r="D218" s="562">
        <v>97074.52</v>
      </c>
      <c r="E218" s="562">
        <f>60023.08+10030.78+1446.89+4967.77</f>
        <v>76468.52</v>
      </c>
      <c r="F218" s="147"/>
      <c r="G218" s="147"/>
      <c r="H218" s="147"/>
      <c r="I218" s="335"/>
    </row>
    <row r="219" spans="1:12" ht="19.5" customHeight="1" thickBot="1">
      <c r="A219" s="1433"/>
      <c r="B219" s="2304"/>
      <c r="C219" s="54" t="s">
        <v>12</v>
      </c>
      <c r="D219" s="405">
        <f>SUM(D214:D218)</f>
        <v>104538.69</v>
      </c>
      <c r="E219" s="405">
        <f t="shared" ref="E219:I219" si="24">SUM(E214:E218)</f>
        <v>238477.03000000003</v>
      </c>
      <c r="F219" s="337">
        <f t="shared" si="24"/>
        <v>0</v>
      </c>
      <c r="G219" s="337">
        <f t="shared" si="24"/>
        <v>0</v>
      </c>
      <c r="H219" s="337">
        <f t="shared" si="24"/>
        <v>0</v>
      </c>
      <c r="I219" s="337">
        <f t="shared" si="24"/>
        <v>0</v>
      </c>
    </row>
    <row r="227" spans="1:1">
      <c r="A227" s="31"/>
    </row>
  </sheetData>
  <mergeCells count="74">
    <mergeCell ref="A50:A58"/>
    <mergeCell ref="B50:B58"/>
    <mergeCell ref="B1:F1"/>
    <mergeCell ref="F3:O3"/>
    <mergeCell ref="A4:O10"/>
    <mergeCell ref="D15:G15"/>
    <mergeCell ref="A17:A24"/>
    <mergeCell ref="B17:B24"/>
    <mergeCell ref="D26:G26"/>
    <mergeCell ref="A28:A35"/>
    <mergeCell ref="B28:B35"/>
    <mergeCell ref="A40:A47"/>
    <mergeCell ref="B40:B47"/>
    <mergeCell ref="A60:A61"/>
    <mergeCell ref="B60:B61"/>
    <mergeCell ref="C60:C61"/>
    <mergeCell ref="D60:D61"/>
    <mergeCell ref="A62:A69"/>
    <mergeCell ref="B62:B69"/>
    <mergeCell ref="A72:A79"/>
    <mergeCell ref="B72:B79"/>
    <mergeCell ref="A85:A92"/>
    <mergeCell ref="B85:B92"/>
    <mergeCell ref="A96:A97"/>
    <mergeCell ref="B96:B97"/>
    <mergeCell ref="D118:D119"/>
    <mergeCell ref="C96:C97"/>
    <mergeCell ref="D96:E96"/>
    <mergeCell ref="A98:A105"/>
    <mergeCell ref="B98:B105"/>
    <mergeCell ref="A107:A108"/>
    <mergeCell ref="B107:B108"/>
    <mergeCell ref="C107:C108"/>
    <mergeCell ref="D107:D108"/>
    <mergeCell ref="A109:A116"/>
    <mergeCell ref="B109:B116"/>
    <mergeCell ref="A118:A119"/>
    <mergeCell ref="B118:B119"/>
    <mergeCell ref="C118:C119"/>
    <mergeCell ref="J142:N142"/>
    <mergeCell ref="A144:A151"/>
    <mergeCell ref="B144:B151"/>
    <mergeCell ref="A120:A126"/>
    <mergeCell ref="B120:B126"/>
    <mergeCell ref="A129:A130"/>
    <mergeCell ref="B129:B130"/>
    <mergeCell ref="A131:A137"/>
    <mergeCell ref="B131:B137"/>
    <mergeCell ref="A165:A172"/>
    <mergeCell ref="B165:B172"/>
    <mergeCell ref="A142:A143"/>
    <mergeCell ref="B142:B143"/>
    <mergeCell ref="C142:C143"/>
    <mergeCell ref="A153:A154"/>
    <mergeCell ref="B153:B154"/>
    <mergeCell ref="C153:C154"/>
    <mergeCell ref="A155:A162"/>
    <mergeCell ref="B155:B162"/>
    <mergeCell ref="A176:A177"/>
    <mergeCell ref="B176:B177"/>
    <mergeCell ref="C176:C177"/>
    <mergeCell ref="I176:O176"/>
    <mergeCell ref="A178:A185"/>
    <mergeCell ref="B178:B185"/>
    <mergeCell ref="C187:C188"/>
    <mergeCell ref="D187:G187"/>
    <mergeCell ref="H187:L187"/>
    <mergeCell ref="A189:A196"/>
    <mergeCell ref="B189:B196"/>
    <mergeCell ref="A202:A209"/>
    <mergeCell ref="B202:B209"/>
    <mergeCell ref="B213:B219"/>
    <mergeCell ref="A187:A188"/>
    <mergeCell ref="B187:B18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dimension ref="A1:Y227"/>
  <sheetViews>
    <sheetView topLeftCell="A202" workbookViewId="0">
      <selection activeCell="E219" sqref="E219"/>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626" t="s">
        <v>501</v>
      </c>
      <c r="C1" s="1627"/>
      <c r="D1" s="1627"/>
      <c r="E1" s="1627"/>
      <c r="F1" s="1627"/>
    </row>
    <row r="2" spans="1:25" s="2" customFormat="1" ht="20.100000000000001" customHeight="1" thickBot="1"/>
    <row r="3" spans="1:25" s="5" customFormat="1" ht="20.100000000000001" customHeight="1">
      <c r="A3" s="1503" t="s">
        <v>1</v>
      </c>
      <c r="B3" s="1504"/>
      <c r="C3" s="1504"/>
      <c r="D3" s="1504"/>
      <c r="E3" s="1504"/>
      <c r="F3" s="2707"/>
      <c r="G3" s="2707"/>
      <c r="H3" s="2707"/>
      <c r="I3" s="2707"/>
      <c r="J3" s="2707"/>
      <c r="K3" s="2707"/>
      <c r="L3" s="2707"/>
      <c r="M3" s="2707"/>
      <c r="N3" s="2707"/>
      <c r="O3" s="2708"/>
    </row>
    <row r="4" spans="1:25" s="5" customFormat="1" ht="20.100000000000001" customHeight="1">
      <c r="A4" s="2566" t="s">
        <v>2</v>
      </c>
      <c r="B4" s="2081"/>
      <c r="C4" s="2081"/>
      <c r="D4" s="2081"/>
      <c r="E4" s="2081"/>
      <c r="F4" s="2081"/>
      <c r="G4" s="2081"/>
      <c r="H4" s="2081"/>
      <c r="I4" s="2081"/>
      <c r="J4" s="2081"/>
      <c r="K4" s="2081"/>
      <c r="L4" s="2081"/>
      <c r="M4" s="2081"/>
      <c r="N4" s="2081"/>
      <c r="O4" s="2082"/>
    </row>
    <row r="5" spans="1:25" s="5" customFormat="1" ht="20.100000000000001" customHeight="1">
      <c r="A5" s="2566"/>
      <c r="B5" s="2081"/>
      <c r="C5" s="2081"/>
      <c r="D5" s="2081"/>
      <c r="E5" s="2081"/>
      <c r="F5" s="2081"/>
      <c r="G5" s="2081"/>
      <c r="H5" s="2081"/>
      <c r="I5" s="2081"/>
      <c r="J5" s="2081"/>
      <c r="K5" s="2081"/>
      <c r="L5" s="2081"/>
      <c r="M5" s="2081"/>
      <c r="N5" s="2081"/>
      <c r="O5" s="2082"/>
    </row>
    <row r="6" spans="1:25" s="5" customFormat="1" ht="20.100000000000001" customHeight="1">
      <c r="A6" s="2566"/>
      <c r="B6" s="2081"/>
      <c r="C6" s="2081"/>
      <c r="D6" s="2081"/>
      <c r="E6" s="2081"/>
      <c r="F6" s="2081"/>
      <c r="G6" s="2081"/>
      <c r="H6" s="2081"/>
      <c r="I6" s="2081"/>
      <c r="J6" s="2081"/>
      <c r="K6" s="2081"/>
      <c r="L6" s="2081"/>
      <c r="M6" s="2081"/>
      <c r="N6" s="2081"/>
      <c r="O6" s="2082"/>
    </row>
    <row r="7" spans="1:25" s="5" customFormat="1" ht="20.100000000000001" customHeight="1">
      <c r="A7" s="2566"/>
      <c r="B7" s="2081"/>
      <c r="C7" s="2081"/>
      <c r="D7" s="2081"/>
      <c r="E7" s="2081"/>
      <c r="F7" s="2081"/>
      <c r="G7" s="2081"/>
      <c r="H7" s="2081"/>
      <c r="I7" s="2081"/>
      <c r="J7" s="2081"/>
      <c r="K7" s="2081"/>
      <c r="L7" s="2081"/>
      <c r="M7" s="2081"/>
      <c r="N7" s="2081"/>
      <c r="O7" s="2082"/>
    </row>
    <row r="8" spans="1:25" s="5" customFormat="1" ht="20.100000000000001" customHeight="1">
      <c r="A8" s="2566"/>
      <c r="B8" s="2081"/>
      <c r="C8" s="2081"/>
      <c r="D8" s="2081"/>
      <c r="E8" s="2081"/>
      <c r="F8" s="2081"/>
      <c r="G8" s="2081"/>
      <c r="H8" s="2081"/>
      <c r="I8" s="2081"/>
      <c r="J8" s="2081"/>
      <c r="K8" s="2081"/>
      <c r="L8" s="2081"/>
      <c r="M8" s="2081"/>
      <c r="N8" s="2081"/>
      <c r="O8" s="2082"/>
    </row>
    <row r="9" spans="1:25" s="5" customFormat="1" ht="20.100000000000001" customHeight="1">
      <c r="A9" s="2566"/>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1505"/>
      <c r="B15" s="1506"/>
      <c r="C15" s="11"/>
      <c r="D15" s="2238" t="s">
        <v>4</v>
      </c>
      <c r="E15" s="2709"/>
      <c r="F15" s="2709"/>
      <c r="G15" s="2709"/>
      <c r="H15" s="12"/>
      <c r="I15" s="13" t="s">
        <v>5</v>
      </c>
      <c r="J15" s="14"/>
      <c r="K15" s="14"/>
      <c r="L15" s="14"/>
      <c r="M15" s="14"/>
      <c r="N15" s="14"/>
      <c r="O15" s="15"/>
      <c r="P15" s="16"/>
      <c r="Q15" s="17"/>
      <c r="R15" s="18"/>
      <c r="S15" s="18"/>
      <c r="T15" s="18"/>
      <c r="U15" s="18"/>
      <c r="V15" s="18"/>
      <c r="W15" s="16"/>
      <c r="X15" s="16"/>
      <c r="Y15" s="17"/>
    </row>
    <row r="16" spans="1:25" s="31" customFormat="1" ht="129" customHeight="1">
      <c r="A16" s="20"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563" t="s">
        <v>431</v>
      </c>
      <c r="B17" s="19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558"/>
      <c r="B18" s="1988"/>
      <c r="C18" s="39">
        <v>2015</v>
      </c>
      <c r="D18" s="50">
        <v>6</v>
      </c>
      <c r="E18" s="42"/>
      <c r="F18" s="42"/>
      <c r="G18" s="35">
        <f>SUM(D18:F18)</f>
        <v>6</v>
      </c>
      <c r="H18" s="51">
        <v>6</v>
      </c>
      <c r="I18" s="42"/>
      <c r="J18" s="42"/>
      <c r="K18" s="42"/>
      <c r="L18" s="42"/>
      <c r="M18" s="42"/>
      <c r="N18" s="42"/>
      <c r="O18" s="52"/>
      <c r="P18" s="38"/>
      <c r="Q18" s="38"/>
      <c r="R18" s="38"/>
      <c r="S18" s="38"/>
      <c r="T18" s="38"/>
      <c r="U18" s="38"/>
      <c r="V18" s="38"/>
      <c r="W18" s="38"/>
      <c r="X18" s="38"/>
      <c r="Y18" s="38"/>
    </row>
    <row r="19" spans="1:25">
      <c r="A19" s="2558"/>
      <c r="B19" s="1988"/>
      <c r="C19" s="39">
        <v>2016</v>
      </c>
      <c r="D19" s="50">
        <v>20</v>
      </c>
      <c r="E19" s="42">
        <v>4</v>
      </c>
      <c r="F19" s="42">
        <v>3</v>
      </c>
      <c r="G19" s="35">
        <f t="shared" si="0"/>
        <v>27</v>
      </c>
      <c r="H19" s="51">
        <v>27</v>
      </c>
      <c r="I19" s="42"/>
      <c r="J19" s="42"/>
      <c r="K19" s="42"/>
      <c r="L19" s="42"/>
      <c r="M19" s="42"/>
      <c r="N19" s="42"/>
      <c r="O19" s="52"/>
      <c r="P19" s="38"/>
      <c r="Q19" s="38"/>
      <c r="R19" s="38"/>
      <c r="S19" s="38"/>
      <c r="T19" s="38"/>
      <c r="U19" s="38"/>
      <c r="V19" s="38"/>
      <c r="W19" s="38"/>
      <c r="X19" s="38"/>
      <c r="Y19" s="38"/>
    </row>
    <row r="20" spans="1:25">
      <c r="A20" s="2558"/>
      <c r="B20" s="1988"/>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2558"/>
      <c r="B21" s="1988"/>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2558"/>
      <c r="B22" s="1988"/>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2558"/>
      <c r="B23" s="1988"/>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180" customHeight="1" thickBot="1">
      <c r="A24" s="1989"/>
      <c r="B24" s="1990"/>
      <c r="C24" s="54" t="s">
        <v>12</v>
      </c>
      <c r="D24" s="55">
        <f>SUM(D17:D23)</f>
        <v>26</v>
      </c>
      <c r="E24" s="56">
        <f>SUM(E17:E23)</f>
        <v>4</v>
      </c>
      <c r="F24" s="56">
        <f>SUM(F17:F23)</f>
        <v>3</v>
      </c>
      <c r="G24" s="57">
        <f>SUM(D24:F24)</f>
        <v>33</v>
      </c>
      <c r="H24" s="58">
        <f>SUM(H17:H23)</f>
        <v>33</v>
      </c>
      <c r="I24" s="59">
        <f>SUM(I17:I23)</f>
        <v>0</v>
      </c>
      <c r="J24" s="59">
        <f t="shared" ref="J24:N24" si="1">SUM(J17:J23)</f>
        <v>0</v>
      </c>
      <c r="K24" s="59">
        <f t="shared" si="1"/>
        <v>0</v>
      </c>
      <c r="L24" s="59">
        <f t="shared" si="1"/>
        <v>0</v>
      </c>
      <c r="M24" s="59">
        <f t="shared" si="1"/>
        <v>0</v>
      </c>
      <c r="N24" s="59">
        <f t="shared" si="1"/>
        <v>0</v>
      </c>
      <c r="O24" s="60">
        <f>SUM(O17:O23)</f>
        <v>0</v>
      </c>
      <c r="P24" s="38"/>
      <c r="Q24" s="38"/>
      <c r="R24" s="38"/>
      <c r="S24" s="38"/>
      <c r="T24" s="38"/>
      <c r="U24" s="38"/>
      <c r="V24" s="38"/>
      <c r="W24" s="38"/>
      <c r="X24" s="38"/>
      <c r="Y24" s="38"/>
    </row>
    <row r="25" spans="1:25" ht="24" customHeight="1" thickBot="1">
      <c r="C25" s="62"/>
      <c r="H25" s="8"/>
      <c r="I25" s="8"/>
      <c r="J25" s="8"/>
      <c r="K25" s="8"/>
      <c r="L25" s="8"/>
      <c r="M25" s="8"/>
      <c r="N25" s="8"/>
      <c r="O25" s="8"/>
      <c r="P25" s="8"/>
      <c r="Q25" s="8"/>
    </row>
    <row r="26" spans="1:25" s="19" customFormat="1" ht="30.75" customHeight="1">
      <c r="A26" s="1505"/>
      <c r="B26" s="1506"/>
      <c r="C26" s="63"/>
      <c r="D26" s="2092" t="s">
        <v>4</v>
      </c>
      <c r="E26" s="2713"/>
      <c r="F26" s="2713"/>
      <c r="G26" s="2246"/>
      <c r="H26" s="16"/>
      <c r="I26" s="17"/>
      <c r="J26" s="18"/>
      <c r="K26" s="18"/>
      <c r="L26" s="18"/>
      <c r="M26" s="18"/>
      <c r="N26" s="18"/>
      <c r="O26" s="16"/>
      <c r="P26" s="16"/>
    </row>
    <row r="27" spans="1:25" s="31" customFormat="1" ht="93" customHeight="1">
      <c r="A27" s="1377"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563" t="s">
        <v>432</v>
      </c>
      <c r="B28" s="2714"/>
      <c r="C28" s="68">
        <v>2014</v>
      </c>
      <c r="D28" s="36"/>
      <c r="E28" s="34"/>
      <c r="F28" s="34"/>
      <c r="G28" s="69">
        <f>SUM(D28:F28)</f>
        <v>0</v>
      </c>
      <c r="H28" s="38"/>
      <c r="I28" s="38"/>
      <c r="J28" s="38"/>
      <c r="K28" s="38"/>
      <c r="L28" s="38"/>
      <c r="M28" s="38"/>
      <c r="N28" s="38"/>
      <c r="O28" s="38"/>
      <c r="P28" s="38"/>
      <c r="Q28" s="8"/>
    </row>
    <row r="29" spans="1:25">
      <c r="A29" s="2558"/>
      <c r="B29" s="2714"/>
      <c r="C29" s="70">
        <v>2015</v>
      </c>
      <c r="D29" s="51">
        <v>636</v>
      </c>
      <c r="E29" s="42"/>
      <c r="F29" s="42"/>
      <c r="G29" s="69">
        <f t="shared" ref="G29:G35" si="2">SUM(D29:F29)</f>
        <v>636</v>
      </c>
      <c r="H29" s="38"/>
      <c r="I29" s="38"/>
      <c r="J29" s="38"/>
      <c r="K29" s="38"/>
      <c r="L29" s="38"/>
      <c r="M29" s="38"/>
      <c r="N29" s="38"/>
      <c r="O29" s="38"/>
      <c r="P29" s="38"/>
      <c r="Q29" s="8"/>
    </row>
    <row r="30" spans="1:25">
      <c r="A30" s="2558"/>
      <c r="B30" s="2714"/>
      <c r="C30" s="70">
        <v>2016</v>
      </c>
      <c r="D30" s="51">
        <v>3895</v>
      </c>
      <c r="E30" s="42">
        <v>41613</v>
      </c>
      <c r="F30" s="42">
        <v>35526</v>
      </c>
      <c r="G30" s="69">
        <f t="shared" si="2"/>
        <v>81034</v>
      </c>
      <c r="H30" s="38"/>
      <c r="I30" s="38"/>
      <c r="J30" s="38"/>
      <c r="K30" s="38"/>
      <c r="L30" s="38"/>
      <c r="M30" s="38"/>
      <c r="N30" s="38"/>
      <c r="O30" s="38"/>
      <c r="P30" s="38"/>
      <c r="Q30" s="8"/>
    </row>
    <row r="31" spans="1:25">
      <c r="A31" s="2558"/>
      <c r="B31" s="2714"/>
      <c r="C31" s="70">
        <v>2017</v>
      </c>
      <c r="D31" s="51"/>
      <c r="E31" s="42"/>
      <c r="F31" s="42"/>
      <c r="G31" s="69">
        <f t="shared" si="2"/>
        <v>0</v>
      </c>
      <c r="H31" s="38"/>
      <c r="I31" s="38"/>
      <c r="J31" s="38"/>
      <c r="K31" s="38"/>
      <c r="L31" s="38"/>
      <c r="M31" s="38"/>
      <c r="N31" s="38"/>
      <c r="O31" s="38"/>
      <c r="P31" s="38"/>
      <c r="Q31" s="8"/>
    </row>
    <row r="32" spans="1:25">
      <c r="A32" s="2558"/>
      <c r="B32" s="2714"/>
      <c r="C32" s="70">
        <v>2018</v>
      </c>
      <c r="D32" s="51"/>
      <c r="E32" s="42"/>
      <c r="F32" s="42"/>
      <c r="G32" s="69">
        <f>SUM(D32:F32)</f>
        <v>0</v>
      </c>
      <c r="H32" s="38"/>
      <c r="I32" s="38"/>
      <c r="J32" s="38"/>
      <c r="K32" s="38"/>
      <c r="L32" s="38"/>
      <c r="M32" s="38"/>
      <c r="N32" s="38"/>
      <c r="O32" s="38"/>
      <c r="P32" s="38"/>
      <c r="Q32" s="8"/>
    </row>
    <row r="33" spans="1:17">
      <c r="A33" s="2558"/>
      <c r="B33" s="2714"/>
      <c r="C33" s="72">
        <v>2019</v>
      </c>
      <c r="D33" s="51"/>
      <c r="E33" s="42"/>
      <c r="F33" s="42"/>
      <c r="G33" s="69">
        <f t="shared" si="2"/>
        <v>0</v>
      </c>
      <c r="H33" s="38"/>
      <c r="I33" s="38"/>
      <c r="J33" s="38"/>
      <c r="K33" s="38"/>
      <c r="L33" s="38"/>
      <c r="M33" s="38"/>
      <c r="N33" s="38"/>
      <c r="O33" s="38"/>
      <c r="P33" s="38"/>
      <c r="Q33" s="8"/>
    </row>
    <row r="34" spans="1:17">
      <c r="A34" s="2558"/>
      <c r="B34" s="2714"/>
      <c r="C34" s="70">
        <v>2020</v>
      </c>
      <c r="D34" s="51"/>
      <c r="E34" s="42"/>
      <c r="F34" s="42"/>
      <c r="G34" s="69">
        <f t="shared" si="2"/>
        <v>0</v>
      </c>
      <c r="H34" s="38"/>
      <c r="I34" s="38"/>
      <c r="J34" s="38"/>
      <c r="K34" s="38"/>
      <c r="L34" s="38"/>
      <c r="M34" s="38"/>
      <c r="N34" s="38"/>
      <c r="O34" s="38"/>
      <c r="P34" s="38"/>
      <c r="Q34" s="8"/>
    </row>
    <row r="35" spans="1:17" ht="156.75" customHeight="1" thickBot="1">
      <c r="A35" s="1989"/>
      <c r="B35" s="2715"/>
      <c r="C35" s="73" t="s">
        <v>12</v>
      </c>
      <c r="D35" s="58">
        <f>SUM(D28:D34)</f>
        <v>4531</v>
      </c>
      <c r="E35" s="56">
        <f>SUM(E28:E34)</f>
        <v>41613</v>
      </c>
      <c r="F35" s="56">
        <f>SUM(F28:F34)</f>
        <v>35526</v>
      </c>
      <c r="G35" s="60">
        <f t="shared" si="2"/>
        <v>81670</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6.5" customHeight="1" thickBot="1">
      <c r="G38" s="38"/>
      <c r="H38" s="38"/>
    </row>
    <row r="39" spans="1:17" ht="88.5" customHeight="1">
      <c r="A39" s="1480" t="s">
        <v>25</v>
      </c>
      <c r="B39" s="1481" t="s">
        <v>7</v>
      </c>
      <c r="C39" s="80" t="s">
        <v>8</v>
      </c>
      <c r="D39" s="546" t="s">
        <v>26</v>
      </c>
      <c r="E39" s="352" t="s">
        <v>27</v>
      </c>
      <c r="F39" s="353"/>
      <c r="G39" s="30"/>
      <c r="H39" s="30"/>
    </row>
    <row r="40" spans="1:17">
      <c r="A40" s="2563" t="s">
        <v>433</v>
      </c>
      <c r="B40" s="1988"/>
      <c r="C40" s="84">
        <v>2014</v>
      </c>
      <c r="D40" s="33"/>
      <c r="E40" s="32"/>
      <c r="F40" s="8"/>
      <c r="G40" s="38"/>
      <c r="H40" s="38"/>
    </row>
    <row r="41" spans="1:17">
      <c r="A41" s="2558"/>
      <c r="B41" s="1988"/>
      <c r="C41" s="86">
        <v>2015</v>
      </c>
      <c r="D41" s="50"/>
      <c r="E41" s="39"/>
      <c r="F41" s="8"/>
      <c r="G41" s="38"/>
      <c r="H41" s="38"/>
    </row>
    <row r="42" spans="1:17">
      <c r="A42" s="2558"/>
      <c r="B42" s="1988"/>
      <c r="C42" s="86">
        <v>2016</v>
      </c>
      <c r="D42" s="50">
        <v>851</v>
      </c>
      <c r="E42" s="39">
        <v>403</v>
      </c>
      <c r="F42" s="8"/>
      <c r="G42" s="38"/>
      <c r="H42" s="38"/>
    </row>
    <row r="43" spans="1:17">
      <c r="A43" s="2558"/>
      <c r="B43" s="1988"/>
      <c r="C43" s="86">
        <v>2017</v>
      </c>
      <c r="D43" s="50"/>
      <c r="E43" s="39"/>
      <c r="F43" s="8"/>
      <c r="G43" s="38"/>
      <c r="H43" s="38"/>
    </row>
    <row r="44" spans="1:17">
      <c r="A44" s="2558"/>
      <c r="B44" s="1988"/>
      <c r="C44" s="86">
        <v>2018</v>
      </c>
      <c r="D44" s="50"/>
      <c r="E44" s="39"/>
      <c r="F44" s="8"/>
      <c r="G44" s="38"/>
      <c r="H44" s="38"/>
    </row>
    <row r="45" spans="1:17">
      <c r="A45" s="2558"/>
      <c r="B45" s="1988"/>
      <c r="C45" s="86">
        <v>2019</v>
      </c>
      <c r="D45" s="50"/>
      <c r="E45" s="39"/>
      <c r="F45" s="8"/>
      <c r="G45" s="38"/>
      <c r="H45" s="38"/>
    </row>
    <row r="46" spans="1:17">
      <c r="A46" s="2558"/>
      <c r="B46" s="1988"/>
      <c r="C46" s="86">
        <v>2020</v>
      </c>
      <c r="D46" s="50"/>
      <c r="E46" s="39"/>
      <c r="F46" s="8"/>
      <c r="G46" s="38"/>
      <c r="H46" s="38"/>
    </row>
    <row r="47" spans="1:17" ht="15.75" thickBot="1">
      <c r="A47" s="1989"/>
      <c r="B47" s="1990"/>
      <c r="C47" s="54" t="s">
        <v>12</v>
      </c>
      <c r="D47" s="55">
        <f>SUM(D40:D46)</f>
        <v>851</v>
      </c>
      <c r="E47" s="419">
        <f>SUM(E40:E46)</f>
        <v>403</v>
      </c>
      <c r="F47" s="121"/>
      <c r="G47" s="38"/>
      <c r="H47" s="38"/>
    </row>
    <row r="48" spans="1:17" s="38" customFormat="1" ht="15.75" thickBot="1">
      <c r="A48" s="1510"/>
      <c r="B48" s="92"/>
      <c r="C48" s="93"/>
    </row>
    <row r="49" spans="1:15" ht="83.25" customHeight="1">
      <c r="A49" s="94" t="s">
        <v>29</v>
      </c>
      <c r="B49" s="1481" t="s">
        <v>7</v>
      </c>
      <c r="C49" s="95" t="s">
        <v>8</v>
      </c>
      <c r="D49" s="546" t="s">
        <v>30</v>
      </c>
      <c r="E49" s="96" t="s">
        <v>31</v>
      </c>
      <c r="F49" s="96" t="s">
        <v>32</v>
      </c>
      <c r="G49" s="96" t="s">
        <v>33</v>
      </c>
      <c r="H49" s="96" t="s">
        <v>34</v>
      </c>
      <c r="I49" s="96" t="s">
        <v>35</v>
      </c>
      <c r="J49" s="96" t="s">
        <v>36</v>
      </c>
      <c r="K49" s="97" t="s">
        <v>37</v>
      </c>
    </row>
    <row r="50" spans="1:15" ht="17.25" customHeight="1">
      <c r="A50" s="2005"/>
      <c r="B50" s="2012"/>
      <c r="C50" s="98" t="s">
        <v>38</v>
      </c>
      <c r="D50" s="33"/>
      <c r="E50" s="34"/>
      <c r="F50" s="34"/>
      <c r="G50" s="34"/>
      <c r="H50" s="34"/>
      <c r="I50" s="34"/>
      <c r="J50" s="34"/>
      <c r="K50" s="37"/>
    </row>
    <row r="51" spans="1:15" ht="15" customHeight="1">
      <c r="A51" s="2563"/>
      <c r="B51" s="2014"/>
      <c r="C51" s="86">
        <v>2014</v>
      </c>
      <c r="D51" s="50"/>
      <c r="E51" s="42"/>
      <c r="F51" s="42"/>
      <c r="G51" s="42"/>
      <c r="H51" s="42"/>
      <c r="I51" s="42"/>
      <c r="J51" s="42"/>
      <c r="K51" s="99"/>
    </row>
    <row r="52" spans="1:15">
      <c r="A52" s="2563"/>
      <c r="B52" s="2014"/>
      <c r="C52" s="86">
        <v>2015</v>
      </c>
      <c r="D52" s="50"/>
      <c r="E52" s="42"/>
      <c r="F52" s="42"/>
      <c r="G52" s="42"/>
      <c r="H52" s="42"/>
      <c r="I52" s="42"/>
      <c r="J52" s="42"/>
      <c r="K52" s="99"/>
    </row>
    <row r="53" spans="1:15">
      <c r="A53" s="2563"/>
      <c r="B53" s="2014"/>
      <c r="C53" s="86">
        <v>2016</v>
      </c>
      <c r="D53" s="50"/>
      <c r="E53" s="42"/>
      <c r="F53" s="42"/>
      <c r="G53" s="42"/>
      <c r="H53" s="42"/>
      <c r="I53" s="42"/>
      <c r="J53" s="42"/>
      <c r="K53" s="99"/>
    </row>
    <row r="54" spans="1:15">
      <c r="A54" s="2563"/>
      <c r="B54" s="2014"/>
      <c r="C54" s="86">
        <v>2017</v>
      </c>
      <c r="D54" s="50"/>
      <c r="E54" s="42"/>
      <c r="F54" s="42"/>
      <c r="G54" s="42"/>
      <c r="H54" s="42"/>
      <c r="I54" s="42"/>
      <c r="J54" s="42"/>
      <c r="K54" s="99"/>
    </row>
    <row r="55" spans="1:15">
      <c r="A55" s="2563"/>
      <c r="B55" s="2014"/>
      <c r="C55" s="86">
        <v>2018</v>
      </c>
      <c r="D55" s="50"/>
      <c r="E55" s="42"/>
      <c r="F55" s="42"/>
      <c r="G55" s="42"/>
      <c r="H55" s="42"/>
      <c r="I55" s="42"/>
      <c r="J55" s="42"/>
      <c r="K55" s="99"/>
    </row>
    <row r="56" spans="1:15">
      <c r="A56" s="2563"/>
      <c r="B56" s="2014"/>
      <c r="C56" s="86">
        <v>2019</v>
      </c>
      <c r="D56" s="50"/>
      <c r="E56" s="42"/>
      <c r="F56" s="42"/>
      <c r="G56" s="42"/>
      <c r="H56" s="42"/>
      <c r="I56" s="42"/>
      <c r="J56" s="42"/>
      <c r="K56" s="99"/>
    </row>
    <row r="57" spans="1:15">
      <c r="A57" s="2563"/>
      <c r="B57" s="2014"/>
      <c r="C57" s="86">
        <v>2020</v>
      </c>
      <c r="D57" s="50"/>
      <c r="E57" s="42"/>
      <c r="F57" s="42"/>
      <c r="G57" s="42"/>
      <c r="H57" s="42"/>
      <c r="I57" s="42"/>
      <c r="J57" s="42"/>
      <c r="K57" s="100"/>
    </row>
    <row r="58" spans="1:15" ht="20.25" customHeight="1" thickBot="1">
      <c r="A58" s="2009"/>
      <c r="B58" s="2016"/>
      <c r="C58" s="54" t="s">
        <v>12</v>
      </c>
      <c r="D58" s="55">
        <f>SUM(D51:D57)</f>
        <v>0</v>
      </c>
      <c r="E58" s="56">
        <f>SUM(E51:E57)</f>
        <v>0</v>
      </c>
      <c r="F58" s="56">
        <f>SUM(F51:F57)</f>
        <v>0</v>
      </c>
      <c r="G58" s="56">
        <f>SUM(G51:G57)</f>
        <v>0</v>
      </c>
      <c r="H58" s="56">
        <f>SUM(H51:H57)</f>
        <v>0</v>
      </c>
      <c r="I58" s="56">
        <f t="shared" ref="I58" si="3">SUM(I51:I57)</f>
        <v>0</v>
      </c>
      <c r="J58" s="56">
        <f>SUM(J51:J57)</f>
        <v>0</v>
      </c>
      <c r="K58" s="60">
        <f>SUM(K50:K56)</f>
        <v>0</v>
      </c>
    </row>
    <row r="59" spans="1:15" ht="15.75" thickBot="1"/>
    <row r="60" spans="1:15" ht="21" customHeight="1">
      <c r="A60" s="2700" t="s">
        <v>39</v>
      </c>
      <c r="B60" s="1512"/>
      <c r="C60" s="2703" t="s">
        <v>8</v>
      </c>
      <c r="D60" s="2671" t="s">
        <v>40</v>
      </c>
      <c r="E60" s="102" t="s">
        <v>5</v>
      </c>
      <c r="F60" s="1478"/>
      <c r="G60" s="1478"/>
      <c r="H60" s="1478"/>
      <c r="I60" s="1478"/>
      <c r="J60" s="1478"/>
      <c r="K60" s="1478"/>
      <c r="L60" s="485"/>
    </row>
    <row r="61" spans="1:15" ht="115.5" customHeight="1">
      <c r="A61" s="2100"/>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560" t="s">
        <v>434</v>
      </c>
      <c r="B62" s="2025"/>
      <c r="C62" s="112">
        <v>2014</v>
      </c>
      <c r="D62" s="113"/>
      <c r="E62" s="114"/>
      <c r="F62" s="115"/>
      <c r="G62" s="115"/>
      <c r="H62" s="115"/>
      <c r="I62" s="115"/>
      <c r="J62" s="115"/>
      <c r="K62" s="115"/>
      <c r="L62" s="37"/>
      <c r="M62" s="8"/>
      <c r="N62" s="8"/>
      <c r="O62" s="8"/>
    </row>
    <row r="63" spans="1:15">
      <c r="A63" s="2561"/>
      <c r="B63" s="2025"/>
      <c r="C63" s="116">
        <v>2015</v>
      </c>
      <c r="D63" s="117">
        <v>3</v>
      </c>
      <c r="E63" s="118">
        <v>3</v>
      </c>
      <c r="F63" s="42"/>
      <c r="G63" s="42"/>
      <c r="H63" s="42"/>
      <c r="I63" s="42"/>
      <c r="J63" s="42"/>
      <c r="K63" s="42"/>
      <c r="L63" s="99"/>
      <c r="M63" s="8"/>
      <c r="N63" s="8"/>
      <c r="O63" s="8"/>
    </row>
    <row r="64" spans="1:15">
      <c r="A64" s="2561"/>
      <c r="B64" s="2025"/>
      <c r="C64" s="116">
        <v>2016</v>
      </c>
      <c r="D64" s="117">
        <v>19</v>
      </c>
      <c r="E64" s="118">
        <v>19</v>
      </c>
      <c r="F64" s="42"/>
      <c r="G64" s="42"/>
      <c r="H64" s="42"/>
      <c r="I64" s="42"/>
      <c r="J64" s="42"/>
      <c r="K64" s="42"/>
      <c r="L64" s="99"/>
      <c r="M64" s="8"/>
      <c r="N64" s="8"/>
      <c r="O64" s="8"/>
    </row>
    <row r="65" spans="1:20">
      <c r="A65" s="2561"/>
      <c r="B65" s="2025"/>
      <c r="C65" s="116">
        <v>2017</v>
      </c>
      <c r="D65" s="117"/>
      <c r="E65" s="118"/>
      <c r="F65" s="42"/>
      <c r="G65" s="42"/>
      <c r="H65" s="42"/>
      <c r="I65" s="42"/>
      <c r="J65" s="42"/>
      <c r="K65" s="42"/>
      <c r="L65" s="99"/>
      <c r="M65" s="8"/>
      <c r="N65" s="8"/>
      <c r="O65" s="8"/>
    </row>
    <row r="66" spans="1:20">
      <c r="A66" s="2561"/>
      <c r="B66" s="2025"/>
      <c r="C66" s="116">
        <v>2018</v>
      </c>
      <c r="D66" s="117"/>
      <c r="E66" s="118"/>
      <c r="F66" s="42"/>
      <c r="G66" s="42"/>
      <c r="H66" s="42"/>
      <c r="I66" s="42"/>
      <c r="J66" s="42"/>
      <c r="K66" s="42"/>
      <c r="L66" s="99"/>
      <c r="M66" s="8"/>
      <c r="N66" s="8"/>
      <c r="O66" s="8"/>
    </row>
    <row r="67" spans="1:20" ht="17.25" customHeight="1">
      <c r="A67" s="2561"/>
      <c r="B67" s="2025"/>
      <c r="C67" s="116">
        <v>2019</v>
      </c>
      <c r="D67" s="117"/>
      <c r="E67" s="118"/>
      <c r="F67" s="42"/>
      <c r="G67" s="42"/>
      <c r="H67" s="42"/>
      <c r="I67" s="42"/>
      <c r="J67" s="42"/>
      <c r="K67" s="42"/>
      <c r="L67" s="99"/>
      <c r="M67" s="8"/>
      <c r="N67" s="8"/>
      <c r="O67" s="8"/>
    </row>
    <row r="68" spans="1:20" ht="16.5" customHeight="1">
      <c r="A68" s="2561"/>
      <c r="B68" s="2025"/>
      <c r="C68" s="116">
        <v>2020</v>
      </c>
      <c r="D68" s="117"/>
      <c r="E68" s="118"/>
      <c r="F68" s="42"/>
      <c r="G68" s="42"/>
      <c r="H68" s="42"/>
      <c r="I68" s="42"/>
      <c r="J68" s="42"/>
      <c r="K68" s="42"/>
      <c r="L68" s="99"/>
      <c r="M68" s="121"/>
      <c r="N68" s="121"/>
      <c r="O68" s="121"/>
    </row>
    <row r="69" spans="1:20" ht="18" customHeight="1" thickBot="1">
      <c r="A69" s="2134"/>
      <c r="B69" s="2027"/>
      <c r="C69" s="122" t="s">
        <v>12</v>
      </c>
      <c r="D69" s="123">
        <f>SUM(D62:D68)</f>
        <v>22</v>
      </c>
      <c r="E69" s="124">
        <f>SUM(E62:E68)</f>
        <v>22</v>
      </c>
      <c r="F69" s="125">
        <f t="shared" ref="F69:I69" si="4">SUM(F62:F68)</f>
        <v>0</v>
      </c>
      <c r="G69" s="125">
        <f t="shared" si="4"/>
        <v>0</v>
      </c>
      <c r="H69" s="125">
        <f t="shared" si="4"/>
        <v>0</v>
      </c>
      <c r="I69" s="125">
        <f t="shared" si="4"/>
        <v>0</v>
      </c>
      <c r="J69" s="125"/>
      <c r="K69" s="125">
        <f>SUM(K62:K68)</f>
        <v>0</v>
      </c>
      <c r="L69" s="126">
        <f>SUM(L62:L68)</f>
        <v>0</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1480" t="s">
        <v>42</v>
      </c>
      <c r="B71" s="1481" t="s">
        <v>7</v>
      </c>
      <c r="C71" s="80" t="s">
        <v>8</v>
      </c>
      <c r="D71" s="132" t="s">
        <v>43</v>
      </c>
      <c r="E71" s="132" t="s">
        <v>44</v>
      </c>
      <c r="F71" s="133" t="s">
        <v>45</v>
      </c>
      <c r="G71" s="488" t="s">
        <v>46</v>
      </c>
      <c r="H71" s="135" t="s">
        <v>13</v>
      </c>
      <c r="I71" s="136" t="s">
        <v>14</v>
      </c>
      <c r="J71" s="137" t="s">
        <v>15</v>
      </c>
      <c r="K71" s="136" t="s">
        <v>16</v>
      </c>
      <c r="L71" s="136" t="s">
        <v>17</v>
      </c>
      <c r="M71" s="138" t="s">
        <v>18</v>
      </c>
      <c r="N71" s="137" t="s">
        <v>19</v>
      </c>
      <c r="O71" s="139" t="s">
        <v>20</v>
      </c>
    </row>
    <row r="72" spans="1:20" ht="15" customHeight="1">
      <c r="A72" s="2563"/>
      <c r="B72" s="2025"/>
      <c r="C72" s="84">
        <v>2014</v>
      </c>
      <c r="D72" s="140"/>
      <c r="E72" s="140"/>
      <c r="F72" s="140"/>
      <c r="G72" s="141">
        <f>SUM(D72:F72)</f>
        <v>0</v>
      </c>
      <c r="H72" s="33"/>
      <c r="I72" s="142"/>
      <c r="J72" s="115"/>
      <c r="K72" s="115"/>
      <c r="L72" s="115"/>
      <c r="M72" s="115"/>
      <c r="N72" s="115"/>
      <c r="O72" s="143"/>
    </row>
    <row r="73" spans="1:20">
      <c r="A73" s="2558"/>
      <c r="B73" s="2025"/>
      <c r="C73" s="86">
        <v>2015</v>
      </c>
      <c r="D73" s="147"/>
      <c r="E73" s="147"/>
      <c r="F73" s="147"/>
      <c r="G73" s="141">
        <f t="shared" ref="G73:G78" si="5">SUM(D73:F73)</f>
        <v>0</v>
      </c>
      <c r="H73" s="50"/>
      <c r="I73" s="50"/>
      <c r="J73" s="42"/>
      <c r="K73" s="42"/>
      <c r="L73" s="42"/>
      <c r="M73" s="42"/>
      <c r="N73" s="42"/>
      <c r="O73" s="99"/>
    </row>
    <row r="74" spans="1:20">
      <c r="A74" s="2558"/>
      <c r="B74" s="2025"/>
      <c r="C74" s="86">
        <v>2016</v>
      </c>
      <c r="D74" s="147"/>
      <c r="E74" s="147"/>
      <c r="F74" s="147"/>
      <c r="G74" s="141">
        <f t="shared" si="5"/>
        <v>0</v>
      </c>
      <c r="H74" s="50"/>
      <c r="I74" s="50"/>
      <c r="J74" s="42"/>
      <c r="K74" s="42"/>
      <c r="L74" s="42"/>
      <c r="M74" s="42"/>
      <c r="N74" s="42"/>
      <c r="O74" s="99"/>
    </row>
    <row r="75" spans="1:20">
      <c r="A75" s="2558"/>
      <c r="B75" s="2025"/>
      <c r="C75" s="86">
        <v>2017</v>
      </c>
      <c r="D75" s="147"/>
      <c r="E75" s="147"/>
      <c r="F75" s="147"/>
      <c r="G75" s="141">
        <f t="shared" si="5"/>
        <v>0</v>
      </c>
      <c r="H75" s="50"/>
      <c r="I75" s="50"/>
      <c r="J75" s="42"/>
      <c r="K75" s="42"/>
      <c r="L75" s="42"/>
      <c r="M75" s="42"/>
      <c r="N75" s="42"/>
      <c r="O75" s="99"/>
    </row>
    <row r="76" spans="1:20">
      <c r="A76" s="2558"/>
      <c r="B76" s="2025"/>
      <c r="C76" s="86">
        <v>2018</v>
      </c>
      <c r="D76" s="147"/>
      <c r="E76" s="147"/>
      <c r="F76" s="147"/>
      <c r="G76" s="141">
        <f t="shared" si="5"/>
        <v>0</v>
      </c>
      <c r="H76" s="50"/>
      <c r="I76" s="50"/>
      <c r="J76" s="42"/>
      <c r="K76" s="42"/>
      <c r="L76" s="42"/>
      <c r="M76" s="42"/>
      <c r="N76" s="42"/>
      <c r="O76" s="99"/>
    </row>
    <row r="77" spans="1:20" ht="15.75" customHeight="1">
      <c r="A77" s="2558"/>
      <c r="B77" s="2025"/>
      <c r="C77" s="86">
        <v>2019</v>
      </c>
      <c r="D77" s="147"/>
      <c r="E77" s="147"/>
      <c r="F77" s="147"/>
      <c r="G77" s="141">
        <f t="shared" si="5"/>
        <v>0</v>
      </c>
      <c r="H77" s="50"/>
      <c r="I77" s="50"/>
      <c r="J77" s="42"/>
      <c r="K77" s="42"/>
      <c r="L77" s="42"/>
      <c r="M77" s="42"/>
      <c r="N77" s="42"/>
      <c r="O77" s="99"/>
    </row>
    <row r="78" spans="1:20" ht="17.25" customHeight="1">
      <c r="A78" s="2558"/>
      <c r="B78" s="2025"/>
      <c r="C78" s="86">
        <v>2020</v>
      </c>
      <c r="D78" s="147"/>
      <c r="E78" s="147"/>
      <c r="F78" s="147"/>
      <c r="G78" s="141">
        <f t="shared" si="5"/>
        <v>0</v>
      </c>
      <c r="H78" s="50"/>
      <c r="I78" s="50"/>
      <c r="J78" s="42"/>
      <c r="K78" s="42"/>
      <c r="L78" s="42"/>
      <c r="M78" s="42"/>
      <c r="N78" s="42"/>
      <c r="O78" s="99"/>
    </row>
    <row r="79" spans="1:20" ht="20.25" customHeight="1" thickBot="1">
      <c r="A79" s="2134"/>
      <c r="B79" s="2027"/>
      <c r="C79" s="148" t="s">
        <v>12</v>
      </c>
      <c r="D79" s="123">
        <f>SUM(D72:D78)</f>
        <v>0</v>
      </c>
      <c r="E79" s="123">
        <f>SUM(E72:E78)</f>
        <v>0</v>
      </c>
      <c r="F79" s="123">
        <f>SUM(F72:F78)</f>
        <v>0</v>
      </c>
      <c r="G79" s="149">
        <f>SUM(G72:G78)</f>
        <v>0</v>
      </c>
      <c r="H79" s="150">
        <v>0</v>
      </c>
      <c r="I79" s="151">
        <f t="shared" ref="I79:O79" si="6">SUM(I72:I78)</f>
        <v>0</v>
      </c>
      <c r="J79" s="125">
        <f t="shared" si="6"/>
        <v>0</v>
      </c>
      <c r="K79" s="125">
        <f t="shared" si="6"/>
        <v>0</v>
      </c>
      <c r="L79" s="125">
        <f t="shared" si="6"/>
        <v>0</v>
      </c>
      <c r="M79" s="125">
        <f t="shared" si="6"/>
        <v>0</v>
      </c>
      <c r="N79" s="125">
        <f t="shared" si="6"/>
        <v>0</v>
      </c>
      <c r="O79" s="126">
        <f t="shared" si="6"/>
        <v>0</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1482" t="s">
        <v>49</v>
      </c>
      <c r="B84" s="1483" t="s">
        <v>50</v>
      </c>
      <c r="C84" s="161" t="s">
        <v>8</v>
      </c>
      <c r="D84" s="491" t="s">
        <v>51</v>
      </c>
      <c r="E84" s="163" t="s">
        <v>52</v>
      </c>
      <c r="F84" s="164" t="s">
        <v>53</v>
      </c>
      <c r="G84" s="164" t="s">
        <v>54</v>
      </c>
      <c r="H84" s="164" t="s">
        <v>55</v>
      </c>
      <c r="I84" s="164" t="s">
        <v>56</v>
      </c>
      <c r="J84" s="164" t="s">
        <v>57</v>
      </c>
      <c r="K84" s="165" t="s">
        <v>58</v>
      </c>
    </row>
    <row r="85" spans="1:16" ht="15" customHeight="1">
      <c r="A85" s="2565"/>
      <c r="B85" s="2025"/>
      <c r="C85" s="84">
        <v>2014</v>
      </c>
      <c r="D85" s="166"/>
      <c r="E85" s="167"/>
      <c r="F85" s="34"/>
      <c r="G85" s="34"/>
      <c r="H85" s="34"/>
      <c r="I85" s="34"/>
      <c r="J85" s="34"/>
      <c r="K85" s="37"/>
    </row>
    <row r="86" spans="1:16">
      <c r="A86" s="2565"/>
      <c r="B86" s="2025"/>
      <c r="C86" s="86">
        <v>2015</v>
      </c>
      <c r="D86" s="168"/>
      <c r="E86" s="118"/>
      <c r="F86" s="42"/>
      <c r="G86" s="42"/>
      <c r="H86" s="42"/>
      <c r="I86" s="42"/>
      <c r="J86" s="42"/>
      <c r="K86" s="99"/>
    </row>
    <row r="87" spans="1:16">
      <c r="A87" s="2565"/>
      <c r="B87" s="2025"/>
      <c r="C87" s="86">
        <v>2016</v>
      </c>
      <c r="D87" s="168"/>
      <c r="E87" s="118"/>
      <c r="F87" s="42"/>
      <c r="G87" s="42"/>
      <c r="H87" s="42"/>
      <c r="I87" s="42"/>
      <c r="J87" s="42"/>
      <c r="K87" s="99"/>
    </row>
    <row r="88" spans="1:16">
      <c r="A88" s="2565"/>
      <c r="B88" s="2025"/>
      <c r="C88" s="86">
        <v>2017</v>
      </c>
      <c r="D88" s="168"/>
      <c r="E88" s="118"/>
      <c r="F88" s="42"/>
      <c r="G88" s="42"/>
      <c r="H88" s="42"/>
      <c r="I88" s="42"/>
      <c r="J88" s="42"/>
      <c r="K88" s="99"/>
    </row>
    <row r="89" spans="1:16">
      <c r="A89" s="2565"/>
      <c r="B89" s="2025"/>
      <c r="C89" s="86">
        <v>2018</v>
      </c>
      <c r="D89" s="168"/>
      <c r="E89" s="118"/>
      <c r="F89" s="42"/>
      <c r="G89" s="42"/>
      <c r="H89" s="42"/>
      <c r="I89" s="42"/>
      <c r="J89" s="42"/>
      <c r="K89" s="99"/>
    </row>
    <row r="90" spans="1:16">
      <c r="A90" s="2565"/>
      <c r="B90" s="2025"/>
      <c r="C90" s="86">
        <v>2019</v>
      </c>
      <c r="D90" s="168"/>
      <c r="E90" s="118"/>
      <c r="F90" s="42"/>
      <c r="G90" s="42"/>
      <c r="H90" s="42"/>
      <c r="I90" s="42"/>
      <c r="J90" s="42"/>
      <c r="K90" s="99"/>
    </row>
    <row r="91" spans="1:16">
      <c r="A91" s="2565"/>
      <c r="B91" s="2025"/>
      <c r="C91" s="86">
        <v>2020</v>
      </c>
      <c r="D91" s="168"/>
      <c r="E91" s="118"/>
      <c r="F91" s="42"/>
      <c r="G91" s="42"/>
      <c r="H91" s="42"/>
      <c r="I91" s="42"/>
      <c r="J91" s="42"/>
      <c r="K91" s="99"/>
    </row>
    <row r="92" spans="1:16" ht="18" customHeight="1" thickBot="1">
      <c r="A92" s="2073"/>
      <c r="B92" s="2027"/>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664" t="s">
        <v>60</v>
      </c>
      <c r="B96" s="2666" t="s">
        <v>61</v>
      </c>
      <c r="C96" s="2669" t="s">
        <v>8</v>
      </c>
      <c r="D96" s="2207" t="s">
        <v>62</v>
      </c>
      <c r="E96" s="2208"/>
      <c r="F96" s="174" t="s">
        <v>63</v>
      </c>
      <c r="G96" s="1484"/>
      <c r="H96" s="1484"/>
      <c r="I96" s="1484"/>
      <c r="J96" s="1484"/>
      <c r="K96" s="1484"/>
      <c r="L96" s="1484"/>
      <c r="M96" s="494"/>
      <c r="N96" s="177"/>
      <c r="O96" s="177"/>
      <c r="P96" s="177"/>
    </row>
    <row r="97" spans="1:16" ht="100.5" customHeight="1">
      <c r="A97" s="2041"/>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560"/>
      <c r="B98" s="2025"/>
      <c r="C98" s="112">
        <v>2014</v>
      </c>
      <c r="D98" s="33"/>
      <c r="E98" s="34"/>
      <c r="F98" s="186"/>
      <c r="G98" s="187"/>
      <c r="H98" s="187"/>
      <c r="I98" s="187"/>
      <c r="J98" s="187"/>
      <c r="K98" s="187"/>
      <c r="L98" s="187"/>
      <c r="M98" s="188"/>
      <c r="N98" s="177"/>
      <c r="O98" s="177"/>
      <c r="P98" s="177"/>
    </row>
    <row r="99" spans="1:16" ht="16.5" customHeight="1">
      <c r="A99" s="2561"/>
      <c r="B99" s="2025"/>
      <c r="C99" s="116">
        <v>2015</v>
      </c>
      <c r="D99" s="50"/>
      <c r="E99" s="42"/>
      <c r="F99" s="189"/>
      <c r="G99" s="190"/>
      <c r="H99" s="190"/>
      <c r="I99" s="190"/>
      <c r="J99" s="190"/>
      <c r="K99" s="190"/>
      <c r="L99" s="190"/>
      <c r="M99" s="193"/>
      <c r="N99" s="177"/>
      <c r="O99" s="177"/>
      <c r="P99" s="177"/>
    </row>
    <row r="100" spans="1:16" ht="16.5" customHeight="1">
      <c r="A100" s="2561"/>
      <c r="B100" s="2025"/>
      <c r="C100" s="116">
        <v>2016</v>
      </c>
      <c r="D100" s="50"/>
      <c r="E100" s="42"/>
      <c r="F100" s="189"/>
      <c r="G100" s="190"/>
      <c r="H100" s="190"/>
      <c r="I100" s="190"/>
      <c r="J100" s="190"/>
      <c r="K100" s="190"/>
      <c r="L100" s="190"/>
      <c r="M100" s="193"/>
      <c r="N100" s="177"/>
      <c r="O100" s="177"/>
      <c r="P100" s="177"/>
    </row>
    <row r="101" spans="1:16" ht="16.5" customHeight="1">
      <c r="A101" s="2561"/>
      <c r="B101" s="2025"/>
      <c r="C101" s="116">
        <v>2017</v>
      </c>
      <c r="D101" s="50"/>
      <c r="E101" s="42"/>
      <c r="F101" s="189"/>
      <c r="G101" s="190"/>
      <c r="H101" s="190"/>
      <c r="I101" s="190"/>
      <c r="J101" s="190"/>
      <c r="K101" s="190"/>
      <c r="L101" s="190"/>
      <c r="M101" s="193"/>
      <c r="N101" s="177"/>
      <c r="O101" s="177"/>
      <c r="P101" s="177"/>
    </row>
    <row r="102" spans="1:16" ht="15.75" customHeight="1">
      <c r="A102" s="2561"/>
      <c r="B102" s="2025"/>
      <c r="C102" s="116">
        <v>2018</v>
      </c>
      <c r="D102" s="50"/>
      <c r="E102" s="42"/>
      <c r="F102" s="189"/>
      <c r="G102" s="190"/>
      <c r="H102" s="190"/>
      <c r="I102" s="190"/>
      <c r="J102" s="190"/>
      <c r="K102" s="190"/>
      <c r="L102" s="190"/>
      <c r="M102" s="193"/>
      <c r="N102" s="177"/>
      <c r="O102" s="177"/>
      <c r="P102" s="177"/>
    </row>
    <row r="103" spans="1:16" ht="14.25" customHeight="1">
      <c r="A103" s="2561"/>
      <c r="B103" s="2025"/>
      <c r="C103" s="116">
        <v>2019</v>
      </c>
      <c r="D103" s="50"/>
      <c r="E103" s="42"/>
      <c r="F103" s="189"/>
      <c r="G103" s="190"/>
      <c r="H103" s="190"/>
      <c r="I103" s="190"/>
      <c r="J103" s="190"/>
      <c r="K103" s="190"/>
      <c r="L103" s="190"/>
      <c r="M103" s="193"/>
      <c r="N103" s="177"/>
      <c r="O103" s="177"/>
      <c r="P103" s="177"/>
    </row>
    <row r="104" spans="1:16" ht="14.25" customHeight="1">
      <c r="A104" s="2561"/>
      <c r="B104" s="2025"/>
      <c r="C104" s="116">
        <v>2020</v>
      </c>
      <c r="D104" s="50"/>
      <c r="E104" s="42"/>
      <c r="F104" s="189"/>
      <c r="G104" s="190"/>
      <c r="H104" s="190"/>
      <c r="I104" s="190"/>
      <c r="J104" s="190"/>
      <c r="K104" s="190"/>
      <c r="L104" s="190"/>
      <c r="M104" s="193"/>
      <c r="N104" s="177"/>
      <c r="O104" s="177"/>
      <c r="P104" s="177"/>
    </row>
    <row r="105" spans="1:16" ht="19.5" customHeight="1" thickBot="1">
      <c r="A105" s="2046"/>
      <c r="B105" s="2027"/>
      <c r="C105" s="122" t="s">
        <v>12</v>
      </c>
      <c r="D105" s="151">
        <f>SUM(D98:D104)</f>
        <v>0</v>
      </c>
      <c r="E105" s="125">
        <f t="shared" ref="E105:K105" si="8">SUM(E98:E104)</f>
        <v>0</v>
      </c>
      <c r="F105" s="194">
        <f t="shared" si="8"/>
        <v>0</v>
      </c>
      <c r="G105" s="195">
        <f t="shared" si="8"/>
        <v>0</v>
      </c>
      <c r="H105" s="195">
        <f t="shared" si="8"/>
        <v>0</v>
      </c>
      <c r="I105" s="195">
        <f>SUM(I98:I104)</f>
        <v>0</v>
      </c>
      <c r="J105" s="195">
        <f t="shared" si="8"/>
        <v>0</v>
      </c>
      <c r="K105" s="195">
        <f t="shared" si="8"/>
        <v>0</v>
      </c>
      <c r="L105" s="195">
        <f>SUM(L98:L104)</f>
        <v>0</v>
      </c>
      <c r="M105" s="196">
        <f>SUM(M98:M104)</f>
        <v>0</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664" t="s">
        <v>69</v>
      </c>
      <c r="B107" s="2666" t="s">
        <v>61</v>
      </c>
      <c r="C107" s="2669" t="s">
        <v>8</v>
      </c>
      <c r="D107" s="2670" t="s">
        <v>70</v>
      </c>
      <c r="E107" s="174" t="s">
        <v>71</v>
      </c>
      <c r="F107" s="1484"/>
      <c r="G107" s="1484"/>
      <c r="H107" s="1484"/>
      <c r="I107" s="1484"/>
      <c r="J107" s="1484"/>
      <c r="K107" s="1484"/>
      <c r="L107" s="494"/>
      <c r="M107" s="199"/>
      <c r="N107" s="199"/>
    </row>
    <row r="108" spans="1:16" ht="103.5" customHeight="1">
      <c r="A108" s="2041"/>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560" t="s">
        <v>435</v>
      </c>
      <c r="B109" s="2025"/>
      <c r="C109" s="112">
        <v>2014</v>
      </c>
      <c r="D109" s="34"/>
      <c r="E109" s="186"/>
      <c r="F109" s="187"/>
      <c r="G109" s="187"/>
      <c r="H109" s="187"/>
      <c r="I109" s="187"/>
      <c r="J109" s="187"/>
      <c r="K109" s="187"/>
      <c r="L109" s="188"/>
      <c r="M109" s="199"/>
      <c r="N109" s="199"/>
    </row>
    <row r="110" spans="1:16">
      <c r="A110" s="2561"/>
      <c r="B110" s="2025"/>
      <c r="C110" s="116">
        <v>2015</v>
      </c>
      <c r="D110" s="42">
        <v>16</v>
      </c>
      <c r="E110" s="189">
        <v>16</v>
      </c>
      <c r="F110" s="190"/>
      <c r="G110" s="190"/>
      <c r="H110" s="190"/>
      <c r="I110" s="190"/>
      <c r="J110" s="190"/>
      <c r="K110" s="190"/>
      <c r="L110" s="193"/>
      <c r="M110" s="199"/>
      <c r="N110" s="199"/>
    </row>
    <row r="111" spans="1:16">
      <c r="A111" s="2561"/>
      <c r="B111" s="2025"/>
      <c r="C111" s="116">
        <v>2016</v>
      </c>
      <c r="D111" s="42">
        <v>12</v>
      </c>
      <c r="E111" s="189">
        <v>12</v>
      </c>
      <c r="F111" s="190"/>
      <c r="G111" s="190"/>
      <c r="H111" s="190"/>
      <c r="I111" s="190"/>
      <c r="J111" s="190"/>
      <c r="K111" s="190"/>
      <c r="L111" s="193"/>
      <c r="M111" s="199"/>
      <c r="N111" s="199"/>
    </row>
    <row r="112" spans="1:16">
      <c r="A112" s="2561"/>
      <c r="B112" s="2025"/>
      <c r="C112" s="116">
        <v>2017</v>
      </c>
      <c r="D112" s="42"/>
      <c r="E112" s="189"/>
      <c r="F112" s="190"/>
      <c r="G112" s="190"/>
      <c r="H112" s="190"/>
      <c r="I112" s="190"/>
      <c r="J112" s="190"/>
      <c r="K112" s="190"/>
      <c r="L112" s="193"/>
      <c r="M112" s="199"/>
      <c r="N112" s="199"/>
    </row>
    <row r="113" spans="1:14">
      <c r="A113" s="2561"/>
      <c r="B113" s="2025"/>
      <c r="C113" s="116">
        <v>2018</v>
      </c>
      <c r="D113" s="42"/>
      <c r="E113" s="189"/>
      <c r="F113" s="190"/>
      <c r="G113" s="190"/>
      <c r="H113" s="190"/>
      <c r="I113" s="190"/>
      <c r="J113" s="190"/>
      <c r="K113" s="190"/>
      <c r="L113" s="193"/>
      <c r="M113" s="199"/>
      <c r="N113" s="199"/>
    </row>
    <row r="114" spans="1:14">
      <c r="A114" s="2561"/>
      <c r="B114" s="2025"/>
      <c r="C114" s="116">
        <v>2019</v>
      </c>
      <c r="D114" s="42"/>
      <c r="E114" s="189"/>
      <c r="F114" s="190"/>
      <c r="G114" s="190"/>
      <c r="H114" s="190"/>
      <c r="I114" s="190"/>
      <c r="J114" s="190"/>
      <c r="K114" s="190"/>
      <c r="L114" s="193"/>
      <c r="M114" s="199"/>
      <c r="N114" s="199"/>
    </row>
    <row r="115" spans="1:14">
      <c r="A115" s="2561"/>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f t="shared" ref="D116:I116" si="9">SUM(D109:D115)</f>
        <v>28</v>
      </c>
      <c r="E116" s="194">
        <f t="shared" si="9"/>
        <v>28</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664" t="s">
        <v>72</v>
      </c>
      <c r="B118" s="2666" t="s">
        <v>61</v>
      </c>
      <c r="C118" s="2669" t="s">
        <v>8</v>
      </c>
      <c r="D118" s="2670" t="s">
        <v>73</v>
      </c>
      <c r="E118" s="174" t="s">
        <v>71</v>
      </c>
      <c r="F118" s="1484"/>
      <c r="G118" s="1484"/>
      <c r="H118" s="1484"/>
      <c r="I118" s="1484"/>
      <c r="J118" s="1484"/>
      <c r="K118" s="1484"/>
      <c r="L118" s="494"/>
      <c r="M118" s="199"/>
      <c r="N118" s="199"/>
    </row>
    <row r="119" spans="1:14" ht="120.75" customHeight="1">
      <c r="A119" s="2041"/>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560"/>
      <c r="B120" s="2025"/>
      <c r="C120" s="112">
        <v>2014</v>
      </c>
      <c r="D120" s="34"/>
      <c r="E120" s="186"/>
      <c r="F120" s="187"/>
      <c r="G120" s="187"/>
      <c r="H120" s="187"/>
      <c r="I120" s="187"/>
      <c r="J120" s="187"/>
      <c r="K120" s="187"/>
      <c r="L120" s="188"/>
      <c r="M120" s="199"/>
      <c r="N120" s="199"/>
    </row>
    <row r="121" spans="1:14">
      <c r="A121" s="2561"/>
      <c r="B121" s="2025"/>
      <c r="C121" s="116">
        <v>2015</v>
      </c>
      <c r="D121" s="42"/>
      <c r="E121" s="189"/>
      <c r="F121" s="190"/>
      <c r="G121" s="190"/>
      <c r="H121" s="190"/>
      <c r="I121" s="190"/>
      <c r="J121" s="190"/>
      <c r="K121" s="190"/>
      <c r="L121" s="193"/>
      <c r="M121" s="199"/>
      <c r="N121" s="199"/>
    </row>
    <row r="122" spans="1:14">
      <c r="A122" s="2561"/>
      <c r="B122" s="2025"/>
      <c r="C122" s="116">
        <v>2016</v>
      </c>
      <c r="D122" s="42"/>
      <c r="E122" s="189"/>
      <c r="F122" s="190"/>
      <c r="G122" s="190"/>
      <c r="H122" s="190"/>
      <c r="I122" s="190"/>
      <c r="J122" s="190"/>
      <c r="K122" s="190"/>
      <c r="L122" s="193"/>
      <c r="M122" s="199"/>
      <c r="N122" s="199"/>
    </row>
    <row r="123" spans="1:14">
      <c r="A123" s="2561"/>
      <c r="B123" s="2025"/>
      <c r="C123" s="116">
        <v>2017</v>
      </c>
      <c r="D123" s="42"/>
      <c r="E123" s="189"/>
      <c r="F123" s="190"/>
      <c r="G123" s="190"/>
      <c r="H123" s="190"/>
      <c r="I123" s="190"/>
      <c r="J123" s="190"/>
      <c r="K123" s="190"/>
      <c r="L123" s="193"/>
      <c r="M123" s="199"/>
      <c r="N123" s="199"/>
    </row>
    <row r="124" spans="1:14">
      <c r="A124" s="2561"/>
      <c r="B124" s="2025"/>
      <c r="C124" s="116">
        <v>2018</v>
      </c>
      <c r="D124" s="42"/>
      <c r="E124" s="189"/>
      <c r="F124" s="190"/>
      <c r="G124" s="190"/>
      <c r="H124" s="190"/>
      <c r="I124" s="190"/>
      <c r="J124" s="190"/>
      <c r="K124" s="190"/>
      <c r="L124" s="193"/>
      <c r="M124" s="199"/>
      <c r="N124" s="199"/>
    </row>
    <row r="125" spans="1:14">
      <c r="A125" s="2561"/>
      <c r="B125" s="2025"/>
      <c r="C125" s="116">
        <v>2019</v>
      </c>
      <c r="D125" s="42"/>
      <c r="E125" s="189"/>
      <c r="F125" s="190"/>
      <c r="G125" s="190"/>
      <c r="H125" s="190"/>
      <c r="I125" s="190"/>
      <c r="J125" s="190"/>
      <c r="K125" s="190"/>
      <c r="L125" s="193"/>
      <c r="M125" s="199"/>
      <c r="N125" s="199"/>
    </row>
    <row r="126" spans="1:14">
      <c r="A126" s="2561"/>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664" t="s">
        <v>74</v>
      </c>
      <c r="B129" s="2666" t="s">
        <v>61</v>
      </c>
      <c r="C129" s="1485" t="s">
        <v>8</v>
      </c>
      <c r="D129" s="496" t="s">
        <v>75</v>
      </c>
      <c r="E129" s="1486"/>
      <c r="F129" s="1486"/>
      <c r="G129" s="498"/>
      <c r="H129" s="199"/>
      <c r="I129" s="199"/>
      <c r="J129" s="199"/>
      <c r="K129" s="199"/>
      <c r="L129" s="199"/>
      <c r="M129" s="199"/>
      <c r="N129" s="199"/>
    </row>
    <row r="130" spans="1:16" ht="77.25" customHeight="1">
      <c r="A130" s="2041"/>
      <c r="B130" s="2043"/>
      <c r="C130" s="1432"/>
      <c r="D130" s="178" t="s">
        <v>76</v>
      </c>
      <c r="E130" s="207" t="s">
        <v>77</v>
      </c>
      <c r="F130" s="179" t="s">
        <v>78</v>
      </c>
      <c r="G130" s="208" t="s">
        <v>12</v>
      </c>
      <c r="H130" s="199"/>
      <c r="I130" s="199"/>
      <c r="J130" s="199"/>
      <c r="K130" s="199"/>
      <c r="L130" s="199"/>
      <c r="M130" s="199"/>
      <c r="N130" s="199"/>
    </row>
    <row r="131" spans="1:16" ht="15" customHeight="1">
      <c r="A131" s="2563" t="s">
        <v>436</v>
      </c>
      <c r="B131" s="1988"/>
      <c r="C131" s="112">
        <v>2015</v>
      </c>
      <c r="D131" s="33"/>
      <c r="E131" s="34"/>
      <c r="F131" s="34"/>
      <c r="G131" s="209">
        <f t="shared" ref="G131:G136" si="11">SUM(D131:F131)</f>
        <v>0</v>
      </c>
      <c r="H131" s="199"/>
      <c r="I131" s="199"/>
      <c r="J131" s="199"/>
      <c r="K131" s="199"/>
      <c r="L131" s="199"/>
      <c r="M131" s="199"/>
      <c r="N131" s="199"/>
    </row>
    <row r="132" spans="1:16">
      <c r="A132" s="2558"/>
      <c r="B132" s="1988"/>
      <c r="C132" s="116">
        <v>2016</v>
      </c>
      <c r="D132" s="50"/>
      <c r="E132" s="42">
        <v>2</v>
      </c>
      <c r="F132" s="42"/>
      <c r="G132" s="209">
        <f t="shared" si="11"/>
        <v>2</v>
      </c>
      <c r="H132" s="199"/>
      <c r="I132" s="199"/>
      <c r="J132" s="199"/>
      <c r="K132" s="199"/>
      <c r="L132" s="199"/>
      <c r="M132" s="199"/>
      <c r="N132" s="199"/>
    </row>
    <row r="133" spans="1:16">
      <c r="A133" s="2558"/>
      <c r="B133" s="1988"/>
      <c r="C133" s="116">
        <v>2017</v>
      </c>
      <c r="D133" s="50"/>
      <c r="E133" s="42"/>
      <c r="F133" s="42"/>
      <c r="G133" s="209">
        <f t="shared" si="11"/>
        <v>0</v>
      </c>
      <c r="H133" s="199"/>
      <c r="I133" s="199"/>
      <c r="J133" s="199"/>
      <c r="K133" s="199"/>
      <c r="L133" s="199"/>
      <c r="M133" s="199"/>
      <c r="N133" s="199"/>
    </row>
    <row r="134" spans="1:16">
      <c r="A134" s="2558"/>
      <c r="B134" s="1988"/>
      <c r="C134" s="116">
        <v>2018</v>
      </c>
      <c r="D134" s="50"/>
      <c r="E134" s="42"/>
      <c r="F134" s="42"/>
      <c r="G134" s="209">
        <f t="shared" si="11"/>
        <v>0</v>
      </c>
      <c r="H134" s="199"/>
      <c r="I134" s="199"/>
      <c r="J134" s="199"/>
      <c r="K134" s="199"/>
      <c r="L134" s="199"/>
      <c r="M134" s="199"/>
      <c r="N134" s="199"/>
    </row>
    <row r="135" spans="1:16">
      <c r="A135" s="2558"/>
      <c r="B135" s="1988"/>
      <c r="C135" s="116">
        <v>2019</v>
      </c>
      <c r="D135" s="50"/>
      <c r="E135" s="42"/>
      <c r="F135" s="42"/>
      <c r="G135" s="209">
        <f t="shared" si="11"/>
        <v>0</v>
      </c>
      <c r="H135" s="199"/>
      <c r="I135" s="199"/>
      <c r="J135" s="199"/>
      <c r="K135" s="199"/>
      <c r="L135" s="199"/>
      <c r="M135" s="199"/>
      <c r="N135" s="199"/>
    </row>
    <row r="136" spans="1:16">
      <c r="A136" s="2558"/>
      <c r="B136" s="1988"/>
      <c r="C136" s="116">
        <v>2020</v>
      </c>
      <c r="D136" s="50"/>
      <c r="E136" s="42"/>
      <c r="F136" s="42"/>
      <c r="G136" s="209">
        <f t="shared" si="11"/>
        <v>0</v>
      </c>
      <c r="H136" s="199"/>
      <c r="I136" s="199"/>
      <c r="J136" s="199"/>
      <c r="K136" s="199"/>
      <c r="L136" s="199"/>
      <c r="M136" s="199"/>
      <c r="N136" s="199"/>
    </row>
    <row r="137" spans="1:16" ht="17.25" customHeight="1" thickBot="1">
      <c r="A137" s="1989"/>
      <c r="B137" s="1990"/>
      <c r="C137" s="122" t="s">
        <v>12</v>
      </c>
      <c r="D137" s="151">
        <f>SUM(D131:D136)</f>
        <v>0</v>
      </c>
      <c r="E137" s="151">
        <f t="shared" ref="E137:F137" si="12">SUM(E131:E136)</f>
        <v>2</v>
      </c>
      <c r="F137" s="151">
        <f t="shared" si="12"/>
        <v>0</v>
      </c>
      <c r="G137" s="210">
        <f>SUM(G131:G136)</f>
        <v>2</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667" t="s">
        <v>80</v>
      </c>
      <c r="B142" s="2657" t="s">
        <v>61</v>
      </c>
      <c r="C142" s="2659" t="s">
        <v>8</v>
      </c>
      <c r="D142" s="1487" t="s">
        <v>81</v>
      </c>
      <c r="E142" s="1488"/>
      <c r="F142" s="1488"/>
      <c r="G142" s="1488"/>
      <c r="H142" s="1488"/>
      <c r="I142" s="1489"/>
      <c r="J142" s="2653" t="s">
        <v>82</v>
      </c>
      <c r="K142" s="2654"/>
      <c r="L142" s="2654"/>
      <c r="M142" s="2654"/>
      <c r="N142" s="2655"/>
      <c r="O142" s="177"/>
      <c r="P142" s="177"/>
    </row>
    <row r="143" spans="1:16" ht="113.25" customHeight="1">
      <c r="A143" s="2045"/>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560"/>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561"/>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561"/>
      <c r="B146" s="2025"/>
      <c r="C146" s="116">
        <v>2016</v>
      </c>
      <c r="D146" s="50"/>
      <c r="E146" s="50"/>
      <c r="F146" s="42"/>
      <c r="G146" s="190"/>
      <c r="H146" s="190"/>
      <c r="I146" s="227">
        <f t="shared" si="13"/>
        <v>0</v>
      </c>
      <c r="J146" s="231"/>
      <c r="K146" s="232"/>
      <c r="L146" s="231"/>
      <c r="M146" s="232"/>
      <c r="N146" s="233"/>
      <c r="O146" s="177"/>
      <c r="P146" s="177"/>
    </row>
    <row r="147" spans="1:16" ht="17.25" customHeight="1">
      <c r="A147" s="2561"/>
      <c r="B147" s="2025"/>
      <c r="C147" s="116">
        <v>2017</v>
      </c>
      <c r="D147" s="50"/>
      <c r="E147" s="50"/>
      <c r="F147" s="42"/>
      <c r="G147" s="190"/>
      <c r="H147" s="190"/>
      <c r="I147" s="227">
        <f t="shared" si="13"/>
        <v>0</v>
      </c>
      <c r="J147" s="231"/>
      <c r="K147" s="232"/>
      <c r="L147" s="231"/>
      <c r="M147" s="232"/>
      <c r="N147" s="233"/>
      <c r="O147" s="177"/>
      <c r="P147" s="177"/>
    </row>
    <row r="148" spans="1:16" ht="19.5" customHeight="1">
      <c r="A148" s="2561"/>
      <c r="B148" s="2025"/>
      <c r="C148" s="116">
        <v>2018</v>
      </c>
      <c r="D148" s="50"/>
      <c r="E148" s="50"/>
      <c r="F148" s="42"/>
      <c r="G148" s="190"/>
      <c r="H148" s="190"/>
      <c r="I148" s="227">
        <f t="shared" si="13"/>
        <v>0</v>
      </c>
      <c r="J148" s="231"/>
      <c r="K148" s="232"/>
      <c r="L148" s="231"/>
      <c r="M148" s="232"/>
      <c r="N148" s="233"/>
      <c r="O148" s="177"/>
      <c r="P148" s="177"/>
    </row>
    <row r="149" spans="1:16" ht="19.5" customHeight="1">
      <c r="A149" s="2561"/>
      <c r="B149" s="2025"/>
      <c r="C149" s="116">
        <v>2019</v>
      </c>
      <c r="D149" s="50"/>
      <c r="E149" s="50"/>
      <c r="F149" s="42"/>
      <c r="G149" s="190"/>
      <c r="H149" s="190"/>
      <c r="I149" s="227">
        <f t="shared" si="13"/>
        <v>0</v>
      </c>
      <c r="J149" s="231"/>
      <c r="K149" s="232"/>
      <c r="L149" s="231"/>
      <c r="M149" s="232"/>
      <c r="N149" s="233"/>
      <c r="O149" s="177"/>
      <c r="P149" s="177"/>
    </row>
    <row r="150" spans="1:16" ht="18.75" customHeight="1">
      <c r="A150" s="2561"/>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656" t="s">
        <v>93</v>
      </c>
      <c r="B153" s="2657" t="s">
        <v>61</v>
      </c>
      <c r="C153" s="2658" t="s">
        <v>8</v>
      </c>
      <c r="D153" s="1490" t="s">
        <v>94</v>
      </c>
      <c r="E153" s="1490"/>
      <c r="F153" s="503"/>
      <c r="G153" s="503"/>
      <c r="H153" s="1490" t="s">
        <v>95</v>
      </c>
      <c r="I153" s="1490"/>
      <c r="J153" s="504"/>
      <c r="K153" s="31"/>
      <c r="L153" s="31"/>
      <c r="M153" s="31"/>
      <c r="N153" s="31"/>
      <c r="O153" s="177"/>
      <c r="P153" s="177"/>
    </row>
    <row r="154" spans="1:16" ht="49.5" customHeight="1">
      <c r="A154" s="2562"/>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560"/>
      <c r="B155" s="2025"/>
      <c r="C155" s="247">
        <v>2014</v>
      </c>
      <c r="D155" s="228"/>
      <c r="E155" s="187"/>
      <c r="F155" s="229"/>
      <c r="G155" s="227">
        <f>SUM(D155:F155)</f>
        <v>0</v>
      </c>
      <c r="H155" s="228"/>
      <c r="I155" s="187"/>
      <c r="J155" s="188"/>
      <c r="O155" s="177"/>
      <c r="P155" s="177"/>
    </row>
    <row r="156" spans="1:16" ht="19.5" customHeight="1">
      <c r="A156" s="2561"/>
      <c r="B156" s="2025"/>
      <c r="C156" s="248">
        <v>2015</v>
      </c>
      <c r="D156" s="231"/>
      <c r="E156" s="190"/>
      <c r="F156" s="232"/>
      <c r="G156" s="227">
        <f t="shared" ref="G156:G161" si="15">SUM(D156:F156)</f>
        <v>0</v>
      </c>
      <c r="H156" s="231"/>
      <c r="I156" s="190"/>
      <c r="J156" s="193"/>
      <c r="O156" s="177"/>
      <c r="P156" s="177"/>
    </row>
    <row r="157" spans="1:16" ht="17.25" customHeight="1">
      <c r="A157" s="2561"/>
      <c r="B157" s="2025"/>
      <c r="C157" s="248">
        <v>2016</v>
      </c>
      <c r="D157" s="231"/>
      <c r="E157" s="190"/>
      <c r="F157" s="232"/>
      <c r="G157" s="227">
        <f t="shared" si="15"/>
        <v>0</v>
      </c>
      <c r="H157" s="231"/>
      <c r="I157" s="190"/>
      <c r="J157" s="193"/>
      <c r="O157" s="177"/>
      <c r="P157" s="177"/>
    </row>
    <row r="158" spans="1:16" ht="15" customHeight="1">
      <c r="A158" s="2561"/>
      <c r="B158" s="2025"/>
      <c r="C158" s="248">
        <v>2017</v>
      </c>
      <c r="D158" s="231"/>
      <c r="E158" s="190"/>
      <c r="F158" s="232"/>
      <c r="G158" s="227">
        <f t="shared" si="15"/>
        <v>0</v>
      </c>
      <c r="H158" s="231"/>
      <c r="I158" s="190"/>
      <c r="J158" s="193"/>
      <c r="O158" s="177"/>
      <c r="P158" s="177"/>
    </row>
    <row r="159" spans="1:16" ht="19.5" customHeight="1">
      <c r="A159" s="2561"/>
      <c r="B159" s="2025"/>
      <c r="C159" s="248">
        <v>2018</v>
      </c>
      <c r="D159" s="231"/>
      <c r="E159" s="190"/>
      <c r="F159" s="232"/>
      <c r="G159" s="227">
        <f t="shared" si="15"/>
        <v>0</v>
      </c>
      <c r="H159" s="231"/>
      <c r="I159" s="190"/>
      <c r="J159" s="193"/>
      <c r="O159" s="177"/>
      <c r="P159" s="177"/>
    </row>
    <row r="160" spans="1:16" ht="15" customHeight="1">
      <c r="A160" s="2561"/>
      <c r="B160" s="2025"/>
      <c r="C160" s="248">
        <v>2019</v>
      </c>
      <c r="D160" s="231"/>
      <c r="E160" s="190"/>
      <c r="F160" s="232"/>
      <c r="G160" s="227">
        <f t="shared" si="15"/>
        <v>0</v>
      </c>
      <c r="H160" s="231"/>
      <c r="I160" s="190"/>
      <c r="J160" s="193"/>
      <c r="O160" s="177"/>
      <c r="P160" s="177"/>
    </row>
    <row r="161" spans="1:18" ht="17.25" customHeight="1">
      <c r="A161" s="2561"/>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1491"/>
      <c r="F163" s="177"/>
      <c r="G163" s="177"/>
      <c r="H163" s="177"/>
      <c r="I163" s="177"/>
      <c r="J163" s="255"/>
      <c r="K163" s="256"/>
    </row>
    <row r="164" spans="1:18" ht="95.25" customHeight="1">
      <c r="A164" s="257" t="s">
        <v>102</v>
      </c>
      <c r="B164" s="258" t="s">
        <v>103</v>
      </c>
      <c r="C164" s="1447" t="s">
        <v>8</v>
      </c>
      <c r="D164" s="260" t="s">
        <v>104</v>
      </c>
      <c r="E164" s="260" t="s">
        <v>105</v>
      </c>
      <c r="F164" s="1492" t="s">
        <v>106</v>
      </c>
      <c r="G164" s="260" t="s">
        <v>107</v>
      </c>
      <c r="H164" s="260" t="s">
        <v>108</v>
      </c>
      <c r="I164" s="262" t="s">
        <v>109</v>
      </c>
      <c r="J164" s="263" t="s">
        <v>110</v>
      </c>
      <c r="K164" s="263" t="s">
        <v>111</v>
      </c>
      <c r="L164" s="1380"/>
    </row>
    <row r="165" spans="1:18" ht="15.75" customHeight="1">
      <c r="A165" s="2011"/>
      <c r="B165" s="2012"/>
      <c r="C165" s="265">
        <v>2014</v>
      </c>
      <c r="D165" s="187"/>
      <c r="E165" s="187"/>
      <c r="F165" s="187"/>
      <c r="G165" s="187"/>
      <c r="H165" s="187"/>
      <c r="I165" s="188"/>
      <c r="J165" s="266">
        <f>SUM(D165,F165,H165)</f>
        <v>0</v>
      </c>
      <c r="K165" s="267">
        <f>SUM(E165,G165,I165)</f>
        <v>0</v>
      </c>
      <c r="L165" s="1380"/>
    </row>
    <row r="166" spans="1:18">
      <c r="A166" s="2013"/>
      <c r="B166" s="2014"/>
      <c r="C166" s="268">
        <v>2015</v>
      </c>
      <c r="D166" s="269"/>
      <c r="E166" s="269"/>
      <c r="F166" s="269"/>
      <c r="G166" s="269"/>
      <c r="H166" s="269"/>
      <c r="I166" s="270"/>
      <c r="J166" s="271">
        <f t="shared" ref="J166:K171" si="17">SUM(D166,F166,H166)</f>
        <v>0</v>
      </c>
      <c r="K166" s="272">
        <f t="shared" si="17"/>
        <v>0</v>
      </c>
      <c r="L166" s="1380"/>
    </row>
    <row r="167" spans="1:18">
      <c r="A167" s="2013"/>
      <c r="B167" s="2014"/>
      <c r="C167" s="268">
        <v>2016</v>
      </c>
      <c r="D167" s="269"/>
      <c r="E167" s="269"/>
      <c r="F167" s="269"/>
      <c r="G167" s="269"/>
      <c r="H167" s="269"/>
      <c r="I167" s="270"/>
      <c r="J167" s="271">
        <f t="shared" si="17"/>
        <v>0</v>
      </c>
      <c r="K167" s="272">
        <f t="shared" si="17"/>
        <v>0</v>
      </c>
    </row>
    <row r="168" spans="1:18">
      <c r="A168" s="2013"/>
      <c r="B168" s="2014"/>
      <c r="C168" s="268">
        <v>2017</v>
      </c>
      <c r="D168" s="269"/>
      <c r="E168" s="177"/>
      <c r="F168" s="269"/>
      <c r="G168" s="269"/>
      <c r="H168" s="269"/>
      <c r="I168" s="270"/>
      <c r="J168" s="271">
        <f t="shared" si="17"/>
        <v>0</v>
      </c>
      <c r="K168" s="272">
        <f t="shared" si="17"/>
        <v>0</v>
      </c>
    </row>
    <row r="169" spans="1:18">
      <c r="A169" s="2013"/>
      <c r="B169" s="2014"/>
      <c r="C169" s="273">
        <v>2018</v>
      </c>
      <c r="D169" s="269"/>
      <c r="E169" s="269"/>
      <c r="F169" s="269"/>
      <c r="G169" s="274"/>
      <c r="H169" s="269"/>
      <c r="I169" s="270"/>
      <c r="J169" s="271">
        <f t="shared" si="17"/>
        <v>0</v>
      </c>
      <c r="K169" s="272">
        <f t="shared" si="17"/>
        <v>0</v>
      </c>
      <c r="L169" s="1380"/>
    </row>
    <row r="170" spans="1:18">
      <c r="A170" s="2013"/>
      <c r="B170" s="2014"/>
      <c r="C170" s="268">
        <v>2019</v>
      </c>
      <c r="D170" s="177"/>
      <c r="E170" s="269"/>
      <c r="F170" s="269"/>
      <c r="G170" s="269"/>
      <c r="H170" s="274"/>
      <c r="I170" s="270"/>
      <c r="J170" s="271">
        <f t="shared" si="17"/>
        <v>0</v>
      </c>
      <c r="K170" s="272">
        <f t="shared" si="17"/>
        <v>0</v>
      </c>
      <c r="L170" s="1380"/>
    </row>
    <row r="171" spans="1:18">
      <c r="A171" s="2013"/>
      <c r="B171" s="2014"/>
      <c r="C171" s="273">
        <v>2020</v>
      </c>
      <c r="D171" s="269"/>
      <c r="E171" s="269"/>
      <c r="F171" s="269"/>
      <c r="G171" s="269"/>
      <c r="H171" s="269"/>
      <c r="I171" s="270"/>
      <c r="J171" s="271">
        <f t="shared" si="17"/>
        <v>0</v>
      </c>
      <c r="K171" s="272">
        <f t="shared" si="17"/>
        <v>0</v>
      </c>
      <c r="L171" s="1380"/>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1380"/>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660" t="s">
        <v>113</v>
      </c>
      <c r="B176" s="2651" t="s">
        <v>114</v>
      </c>
      <c r="C176" s="2662" t="s">
        <v>8</v>
      </c>
      <c r="D176" s="510" t="s">
        <v>115</v>
      </c>
      <c r="E176" s="1495"/>
      <c r="F176" s="1495"/>
      <c r="G176" s="512"/>
      <c r="H176" s="513"/>
      <c r="I176" s="2021" t="s">
        <v>116</v>
      </c>
      <c r="J176" s="2663"/>
      <c r="K176" s="2663"/>
      <c r="L176" s="2663"/>
      <c r="M176" s="2663"/>
      <c r="N176" s="2663"/>
      <c r="O176" s="2233"/>
    </row>
    <row r="177" spans="1:15" s="31" customFormat="1" ht="129.75" customHeight="1">
      <c r="A177" s="2018"/>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561" t="s">
        <v>437</v>
      </c>
      <c r="B178" s="2398"/>
      <c r="C178" s="112">
        <v>2014</v>
      </c>
      <c r="D178" s="33"/>
      <c r="E178" s="34"/>
      <c r="F178" s="34"/>
      <c r="G178" s="293">
        <f>SUM(D178:F178)</f>
        <v>0</v>
      </c>
      <c r="H178" s="167"/>
      <c r="I178" s="167"/>
      <c r="J178" s="34"/>
      <c r="K178" s="34"/>
      <c r="L178" s="34"/>
      <c r="M178" s="34"/>
      <c r="N178" s="34"/>
      <c r="O178" s="37"/>
    </row>
    <row r="179" spans="1:15">
      <c r="A179" s="2561"/>
      <c r="B179" s="2398"/>
      <c r="C179" s="116">
        <v>2015</v>
      </c>
      <c r="D179" s="50"/>
      <c r="E179" s="42"/>
      <c r="F179" s="42"/>
      <c r="G179" s="293">
        <f t="shared" ref="G179:G184" si="19">SUM(D179:F179)</f>
        <v>0</v>
      </c>
      <c r="H179" s="294"/>
      <c r="I179" s="118"/>
      <c r="J179" s="42"/>
      <c r="K179" s="42"/>
      <c r="L179" s="42"/>
      <c r="M179" s="42"/>
      <c r="N179" s="42"/>
      <c r="O179" s="99"/>
    </row>
    <row r="180" spans="1:15">
      <c r="A180" s="2561"/>
      <c r="B180" s="2398"/>
      <c r="C180" s="116">
        <v>2016</v>
      </c>
      <c r="D180" s="50">
        <v>18</v>
      </c>
      <c r="E180" s="42"/>
      <c r="F180" s="42">
        <v>1</v>
      </c>
      <c r="G180" s="293">
        <f t="shared" si="19"/>
        <v>19</v>
      </c>
      <c r="H180" s="294">
        <v>19</v>
      </c>
      <c r="I180" s="118">
        <v>19</v>
      </c>
      <c r="J180" s="42"/>
      <c r="K180" s="42"/>
      <c r="L180" s="42"/>
      <c r="M180" s="42"/>
      <c r="N180" s="42"/>
      <c r="O180" s="99"/>
    </row>
    <row r="181" spans="1:15">
      <c r="A181" s="2561"/>
      <c r="B181" s="2398"/>
      <c r="C181" s="116">
        <v>2017</v>
      </c>
      <c r="D181" s="50"/>
      <c r="E181" s="42"/>
      <c r="F181" s="42"/>
      <c r="G181" s="293">
        <f t="shared" si="19"/>
        <v>0</v>
      </c>
      <c r="H181" s="294"/>
      <c r="I181" s="118"/>
      <c r="J181" s="42"/>
      <c r="K181" s="42"/>
      <c r="L181" s="42"/>
      <c r="M181" s="42"/>
      <c r="N181" s="42"/>
      <c r="O181" s="99"/>
    </row>
    <row r="182" spans="1:15">
      <c r="A182" s="2561"/>
      <c r="B182" s="2398"/>
      <c r="C182" s="116">
        <v>2018</v>
      </c>
      <c r="D182" s="50"/>
      <c r="E182" s="42"/>
      <c r="F182" s="42"/>
      <c r="G182" s="293">
        <f t="shared" si="19"/>
        <v>0</v>
      </c>
      <c r="H182" s="294"/>
      <c r="I182" s="118"/>
      <c r="J182" s="42"/>
      <c r="K182" s="42"/>
      <c r="L182" s="42"/>
      <c r="M182" s="42"/>
      <c r="N182" s="42"/>
      <c r="O182" s="99"/>
    </row>
    <row r="183" spans="1:15">
      <c r="A183" s="2561"/>
      <c r="B183" s="2398"/>
      <c r="C183" s="116">
        <v>2019</v>
      </c>
      <c r="D183" s="50"/>
      <c r="E183" s="42"/>
      <c r="F183" s="42"/>
      <c r="G183" s="293">
        <f t="shared" si="19"/>
        <v>0</v>
      </c>
      <c r="H183" s="294"/>
      <c r="I183" s="118"/>
      <c r="J183" s="42"/>
      <c r="K183" s="42"/>
      <c r="L183" s="42"/>
      <c r="M183" s="42"/>
      <c r="N183" s="42"/>
      <c r="O183" s="99"/>
    </row>
    <row r="184" spans="1:15">
      <c r="A184" s="2561"/>
      <c r="B184" s="2398"/>
      <c r="C184" s="116">
        <v>2020</v>
      </c>
      <c r="D184" s="50"/>
      <c r="E184" s="42"/>
      <c r="F184" s="42"/>
      <c r="G184" s="293">
        <f t="shared" si="19"/>
        <v>0</v>
      </c>
      <c r="H184" s="294"/>
      <c r="I184" s="118"/>
      <c r="J184" s="42"/>
      <c r="K184" s="42"/>
      <c r="L184" s="42"/>
      <c r="M184" s="42"/>
      <c r="N184" s="42"/>
      <c r="O184" s="99"/>
    </row>
    <row r="185" spans="1:15" ht="45" customHeight="1" thickBot="1">
      <c r="A185" s="2026"/>
      <c r="B185" s="2399"/>
      <c r="C185" s="122" t="s">
        <v>12</v>
      </c>
      <c r="D185" s="151">
        <f>SUM(D178:D184)</f>
        <v>18</v>
      </c>
      <c r="E185" s="125">
        <f>SUM(E178:E184)</f>
        <v>0</v>
      </c>
      <c r="F185" s="125">
        <f>SUM(F178:F184)</f>
        <v>1</v>
      </c>
      <c r="G185" s="234">
        <f t="shared" ref="G185:O185" si="20">SUM(G178:G184)</f>
        <v>19</v>
      </c>
      <c r="H185" s="295">
        <f t="shared" si="20"/>
        <v>19</v>
      </c>
      <c r="I185" s="124">
        <f t="shared" si="20"/>
        <v>19</v>
      </c>
      <c r="J185" s="125">
        <f t="shared" si="20"/>
        <v>0</v>
      </c>
      <c r="K185" s="125">
        <f t="shared" si="20"/>
        <v>0</v>
      </c>
      <c r="L185" s="125">
        <f t="shared" si="20"/>
        <v>0</v>
      </c>
      <c r="M185" s="125">
        <f t="shared" si="20"/>
        <v>0</v>
      </c>
      <c r="N185" s="125">
        <f t="shared" si="20"/>
        <v>0</v>
      </c>
      <c r="O185" s="126">
        <f t="shared" si="20"/>
        <v>0</v>
      </c>
    </row>
    <row r="186" spans="1:15" ht="33" customHeight="1" thickBot="1"/>
    <row r="187" spans="1:15" ht="19.5" customHeight="1">
      <c r="A187" s="1994" t="s">
        <v>122</v>
      </c>
      <c r="B187" s="2651" t="s">
        <v>114</v>
      </c>
      <c r="C187" s="1998" t="s">
        <v>8</v>
      </c>
      <c r="D187" s="2000" t="s">
        <v>123</v>
      </c>
      <c r="E187" s="2652"/>
      <c r="F187" s="2652"/>
      <c r="G187" s="2220"/>
      <c r="H187" s="2221"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005" t="s">
        <v>438</v>
      </c>
      <c r="B189" s="2112"/>
      <c r="C189" s="392">
        <v>2014</v>
      </c>
      <c r="D189" s="142"/>
      <c r="E189" s="115"/>
      <c r="F189" s="115"/>
      <c r="G189" s="301">
        <f>SUM(D189:F189)</f>
        <v>0</v>
      </c>
      <c r="H189" s="114"/>
      <c r="I189" s="115"/>
      <c r="J189" s="115"/>
      <c r="K189" s="115"/>
      <c r="L189" s="143"/>
    </row>
    <row r="190" spans="1:15">
      <c r="A190" s="2559"/>
      <c r="B190" s="1988"/>
      <c r="C190" s="86">
        <v>2015</v>
      </c>
      <c r="D190" s="50"/>
      <c r="E190" s="42"/>
      <c r="F190" s="42"/>
      <c r="G190" s="301">
        <f t="shared" ref="G190:G195" si="21">SUM(D190:F190)</f>
        <v>0</v>
      </c>
      <c r="H190" s="118"/>
      <c r="I190" s="42"/>
      <c r="J190" s="42"/>
      <c r="K190" s="42"/>
      <c r="L190" s="99"/>
    </row>
    <row r="191" spans="1:15">
      <c r="A191" s="2559"/>
      <c r="B191" s="1988"/>
      <c r="C191" s="86">
        <v>2016</v>
      </c>
      <c r="D191" s="50">
        <v>481</v>
      </c>
      <c r="E191" s="42"/>
      <c r="F191" s="42">
        <v>4</v>
      </c>
      <c r="G191" s="301">
        <f t="shared" si="21"/>
        <v>485</v>
      </c>
      <c r="H191" s="118"/>
      <c r="I191" s="42"/>
      <c r="J191" s="42">
        <v>4</v>
      </c>
      <c r="K191" s="42">
        <v>481</v>
      </c>
      <c r="L191" s="99"/>
    </row>
    <row r="192" spans="1:15">
      <c r="A192" s="2559"/>
      <c r="B192" s="1988"/>
      <c r="C192" s="86">
        <v>2017</v>
      </c>
      <c r="D192" s="50"/>
      <c r="E192" s="42"/>
      <c r="F192" s="42"/>
      <c r="G192" s="301">
        <f t="shared" si="21"/>
        <v>0</v>
      </c>
      <c r="H192" s="118"/>
      <c r="I192" s="42"/>
      <c r="J192" s="42"/>
      <c r="K192" s="42"/>
      <c r="L192" s="99"/>
    </row>
    <row r="193" spans="1:14">
      <c r="A193" s="2559"/>
      <c r="B193" s="1988"/>
      <c r="C193" s="86">
        <v>2018</v>
      </c>
      <c r="D193" s="50"/>
      <c r="E193" s="42"/>
      <c r="F193" s="42"/>
      <c r="G193" s="301">
        <f t="shared" si="21"/>
        <v>0</v>
      </c>
      <c r="H193" s="118"/>
      <c r="I193" s="42"/>
      <c r="J193" s="42"/>
      <c r="K193" s="42"/>
      <c r="L193" s="99"/>
    </row>
    <row r="194" spans="1:14">
      <c r="A194" s="2559"/>
      <c r="B194" s="1988"/>
      <c r="C194" s="86">
        <v>2019</v>
      </c>
      <c r="D194" s="50"/>
      <c r="E194" s="42"/>
      <c r="F194" s="42"/>
      <c r="G194" s="301">
        <f t="shared" si="21"/>
        <v>0</v>
      </c>
      <c r="H194" s="118"/>
      <c r="I194" s="42"/>
      <c r="J194" s="42"/>
      <c r="K194" s="42"/>
      <c r="L194" s="99"/>
    </row>
    <row r="195" spans="1:14">
      <c r="A195" s="2559"/>
      <c r="B195" s="1988"/>
      <c r="C195" s="86">
        <v>2020</v>
      </c>
      <c r="D195" s="50"/>
      <c r="E195" s="42"/>
      <c r="F195" s="42"/>
      <c r="G195" s="301">
        <f t="shared" si="21"/>
        <v>0</v>
      </c>
      <c r="H195" s="118"/>
      <c r="I195" s="42"/>
      <c r="J195" s="42"/>
      <c r="K195" s="42"/>
      <c r="L195" s="99"/>
    </row>
    <row r="196" spans="1:14" ht="15.75" thickBot="1">
      <c r="A196" s="2114"/>
      <c r="B196" s="1990"/>
      <c r="C196" s="148" t="s">
        <v>12</v>
      </c>
      <c r="D196" s="151">
        <f t="shared" ref="D196:L196" si="22">SUM(D189:D195)</f>
        <v>481</v>
      </c>
      <c r="E196" s="125">
        <v>0</v>
      </c>
      <c r="F196" s="125">
        <v>4</v>
      </c>
      <c r="G196" s="304">
        <f t="shared" si="22"/>
        <v>485</v>
      </c>
      <c r="H196" s="124">
        <f t="shared" si="22"/>
        <v>0</v>
      </c>
      <c r="I196" s="125">
        <f t="shared" si="22"/>
        <v>0</v>
      </c>
      <c r="J196" s="125">
        <f t="shared" si="22"/>
        <v>4</v>
      </c>
      <c r="K196" s="125">
        <f t="shared" si="22"/>
        <v>481</v>
      </c>
      <c r="L196" s="126">
        <f t="shared" si="22"/>
        <v>0</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1499" t="s">
        <v>135</v>
      </c>
      <c r="B201" s="309" t="s">
        <v>114</v>
      </c>
      <c r="C201" s="310" t="s">
        <v>8</v>
      </c>
      <c r="D201" s="515" t="s">
        <v>136</v>
      </c>
      <c r="E201" s="312" t="s">
        <v>137</v>
      </c>
      <c r="F201" s="312" t="s">
        <v>138</v>
      </c>
      <c r="G201" s="310" t="s">
        <v>139</v>
      </c>
      <c r="H201" s="1500" t="s">
        <v>140</v>
      </c>
      <c r="I201" s="517" t="s">
        <v>141</v>
      </c>
      <c r="J201" s="518" t="s">
        <v>142</v>
      </c>
      <c r="K201" s="312" t="s">
        <v>143</v>
      </c>
      <c r="L201" s="316" t="s">
        <v>144</v>
      </c>
    </row>
    <row r="202" spans="1:14" ht="15" customHeight="1">
      <c r="A202" s="2558"/>
      <c r="B202" s="1988"/>
      <c r="C202" s="84">
        <v>2014</v>
      </c>
      <c r="D202" s="33"/>
      <c r="E202" s="34"/>
      <c r="F202" s="34"/>
      <c r="G202" s="32"/>
      <c r="H202" s="317"/>
      <c r="I202" s="318"/>
      <c r="J202" s="319"/>
      <c r="K202" s="34"/>
      <c r="L202" s="37"/>
    </row>
    <row r="203" spans="1:14">
      <c r="A203" s="2558"/>
      <c r="B203" s="1988"/>
      <c r="C203" s="86">
        <v>2015</v>
      </c>
      <c r="D203" s="50"/>
      <c r="E203" s="42"/>
      <c r="F203" s="42"/>
      <c r="G203" s="39"/>
      <c r="H203" s="320"/>
      <c r="I203" s="321"/>
      <c r="J203" s="322"/>
      <c r="K203" s="42"/>
      <c r="L203" s="99"/>
    </row>
    <row r="204" spans="1:14">
      <c r="A204" s="2558"/>
      <c r="B204" s="1988"/>
      <c r="C204" s="86">
        <v>2016</v>
      </c>
      <c r="D204" s="50"/>
      <c r="E204" s="42"/>
      <c r="F204" s="42"/>
      <c r="G204" s="39"/>
      <c r="H204" s="320"/>
      <c r="I204" s="321"/>
      <c r="J204" s="322"/>
      <c r="K204" s="42"/>
      <c r="L204" s="99"/>
    </row>
    <row r="205" spans="1:14">
      <c r="A205" s="2558"/>
      <c r="B205" s="1988"/>
      <c r="C205" s="86">
        <v>2017</v>
      </c>
      <c r="D205" s="50"/>
      <c r="E205" s="42"/>
      <c r="F205" s="42"/>
      <c r="G205" s="39"/>
      <c r="H205" s="320"/>
      <c r="I205" s="321"/>
      <c r="J205" s="322"/>
      <c r="K205" s="42"/>
      <c r="L205" s="99"/>
    </row>
    <row r="206" spans="1:14">
      <c r="A206" s="2558"/>
      <c r="B206" s="1988"/>
      <c r="C206" s="86">
        <v>2018</v>
      </c>
      <c r="D206" s="50"/>
      <c r="E206" s="42"/>
      <c r="F206" s="42"/>
      <c r="G206" s="39"/>
      <c r="H206" s="320"/>
      <c r="I206" s="321"/>
      <c r="J206" s="322"/>
      <c r="K206" s="42"/>
      <c r="L206" s="99"/>
    </row>
    <row r="207" spans="1:14">
      <c r="A207" s="2558"/>
      <c r="B207" s="1988"/>
      <c r="C207" s="86">
        <v>2019</v>
      </c>
      <c r="D207" s="50"/>
      <c r="E207" s="42"/>
      <c r="F207" s="42"/>
      <c r="G207" s="39"/>
      <c r="H207" s="320"/>
      <c r="I207" s="321"/>
      <c r="J207" s="322"/>
      <c r="K207" s="42"/>
      <c r="L207" s="99"/>
    </row>
    <row r="208" spans="1:14">
      <c r="A208" s="2558"/>
      <c r="B208" s="1988"/>
      <c r="C208" s="86">
        <v>2020</v>
      </c>
      <c r="D208" s="1434"/>
      <c r="E208" s="324"/>
      <c r="F208" s="324"/>
      <c r="G208" s="325"/>
      <c r="H208" s="326"/>
      <c r="I208" s="327"/>
      <c r="J208" s="328"/>
      <c r="K208" s="324"/>
      <c r="L208" s="329"/>
    </row>
    <row r="209" spans="1:12" ht="20.25" customHeight="1" thickBot="1">
      <c r="A209" s="1989"/>
      <c r="B209" s="1990"/>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1501" t="s">
        <v>145</v>
      </c>
      <c r="B212" s="331" t="s">
        <v>146</v>
      </c>
      <c r="C212" s="332">
        <v>2014</v>
      </c>
      <c r="D212" s="333">
        <v>2015</v>
      </c>
      <c r="E212" s="333">
        <v>2016</v>
      </c>
      <c r="F212" s="333">
        <v>2017</v>
      </c>
      <c r="G212" s="333">
        <v>2018</v>
      </c>
      <c r="H212" s="333">
        <v>2019</v>
      </c>
      <c r="I212" s="334">
        <v>2020</v>
      </c>
    </row>
    <row r="213" spans="1:12">
      <c r="A213" t="s">
        <v>147</v>
      </c>
      <c r="B213" s="2170" t="s">
        <v>439</v>
      </c>
      <c r="C213" s="84"/>
      <c r="D213" s="147">
        <v>49246.74</v>
      </c>
      <c r="E213" s="365">
        <v>218233.32</v>
      </c>
      <c r="F213" s="147"/>
      <c r="G213" s="147"/>
      <c r="H213" s="147"/>
      <c r="I213" s="335"/>
    </row>
    <row r="214" spans="1:12">
      <c r="A214" t="s">
        <v>149</v>
      </c>
      <c r="B214" s="2166"/>
      <c r="C214" s="84"/>
      <c r="D214" s="147">
        <v>36924.910000000003</v>
      </c>
      <c r="E214" s="365">
        <v>197553.32</v>
      </c>
      <c r="F214" s="147"/>
      <c r="G214" s="147"/>
      <c r="H214" s="147"/>
      <c r="I214" s="335"/>
    </row>
    <row r="215" spans="1:12">
      <c r="A215" t="s">
        <v>150</v>
      </c>
      <c r="B215" s="2166"/>
      <c r="C215" s="84"/>
      <c r="D215" s="147">
        <v>0</v>
      </c>
      <c r="E215" s="365">
        <v>0</v>
      </c>
      <c r="F215" s="147"/>
      <c r="G215" s="147"/>
      <c r="H215" s="147"/>
      <c r="I215" s="335"/>
    </row>
    <row r="216" spans="1:12">
      <c r="A216" t="s">
        <v>151</v>
      </c>
      <c r="B216" s="2166"/>
      <c r="C216" s="84"/>
      <c r="D216" s="147">
        <v>12321.83</v>
      </c>
      <c r="E216" s="365">
        <v>0</v>
      </c>
      <c r="F216" s="147"/>
      <c r="G216" s="147"/>
      <c r="H216" s="147"/>
      <c r="I216" s="335"/>
    </row>
    <row r="217" spans="1:12">
      <c r="A217" t="s">
        <v>152</v>
      </c>
      <c r="B217" s="2166"/>
      <c r="C217" s="84"/>
      <c r="D217" s="147">
        <v>0</v>
      </c>
      <c r="E217" s="1513">
        <v>20680</v>
      </c>
      <c r="F217" s="147"/>
      <c r="G217" s="147"/>
      <c r="H217" s="147"/>
      <c r="I217" s="335"/>
    </row>
    <row r="218" spans="1:12" ht="30">
      <c r="A218" s="31" t="s">
        <v>153</v>
      </c>
      <c r="B218" s="2166"/>
      <c r="C218" s="84"/>
      <c r="D218" s="147">
        <v>57153.440000000002</v>
      </c>
      <c r="E218" s="365">
        <v>148128.01999999999</v>
      </c>
      <c r="F218" s="147"/>
      <c r="G218" s="147"/>
      <c r="H218" s="147"/>
      <c r="I218" s="335"/>
    </row>
    <row r="219" spans="1:12" ht="50.25" customHeight="1" thickBot="1">
      <c r="A219" s="1433"/>
      <c r="B219" s="2167"/>
      <c r="C219" s="54" t="s">
        <v>12</v>
      </c>
      <c r="D219" s="337">
        <v>106400.18</v>
      </c>
      <c r="E219" s="338">
        <v>366361.34</v>
      </c>
      <c r="F219" s="337">
        <f t="shared" ref="F219:I219" si="24">SUM(F214:F218)</f>
        <v>0</v>
      </c>
      <c r="G219" s="337">
        <f t="shared" si="24"/>
        <v>0</v>
      </c>
      <c r="H219" s="337">
        <f t="shared" si="24"/>
        <v>0</v>
      </c>
      <c r="I219" s="337">
        <f t="shared" si="24"/>
        <v>0</v>
      </c>
    </row>
    <row r="220" spans="1:12">
      <c r="D220" t="s">
        <v>440</v>
      </c>
      <c r="E220" s="1514" t="s">
        <v>441</v>
      </c>
    </row>
    <row r="227" spans="1:1">
      <c r="A227" s="31"/>
    </row>
  </sheetData>
  <mergeCells count="55">
    <mergeCell ref="D60:D6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dimension ref="A1:Y227"/>
  <sheetViews>
    <sheetView topLeftCell="A202" workbookViewId="0">
      <selection activeCell="E220" sqref="E220"/>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502</v>
      </c>
      <c r="C1" s="2077"/>
      <c r="D1" s="2077"/>
      <c r="E1" s="2077"/>
      <c r="F1" s="2077"/>
    </row>
    <row r="2" spans="1:25" s="2" customFormat="1" ht="20.100000000000001" customHeight="1" thickBot="1"/>
    <row r="3" spans="1:25" s="5" customFormat="1" ht="20.100000000000001" customHeight="1">
      <c r="A3" s="1503" t="s">
        <v>1</v>
      </c>
      <c r="B3" s="1504"/>
      <c r="C3" s="1504"/>
      <c r="D3" s="1504"/>
      <c r="E3" s="1504"/>
      <c r="F3" s="2707"/>
      <c r="G3" s="2707"/>
      <c r="H3" s="2707"/>
      <c r="I3" s="2707"/>
      <c r="J3" s="2707"/>
      <c r="K3" s="2707"/>
      <c r="L3" s="2707"/>
      <c r="M3" s="2707"/>
      <c r="N3" s="2707"/>
      <c r="O3" s="2708"/>
    </row>
    <row r="4" spans="1:25" s="5" customFormat="1" ht="20.100000000000001" customHeight="1">
      <c r="A4" s="2566" t="s">
        <v>2</v>
      </c>
      <c r="B4" s="2081"/>
      <c r="C4" s="2081"/>
      <c r="D4" s="2081"/>
      <c r="E4" s="2081"/>
      <c r="F4" s="2081"/>
      <c r="G4" s="2081"/>
      <c r="H4" s="2081"/>
      <c r="I4" s="2081"/>
      <c r="J4" s="2081"/>
      <c r="K4" s="2081"/>
      <c r="L4" s="2081"/>
      <c r="M4" s="2081"/>
      <c r="N4" s="2081"/>
      <c r="O4" s="2082"/>
    </row>
    <row r="5" spans="1:25" s="5" customFormat="1" ht="20.100000000000001" customHeight="1">
      <c r="A5" s="2566"/>
      <c r="B5" s="2081"/>
      <c r="C5" s="2081"/>
      <c r="D5" s="2081"/>
      <c r="E5" s="2081"/>
      <c r="F5" s="2081"/>
      <c r="G5" s="2081"/>
      <c r="H5" s="2081"/>
      <c r="I5" s="2081"/>
      <c r="J5" s="2081"/>
      <c r="K5" s="2081"/>
      <c r="L5" s="2081"/>
      <c r="M5" s="2081"/>
      <c r="N5" s="2081"/>
      <c r="O5" s="2082"/>
    </row>
    <row r="6" spans="1:25" s="5" customFormat="1" ht="20.100000000000001" customHeight="1">
      <c r="A6" s="2566"/>
      <c r="B6" s="2081"/>
      <c r="C6" s="2081"/>
      <c r="D6" s="2081"/>
      <c r="E6" s="2081"/>
      <c r="F6" s="2081"/>
      <c r="G6" s="2081"/>
      <c r="H6" s="2081"/>
      <c r="I6" s="2081"/>
      <c r="J6" s="2081"/>
      <c r="K6" s="2081"/>
      <c r="L6" s="2081"/>
      <c r="M6" s="2081"/>
      <c r="N6" s="2081"/>
      <c r="O6" s="2082"/>
    </row>
    <row r="7" spans="1:25" s="5" customFormat="1" ht="20.100000000000001" customHeight="1">
      <c r="A7" s="2566"/>
      <c r="B7" s="2081"/>
      <c r="C7" s="2081"/>
      <c r="D7" s="2081"/>
      <c r="E7" s="2081"/>
      <c r="F7" s="2081"/>
      <c r="G7" s="2081"/>
      <c r="H7" s="2081"/>
      <c r="I7" s="2081"/>
      <c r="J7" s="2081"/>
      <c r="K7" s="2081"/>
      <c r="L7" s="2081"/>
      <c r="M7" s="2081"/>
      <c r="N7" s="2081"/>
      <c r="O7" s="2082"/>
    </row>
    <row r="8" spans="1:25" s="5" customFormat="1" ht="20.100000000000001" customHeight="1">
      <c r="A8" s="2566"/>
      <c r="B8" s="2081"/>
      <c r="C8" s="2081"/>
      <c r="D8" s="2081"/>
      <c r="E8" s="2081"/>
      <c r="F8" s="2081"/>
      <c r="G8" s="2081"/>
      <c r="H8" s="2081"/>
      <c r="I8" s="2081"/>
      <c r="J8" s="2081"/>
      <c r="K8" s="2081"/>
      <c r="L8" s="2081"/>
      <c r="M8" s="2081"/>
      <c r="N8" s="2081"/>
      <c r="O8" s="2082"/>
    </row>
    <row r="9" spans="1:25" s="5" customFormat="1" ht="20.100000000000001" customHeight="1">
      <c r="A9" s="2566"/>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1505"/>
      <c r="B15" s="1506"/>
      <c r="C15" s="11"/>
      <c r="D15" s="2238" t="s">
        <v>4</v>
      </c>
      <c r="E15" s="2709"/>
      <c r="F15" s="2709"/>
      <c r="G15" s="2709"/>
      <c r="H15" s="12"/>
      <c r="I15" s="13" t="s">
        <v>5</v>
      </c>
      <c r="J15" s="14"/>
      <c r="K15" s="14"/>
      <c r="L15" s="14"/>
      <c r="M15" s="14"/>
      <c r="N15" s="14"/>
      <c r="O15" s="15"/>
      <c r="P15" s="16"/>
      <c r="Q15" s="17"/>
      <c r="R15" s="18"/>
      <c r="S15" s="18"/>
      <c r="T15" s="18"/>
      <c r="U15" s="18"/>
      <c r="V15" s="18"/>
      <c r="W15" s="16"/>
      <c r="X15" s="16"/>
      <c r="Y15" s="17"/>
    </row>
    <row r="16" spans="1:25" s="31" customFormat="1" ht="129" customHeight="1">
      <c r="A16" s="20"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563"/>
      <c r="B17" s="19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558"/>
      <c r="B18" s="1988"/>
      <c r="C18" s="39">
        <v>2015</v>
      </c>
      <c r="D18" s="50">
        <v>1</v>
      </c>
      <c r="E18" s="42"/>
      <c r="F18" s="42"/>
      <c r="G18" s="35">
        <f>SUM(D18:F18)</f>
        <v>1</v>
      </c>
      <c r="H18" s="51">
        <v>1</v>
      </c>
      <c r="I18" s="42"/>
      <c r="J18" s="42"/>
      <c r="K18" s="42"/>
      <c r="L18" s="42"/>
      <c r="M18" s="42"/>
      <c r="N18" s="42"/>
      <c r="O18" s="52"/>
      <c r="P18" s="38"/>
      <c r="Q18" s="38"/>
      <c r="R18" s="38"/>
      <c r="S18" s="38"/>
      <c r="T18" s="38"/>
      <c r="U18" s="38"/>
      <c r="V18" s="38"/>
      <c r="W18" s="38"/>
      <c r="X18" s="38"/>
      <c r="Y18" s="38"/>
    </row>
    <row r="19" spans="1:25">
      <c r="A19" s="2558"/>
      <c r="B19" s="1988"/>
      <c r="C19" s="39">
        <v>2016</v>
      </c>
      <c r="D19" s="50">
        <v>25</v>
      </c>
      <c r="E19" s="42"/>
      <c r="F19" s="42"/>
      <c r="G19" s="35">
        <f t="shared" si="0"/>
        <v>25</v>
      </c>
      <c r="H19" s="51">
        <v>25</v>
      </c>
      <c r="I19" s="42"/>
      <c r="J19" s="42"/>
      <c r="K19" s="42"/>
      <c r="L19" s="42"/>
      <c r="M19" s="42"/>
      <c r="N19" s="42"/>
      <c r="O19" s="52"/>
      <c r="P19" s="38"/>
      <c r="Q19" s="38"/>
      <c r="R19" s="38"/>
      <c r="S19" s="38"/>
      <c r="T19" s="38"/>
      <c r="U19" s="38"/>
      <c r="V19" s="38"/>
      <c r="W19" s="38"/>
      <c r="X19" s="38"/>
      <c r="Y19" s="38"/>
    </row>
    <row r="20" spans="1:25">
      <c r="A20" s="2558"/>
      <c r="B20" s="1988"/>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2558"/>
      <c r="B21" s="1988"/>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2558"/>
      <c r="B22" s="1988"/>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2558"/>
      <c r="B23" s="1988"/>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19.5" customHeight="1" thickBot="1">
      <c r="A24" s="1989"/>
      <c r="B24" s="1990"/>
      <c r="C24" s="54" t="s">
        <v>12</v>
      </c>
      <c r="D24" s="55">
        <f>SUM(D17:D23)</f>
        <v>26</v>
      </c>
      <c r="E24" s="56">
        <f>SUM(E17:E23)</f>
        <v>0</v>
      </c>
      <c r="F24" s="56">
        <f>SUM(F17:F23)</f>
        <v>0</v>
      </c>
      <c r="G24" s="57">
        <f>SUM(D24:F24)</f>
        <v>26</v>
      </c>
      <c r="H24" s="58">
        <f>SUM(H17:H23)</f>
        <v>26</v>
      </c>
      <c r="I24" s="59">
        <f>SUM(I17:I23)</f>
        <v>0</v>
      </c>
      <c r="J24" s="59">
        <f t="shared" ref="J24:N24" si="1">SUM(J17:J23)</f>
        <v>0</v>
      </c>
      <c r="K24" s="59">
        <f t="shared" si="1"/>
        <v>0</v>
      </c>
      <c r="L24" s="59">
        <f t="shared" si="1"/>
        <v>0</v>
      </c>
      <c r="M24" s="59">
        <f t="shared" si="1"/>
        <v>0</v>
      </c>
      <c r="N24" s="59">
        <f t="shared" si="1"/>
        <v>0</v>
      </c>
      <c r="O24" s="60">
        <f>SUM(O17:O23)</f>
        <v>0</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1505"/>
      <c r="B26" s="1506"/>
      <c r="C26" s="63"/>
      <c r="D26" s="2092" t="s">
        <v>4</v>
      </c>
      <c r="E26" s="2713"/>
      <c r="F26" s="2713"/>
      <c r="G26" s="2246"/>
      <c r="H26" s="16"/>
      <c r="I26" s="17"/>
      <c r="J26" s="18"/>
      <c r="K26" s="18"/>
      <c r="L26" s="18"/>
      <c r="M26" s="18"/>
      <c r="N26" s="18"/>
      <c r="O26" s="16"/>
      <c r="P26" s="16"/>
    </row>
    <row r="27" spans="1:25" s="31" customFormat="1" ht="93" customHeight="1">
      <c r="A27" s="1377"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563"/>
      <c r="B28" s="1988"/>
      <c r="C28" s="68">
        <v>2014</v>
      </c>
      <c r="D28" s="36"/>
      <c r="E28" s="34"/>
      <c r="F28" s="34"/>
      <c r="G28" s="69">
        <f>SUM(D28:F28)</f>
        <v>0</v>
      </c>
      <c r="H28" s="38"/>
      <c r="I28" s="38"/>
      <c r="J28" s="38"/>
      <c r="K28" s="38"/>
      <c r="L28" s="38"/>
      <c r="M28" s="38"/>
      <c r="N28" s="38"/>
      <c r="O28" s="38"/>
      <c r="P28" s="38"/>
      <c r="Q28" s="8"/>
    </row>
    <row r="29" spans="1:25">
      <c r="A29" s="2558"/>
      <c r="B29" s="1988"/>
      <c r="C29" s="70">
        <v>2015</v>
      </c>
      <c r="D29" s="51">
        <v>100</v>
      </c>
      <c r="E29" s="42"/>
      <c r="F29" s="42"/>
      <c r="G29" s="69">
        <f t="shared" ref="G29:G35" si="2">SUM(D29:F29)</f>
        <v>100</v>
      </c>
      <c r="H29" s="38"/>
      <c r="I29" s="38"/>
      <c r="J29" s="38"/>
      <c r="K29" s="38"/>
      <c r="L29" s="38"/>
      <c r="M29" s="38"/>
      <c r="N29" s="38"/>
      <c r="O29" s="38"/>
      <c r="P29" s="38"/>
      <c r="Q29" s="8"/>
    </row>
    <row r="30" spans="1:25">
      <c r="A30" s="2558"/>
      <c r="B30" s="1988"/>
      <c r="C30" s="70">
        <v>2016</v>
      </c>
      <c r="D30" s="51">
        <v>900</v>
      </c>
      <c r="E30" s="42"/>
      <c r="F30" s="42"/>
      <c r="G30" s="69">
        <f t="shared" si="2"/>
        <v>900</v>
      </c>
      <c r="H30" s="38"/>
      <c r="I30" s="38"/>
      <c r="J30" s="38"/>
      <c r="K30" s="38"/>
      <c r="L30" s="38"/>
      <c r="M30" s="38"/>
      <c r="N30" s="38"/>
      <c r="O30" s="38"/>
      <c r="P30" s="38"/>
      <c r="Q30" s="8"/>
    </row>
    <row r="31" spans="1:25">
      <c r="A31" s="2558"/>
      <c r="B31" s="1988"/>
      <c r="C31" s="70">
        <v>2017</v>
      </c>
      <c r="D31" s="51"/>
      <c r="E31" s="42"/>
      <c r="F31" s="42"/>
      <c r="G31" s="69">
        <f t="shared" si="2"/>
        <v>0</v>
      </c>
      <c r="H31" s="38"/>
      <c r="I31" s="38"/>
      <c r="J31" s="38"/>
      <c r="K31" s="38"/>
      <c r="L31" s="38"/>
      <c r="M31" s="38"/>
      <c r="N31" s="38"/>
      <c r="O31" s="38"/>
      <c r="P31" s="38"/>
      <c r="Q31" s="8"/>
    </row>
    <row r="32" spans="1:25">
      <c r="A32" s="2558"/>
      <c r="B32" s="1988"/>
      <c r="C32" s="70">
        <v>2018</v>
      </c>
      <c r="D32" s="51"/>
      <c r="E32" s="42"/>
      <c r="F32" s="42"/>
      <c r="G32" s="69">
        <f>SUM(D32:F32)</f>
        <v>0</v>
      </c>
      <c r="H32" s="38"/>
      <c r="I32" s="38"/>
      <c r="J32" s="38"/>
      <c r="K32" s="38"/>
      <c r="L32" s="38"/>
      <c r="M32" s="38"/>
      <c r="N32" s="38"/>
      <c r="O32" s="38"/>
      <c r="P32" s="38"/>
      <c r="Q32" s="8"/>
    </row>
    <row r="33" spans="1:17">
      <c r="A33" s="2558"/>
      <c r="B33" s="1988"/>
      <c r="C33" s="72">
        <v>2019</v>
      </c>
      <c r="D33" s="51"/>
      <c r="E33" s="42"/>
      <c r="F33" s="42"/>
      <c r="G33" s="69">
        <f t="shared" si="2"/>
        <v>0</v>
      </c>
      <c r="H33" s="38"/>
      <c r="I33" s="38"/>
      <c r="J33" s="38"/>
      <c r="K33" s="38"/>
      <c r="L33" s="38"/>
      <c r="M33" s="38"/>
      <c r="N33" s="38"/>
      <c r="O33" s="38"/>
      <c r="P33" s="38"/>
      <c r="Q33" s="8"/>
    </row>
    <row r="34" spans="1:17">
      <c r="A34" s="2558"/>
      <c r="B34" s="1988"/>
      <c r="C34" s="70">
        <v>2020</v>
      </c>
      <c r="D34" s="51"/>
      <c r="E34" s="42"/>
      <c r="F34" s="42"/>
      <c r="G34" s="69">
        <f t="shared" si="2"/>
        <v>0</v>
      </c>
      <c r="H34" s="38"/>
      <c r="I34" s="38"/>
      <c r="J34" s="38"/>
      <c r="K34" s="38"/>
      <c r="L34" s="38"/>
      <c r="M34" s="38"/>
      <c r="N34" s="38"/>
      <c r="O34" s="38"/>
      <c r="P34" s="38"/>
      <c r="Q34" s="8"/>
    </row>
    <row r="35" spans="1:17" ht="20.25" customHeight="1" thickBot="1">
      <c r="A35" s="1989"/>
      <c r="B35" s="1990"/>
      <c r="C35" s="73" t="s">
        <v>12</v>
      </c>
      <c r="D35" s="58">
        <f>SUM(D28:D34)</f>
        <v>1000</v>
      </c>
      <c r="E35" s="56">
        <f>SUM(E28:E34)</f>
        <v>0</v>
      </c>
      <c r="F35" s="56">
        <f>SUM(F28:F34)</f>
        <v>0</v>
      </c>
      <c r="G35" s="60">
        <f t="shared" si="2"/>
        <v>1000</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1480" t="s">
        <v>25</v>
      </c>
      <c r="B39" s="1481" t="s">
        <v>7</v>
      </c>
      <c r="C39" s="80" t="s">
        <v>8</v>
      </c>
      <c r="D39" s="546" t="s">
        <v>26</v>
      </c>
      <c r="E39" s="352" t="s">
        <v>27</v>
      </c>
      <c r="F39" s="353"/>
      <c r="G39" s="30"/>
      <c r="H39" s="30"/>
    </row>
    <row r="40" spans="1:17">
      <c r="A40" s="2563" t="s">
        <v>442</v>
      </c>
      <c r="B40" s="1988"/>
      <c r="C40" s="84">
        <v>2014</v>
      </c>
      <c r="D40" s="33"/>
      <c r="E40" s="32"/>
      <c r="F40" s="8"/>
      <c r="G40" s="38"/>
      <c r="H40" s="38"/>
    </row>
    <row r="41" spans="1:17">
      <c r="A41" s="2558"/>
      <c r="B41" s="1988"/>
      <c r="C41" s="86">
        <v>2015</v>
      </c>
      <c r="D41" s="50">
        <v>676</v>
      </c>
      <c r="E41" s="39"/>
      <c r="F41" s="8"/>
      <c r="G41" s="38"/>
      <c r="H41" s="38"/>
    </row>
    <row r="42" spans="1:17">
      <c r="A42" s="2558"/>
      <c r="B42" s="1988"/>
      <c r="C42" s="86">
        <v>2016</v>
      </c>
      <c r="D42" s="50">
        <v>2320</v>
      </c>
      <c r="E42" s="39"/>
      <c r="F42" s="8"/>
      <c r="G42" s="38"/>
      <c r="H42" s="38"/>
    </row>
    <row r="43" spans="1:17">
      <c r="A43" s="2558"/>
      <c r="B43" s="1988"/>
      <c r="C43" s="86">
        <v>2017</v>
      </c>
      <c r="D43" s="50"/>
      <c r="E43" s="39"/>
      <c r="F43" s="8"/>
      <c r="G43" s="38"/>
      <c r="H43" s="38"/>
    </row>
    <row r="44" spans="1:17">
      <c r="A44" s="2558"/>
      <c r="B44" s="1988"/>
      <c r="C44" s="86">
        <v>2018</v>
      </c>
      <c r="D44" s="50"/>
      <c r="E44" s="39"/>
      <c r="F44" s="8"/>
      <c r="G44" s="38"/>
      <c r="H44" s="38"/>
    </row>
    <row r="45" spans="1:17">
      <c r="A45" s="2558"/>
      <c r="B45" s="1988"/>
      <c r="C45" s="86">
        <v>2019</v>
      </c>
      <c r="D45" s="50"/>
      <c r="E45" s="39"/>
      <c r="F45" s="8"/>
      <c r="G45" s="38"/>
      <c r="H45" s="38"/>
    </row>
    <row r="46" spans="1:17">
      <c r="A46" s="2558"/>
      <c r="B46" s="1988"/>
      <c r="C46" s="86">
        <v>2020</v>
      </c>
      <c r="D46" s="50"/>
      <c r="E46" s="39"/>
      <c r="F46" s="8"/>
      <c r="G46" s="38"/>
      <c r="H46" s="38"/>
    </row>
    <row r="47" spans="1:17" ht="15.75" thickBot="1">
      <c r="A47" s="1989"/>
      <c r="B47" s="1990"/>
      <c r="C47" s="54" t="s">
        <v>12</v>
      </c>
      <c r="D47" s="55">
        <f>SUM(D40:D46)</f>
        <v>2996</v>
      </c>
      <c r="E47" s="419">
        <f>SUM(E40:E46)</f>
        <v>0</v>
      </c>
      <c r="F47" s="121"/>
      <c r="G47" s="38"/>
      <c r="H47" s="38"/>
    </row>
    <row r="48" spans="1:17" s="38" customFormat="1" ht="15.75" thickBot="1">
      <c r="A48" s="1510"/>
      <c r="B48" s="92"/>
      <c r="C48" s="93"/>
    </row>
    <row r="49" spans="1:15" ht="83.25" customHeight="1">
      <c r="A49" s="94" t="s">
        <v>29</v>
      </c>
      <c r="B49" s="1481" t="s">
        <v>7</v>
      </c>
      <c r="C49" s="95" t="s">
        <v>8</v>
      </c>
      <c r="D49" s="546" t="s">
        <v>30</v>
      </c>
      <c r="E49" s="96" t="s">
        <v>31</v>
      </c>
      <c r="F49" s="96" t="s">
        <v>32</v>
      </c>
      <c r="G49" s="96" t="s">
        <v>33</v>
      </c>
      <c r="H49" s="96" t="s">
        <v>34</v>
      </c>
      <c r="I49" s="96" t="s">
        <v>35</v>
      </c>
      <c r="J49" s="96" t="s">
        <v>36</v>
      </c>
      <c r="K49" s="97" t="s">
        <v>37</v>
      </c>
    </row>
    <row r="50" spans="1:15" ht="17.25" customHeight="1">
      <c r="A50" s="2005"/>
      <c r="B50" s="2012"/>
      <c r="C50" s="98" t="s">
        <v>38</v>
      </c>
      <c r="D50" s="33"/>
      <c r="E50" s="34"/>
      <c r="F50" s="34"/>
      <c r="G50" s="34"/>
      <c r="H50" s="34"/>
      <c r="I50" s="34"/>
      <c r="J50" s="34"/>
      <c r="K50" s="37"/>
    </row>
    <row r="51" spans="1:15" ht="15" customHeight="1">
      <c r="A51" s="2563"/>
      <c r="B51" s="2014"/>
      <c r="C51" s="86">
        <v>2014</v>
      </c>
      <c r="D51" s="50"/>
      <c r="E51" s="42"/>
      <c r="F51" s="42"/>
      <c r="G51" s="42"/>
      <c r="H51" s="42"/>
      <c r="I51" s="42"/>
      <c r="J51" s="42"/>
      <c r="K51" s="99"/>
    </row>
    <row r="52" spans="1:15">
      <c r="A52" s="2563"/>
      <c r="B52" s="2014"/>
      <c r="C52" s="86">
        <v>2015</v>
      </c>
      <c r="D52" s="50"/>
      <c r="E52" s="42"/>
      <c r="F52" s="42"/>
      <c r="G52" s="42"/>
      <c r="H52" s="42"/>
      <c r="I52" s="42"/>
      <c r="J52" s="42"/>
      <c r="K52" s="99"/>
    </row>
    <row r="53" spans="1:15">
      <c r="A53" s="2563"/>
      <c r="B53" s="2014"/>
      <c r="C53" s="86">
        <v>2016</v>
      </c>
      <c r="D53" s="50"/>
      <c r="E53" s="42"/>
      <c r="F53" s="42"/>
      <c r="G53" s="42"/>
      <c r="H53" s="42"/>
      <c r="I53" s="42"/>
      <c r="J53" s="42"/>
      <c r="K53" s="99"/>
    </row>
    <row r="54" spans="1:15">
      <c r="A54" s="2563"/>
      <c r="B54" s="2014"/>
      <c r="C54" s="86">
        <v>2017</v>
      </c>
      <c r="D54" s="50"/>
      <c r="E54" s="42"/>
      <c r="F54" s="42"/>
      <c r="G54" s="42"/>
      <c r="H54" s="42"/>
      <c r="I54" s="42"/>
      <c r="J54" s="42"/>
      <c r="K54" s="99"/>
    </row>
    <row r="55" spans="1:15">
      <c r="A55" s="2563"/>
      <c r="B55" s="2014"/>
      <c r="C55" s="86">
        <v>2018</v>
      </c>
      <c r="D55" s="50"/>
      <c r="E55" s="42"/>
      <c r="F55" s="42"/>
      <c r="G55" s="42"/>
      <c r="H55" s="42"/>
      <c r="I55" s="42"/>
      <c r="J55" s="42"/>
      <c r="K55" s="99"/>
    </row>
    <row r="56" spans="1:15">
      <c r="A56" s="2563"/>
      <c r="B56" s="2014"/>
      <c r="C56" s="86">
        <v>2019</v>
      </c>
      <c r="D56" s="50"/>
      <c r="E56" s="42"/>
      <c r="F56" s="42"/>
      <c r="G56" s="42"/>
      <c r="H56" s="42"/>
      <c r="I56" s="42"/>
      <c r="J56" s="42"/>
      <c r="K56" s="99"/>
    </row>
    <row r="57" spans="1:15">
      <c r="A57" s="2563"/>
      <c r="B57" s="2014"/>
      <c r="C57" s="86">
        <v>2020</v>
      </c>
      <c r="D57" s="50"/>
      <c r="E57" s="42"/>
      <c r="F57" s="42"/>
      <c r="G57" s="42"/>
      <c r="H57" s="42"/>
      <c r="I57" s="42"/>
      <c r="J57" s="42"/>
      <c r="K57" s="100"/>
    </row>
    <row r="58" spans="1:15" ht="20.25" customHeight="1" thickBot="1">
      <c r="A58" s="2009"/>
      <c r="B58" s="2016"/>
      <c r="C58" s="54" t="s">
        <v>12</v>
      </c>
      <c r="D58" s="55">
        <f>SUM(D51:D57)</f>
        <v>0</v>
      </c>
      <c r="E58" s="56">
        <f>SUM(E51:E57)</f>
        <v>0</v>
      </c>
      <c r="F58" s="56">
        <f>SUM(F51:F57)</f>
        <v>0</v>
      </c>
      <c r="G58" s="56">
        <f>SUM(G51:G57)</f>
        <v>0</v>
      </c>
      <c r="H58" s="56">
        <f>SUM(H51:H57)</f>
        <v>0</v>
      </c>
      <c r="I58" s="56">
        <f t="shared" ref="I58" si="3">SUM(I51:I57)</f>
        <v>0</v>
      </c>
      <c r="J58" s="56">
        <f>SUM(J51:J57)</f>
        <v>0</v>
      </c>
      <c r="K58" s="60">
        <f>SUM(K50:K56)</f>
        <v>0</v>
      </c>
    </row>
    <row r="59" spans="1:15" ht="15.75" thickBot="1"/>
    <row r="60" spans="1:15" ht="21" customHeight="1">
      <c r="A60" s="2700" t="s">
        <v>39</v>
      </c>
      <c r="B60" s="1512"/>
      <c r="C60" s="2703" t="s">
        <v>8</v>
      </c>
      <c r="D60" s="2671" t="s">
        <v>40</v>
      </c>
      <c r="E60" s="102" t="s">
        <v>5</v>
      </c>
      <c r="F60" s="1478"/>
      <c r="G60" s="1478"/>
      <c r="H60" s="1478"/>
      <c r="I60" s="1478"/>
      <c r="J60" s="1478"/>
      <c r="K60" s="1478"/>
      <c r="L60" s="485"/>
    </row>
    <row r="61" spans="1:15" ht="115.5" customHeight="1">
      <c r="A61" s="2100"/>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560" t="s">
        <v>443</v>
      </c>
      <c r="B62" s="2025"/>
      <c r="C62" s="112">
        <v>2014</v>
      </c>
      <c r="D62" s="113"/>
      <c r="E62" s="114"/>
      <c r="F62" s="115"/>
      <c r="G62" s="115"/>
      <c r="H62" s="115"/>
      <c r="I62" s="115"/>
      <c r="J62" s="115"/>
      <c r="K62" s="115"/>
      <c r="L62" s="37"/>
      <c r="M62" s="8"/>
      <c r="N62" s="8"/>
      <c r="O62" s="8"/>
    </row>
    <row r="63" spans="1:15">
      <c r="A63" s="2561"/>
      <c r="B63" s="2025"/>
      <c r="C63" s="116">
        <v>2015</v>
      </c>
      <c r="D63" s="117">
        <v>1</v>
      </c>
      <c r="E63" s="118">
        <v>1</v>
      </c>
      <c r="F63" s="42"/>
      <c r="G63" s="42"/>
      <c r="H63" s="42"/>
      <c r="I63" s="42"/>
      <c r="J63" s="42"/>
      <c r="K63" s="42"/>
      <c r="L63" s="99"/>
      <c r="M63" s="8"/>
      <c r="N63" s="8"/>
      <c r="O63" s="8"/>
    </row>
    <row r="64" spans="1:15">
      <c r="A64" s="2561"/>
      <c r="B64" s="2025"/>
      <c r="C64" s="116">
        <v>2016</v>
      </c>
      <c r="D64" s="117"/>
      <c r="E64" s="118"/>
      <c r="F64" s="42"/>
      <c r="G64" s="42"/>
      <c r="H64" s="42"/>
      <c r="I64" s="42"/>
      <c r="J64" s="42"/>
      <c r="K64" s="42"/>
      <c r="L64" s="99"/>
      <c r="M64" s="8"/>
      <c r="N64" s="8"/>
      <c r="O64" s="8"/>
    </row>
    <row r="65" spans="1:20">
      <c r="A65" s="2561"/>
      <c r="B65" s="2025"/>
      <c r="C65" s="116">
        <v>2017</v>
      </c>
      <c r="D65" s="117"/>
      <c r="E65" s="118"/>
      <c r="F65" s="42"/>
      <c r="G65" s="42"/>
      <c r="H65" s="42"/>
      <c r="I65" s="42"/>
      <c r="J65" s="42"/>
      <c r="K65" s="42"/>
      <c r="L65" s="99"/>
      <c r="M65" s="8"/>
      <c r="N65" s="8"/>
      <c r="O65" s="8"/>
    </row>
    <row r="66" spans="1:20">
      <c r="A66" s="2561"/>
      <c r="B66" s="2025"/>
      <c r="C66" s="116">
        <v>2018</v>
      </c>
      <c r="D66" s="117"/>
      <c r="E66" s="118"/>
      <c r="F66" s="42"/>
      <c r="G66" s="42"/>
      <c r="H66" s="42"/>
      <c r="I66" s="42"/>
      <c r="J66" s="42"/>
      <c r="K66" s="42"/>
      <c r="L66" s="99"/>
      <c r="M66" s="8"/>
      <c r="N66" s="8"/>
      <c r="O66" s="8"/>
    </row>
    <row r="67" spans="1:20" ht="17.25" customHeight="1">
      <c r="A67" s="2561"/>
      <c r="B67" s="2025"/>
      <c r="C67" s="116">
        <v>2019</v>
      </c>
      <c r="D67" s="117"/>
      <c r="E67" s="118"/>
      <c r="F67" s="42"/>
      <c r="G67" s="42"/>
      <c r="H67" s="42"/>
      <c r="I67" s="42"/>
      <c r="J67" s="42"/>
      <c r="K67" s="42"/>
      <c r="L67" s="99"/>
      <c r="M67" s="8"/>
      <c r="N67" s="8"/>
      <c r="O67" s="8"/>
    </row>
    <row r="68" spans="1:20" ht="16.5" customHeight="1">
      <c r="A68" s="2561"/>
      <c r="B68" s="2025"/>
      <c r="C68" s="116">
        <v>2020</v>
      </c>
      <c r="D68" s="117"/>
      <c r="E68" s="118"/>
      <c r="F68" s="42"/>
      <c r="G68" s="42"/>
      <c r="H68" s="42"/>
      <c r="I68" s="42"/>
      <c r="J68" s="42"/>
      <c r="K68" s="42"/>
      <c r="L68" s="99"/>
      <c r="M68" s="121"/>
      <c r="N68" s="121"/>
      <c r="O68" s="121"/>
    </row>
    <row r="69" spans="1:20" ht="18" customHeight="1" thickBot="1">
      <c r="A69" s="2134"/>
      <c r="B69" s="2027"/>
      <c r="C69" s="122" t="s">
        <v>12</v>
      </c>
      <c r="D69" s="123">
        <f>SUM(D62:D68)</f>
        <v>1</v>
      </c>
      <c r="E69" s="124">
        <f>SUM(E62:E68)</f>
        <v>1</v>
      </c>
      <c r="F69" s="125">
        <f t="shared" ref="F69:I69" si="4">SUM(F62:F68)</f>
        <v>0</v>
      </c>
      <c r="G69" s="125">
        <f t="shared" si="4"/>
        <v>0</v>
      </c>
      <c r="H69" s="125">
        <f t="shared" si="4"/>
        <v>0</v>
      </c>
      <c r="I69" s="125">
        <f t="shared" si="4"/>
        <v>0</v>
      </c>
      <c r="J69" s="125"/>
      <c r="K69" s="125">
        <f>SUM(K62:K68)</f>
        <v>0</v>
      </c>
      <c r="L69" s="126">
        <f>SUM(L62:L68)</f>
        <v>0</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1480" t="s">
        <v>42</v>
      </c>
      <c r="B71" s="1481" t="s">
        <v>7</v>
      </c>
      <c r="C71" s="80" t="s">
        <v>8</v>
      </c>
      <c r="D71" s="132" t="s">
        <v>43</v>
      </c>
      <c r="E71" s="132" t="s">
        <v>44</v>
      </c>
      <c r="F71" s="133" t="s">
        <v>45</v>
      </c>
      <c r="G71" s="488" t="s">
        <v>46</v>
      </c>
      <c r="H71" s="135" t="s">
        <v>13</v>
      </c>
      <c r="I71" s="136" t="s">
        <v>14</v>
      </c>
      <c r="J71" s="137" t="s">
        <v>15</v>
      </c>
      <c r="K71" s="136" t="s">
        <v>16</v>
      </c>
      <c r="L71" s="136" t="s">
        <v>17</v>
      </c>
      <c r="M71" s="138" t="s">
        <v>18</v>
      </c>
      <c r="N71" s="137" t="s">
        <v>19</v>
      </c>
      <c r="O71" s="139" t="s">
        <v>20</v>
      </c>
    </row>
    <row r="72" spans="1:20" ht="15" customHeight="1">
      <c r="A72" s="2563"/>
      <c r="B72" s="2025"/>
      <c r="C72" s="84">
        <v>2014</v>
      </c>
      <c r="D72" s="140"/>
      <c r="E72" s="140"/>
      <c r="F72" s="140"/>
      <c r="G72" s="141">
        <f>SUM(D72:F72)</f>
        <v>0</v>
      </c>
      <c r="H72" s="33"/>
      <c r="I72" s="142"/>
      <c r="J72" s="115"/>
      <c r="K72" s="115"/>
      <c r="L72" s="115"/>
      <c r="M72" s="115"/>
      <c r="N72" s="115"/>
      <c r="O72" s="143"/>
    </row>
    <row r="73" spans="1:20">
      <c r="A73" s="2558"/>
      <c r="B73" s="2025"/>
      <c r="C73" s="86">
        <v>2015</v>
      </c>
      <c r="D73" s="147"/>
      <c r="E73" s="147"/>
      <c r="F73" s="147"/>
      <c r="G73" s="141">
        <f t="shared" ref="G73:G78" si="5">SUM(D73:F73)</f>
        <v>0</v>
      </c>
      <c r="H73" s="50"/>
      <c r="I73" s="50"/>
      <c r="J73" s="42"/>
      <c r="K73" s="42"/>
      <c r="L73" s="42"/>
      <c r="M73" s="42"/>
      <c r="N73" s="42"/>
      <c r="O73" s="99"/>
    </row>
    <row r="74" spans="1:20">
      <c r="A74" s="2558"/>
      <c r="B74" s="2025"/>
      <c r="C74" s="86">
        <v>2016</v>
      </c>
      <c r="D74" s="147"/>
      <c r="E74" s="147"/>
      <c r="F74" s="147"/>
      <c r="G74" s="141">
        <f t="shared" si="5"/>
        <v>0</v>
      </c>
      <c r="H74" s="50"/>
      <c r="I74" s="50"/>
      <c r="J74" s="42"/>
      <c r="K74" s="42"/>
      <c r="L74" s="42"/>
      <c r="M74" s="42"/>
      <c r="N74" s="42"/>
      <c r="O74" s="99"/>
    </row>
    <row r="75" spans="1:20">
      <c r="A75" s="2558"/>
      <c r="B75" s="2025"/>
      <c r="C75" s="86">
        <v>2017</v>
      </c>
      <c r="D75" s="147"/>
      <c r="E75" s="147"/>
      <c r="F75" s="147"/>
      <c r="G75" s="141">
        <f t="shared" si="5"/>
        <v>0</v>
      </c>
      <c r="H75" s="50"/>
      <c r="I75" s="50"/>
      <c r="J75" s="42"/>
      <c r="K75" s="42"/>
      <c r="L75" s="42"/>
      <c r="M75" s="42"/>
      <c r="N75" s="42"/>
      <c r="O75" s="99"/>
    </row>
    <row r="76" spans="1:20">
      <c r="A76" s="2558"/>
      <c r="B76" s="2025"/>
      <c r="C76" s="86">
        <v>2018</v>
      </c>
      <c r="D76" s="147"/>
      <c r="E76" s="147"/>
      <c r="F76" s="147"/>
      <c r="G76" s="141">
        <f t="shared" si="5"/>
        <v>0</v>
      </c>
      <c r="H76" s="50"/>
      <c r="I76" s="50"/>
      <c r="J76" s="42"/>
      <c r="K76" s="42"/>
      <c r="L76" s="42"/>
      <c r="M76" s="42"/>
      <c r="N76" s="42"/>
      <c r="O76" s="99"/>
    </row>
    <row r="77" spans="1:20" ht="15.75" customHeight="1">
      <c r="A77" s="2558"/>
      <c r="B77" s="2025"/>
      <c r="C77" s="86">
        <v>2019</v>
      </c>
      <c r="D77" s="147"/>
      <c r="E77" s="147"/>
      <c r="F77" s="147"/>
      <c r="G77" s="141">
        <f t="shared" si="5"/>
        <v>0</v>
      </c>
      <c r="H77" s="50"/>
      <c r="I77" s="50"/>
      <c r="J77" s="42"/>
      <c r="K77" s="42"/>
      <c r="L77" s="42"/>
      <c r="M77" s="42"/>
      <c r="N77" s="42"/>
      <c r="O77" s="99"/>
    </row>
    <row r="78" spans="1:20" ht="17.25" customHeight="1">
      <c r="A78" s="2558"/>
      <c r="B78" s="2025"/>
      <c r="C78" s="86">
        <v>2020</v>
      </c>
      <c r="D78" s="147"/>
      <c r="E78" s="147"/>
      <c r="F78" s="147"/>
      <c r="G78" s="141">
        <f t="shared" si="5"/>
        <v>0</v>
      </c>
      <c r="H78" s="50"/>
      <c r="I78" s="50"/>
      <c r="J78" s="42"/>
      <c r="K78" s="42"/>
      <c r="L78" s="42"/>
      <c r="M78" s="42"/>
      <c r="N78" s="42"/>
      <c r="O78" s="99"/>
    </row>
    <row r="79" spans="1:20" ht="20.25" customHeight="1" thickBot="1">
      <c r="A79" s="2134"/>
      <c r="B79" s="2027"/>
      <c r="C79" s="148" t="s">
        <v>12</v>
      </c>
      <c r="D79" s="123">
        <f>SUM(D72:D78)</f>
        <v>0</v>
      </c>
      <c r="E79" s="123">
        <f>SUM(E72:E78)</f>
        <v>0</v>
      </c>
      <c r="F79" s="123">
        <f>SUM(F72:F78)</f>
        <v>0</v>
      </c>
      <c r="G79" s="149">
        <f>SUM(G72:G78)</f>
        <v>0</v>
      </c>
      <c r="H79" s="150">
        <v>0</v>
      </c>
      <c r="I79" s="151">
        <f t="shared" ref="I79:O79" si="6">SUM(I72:I78)</f>
        <v>0</v>
      </c>
      <c r="J79" s="125">
        <f t="shared" si="6"/>
        <v>0</v>
      </c>
      <c r="K79" s="125">
        <f t="shared" si="6"/>
        <v>0</v>
      </c>
      <c r="L79" s="125">
        <f t="shared" si="6"/>
        <v>0</v>
      </c>
      <c r="M79" s="125">
        <f t="shared" si="6"/>
        <v>0</v>
      </c>
      <c r="N79" s="125">
        <f t="shared" si="6"/>
        <v>0</v>
      </c>
      <c r="O79" s="126">
        <f t="shared" si="6"/>
        <v>0</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1482" t="s">
        <v>49</v>
      </c>
      <c r="B84" s="1483" t="s">
        <v>50</v>
      </c>
      <c r="C84" s="161" t="s">
        <v>8</v>
      </c>
      <c r="D84" s="491" t="s">
        <v>51</v>
      </c>
      <c r="E84" s="163" t="s">
        <v>52</v>
      </c>
      <c r="F84" s="164" t="s">
        <v>53</v>
      </c>
      <c r="G84" s="164" t="s">
        <v>54</v>
      </c>
      <c r="H84" s="164" t="s">
        <v>55</v>
      </c>
      <c r="I84" s="164" t="s">
        <v>56</v>
      </c>
      <c r="J84" s="164" t="s">
        <v>57</v>
      </c>
      <c r="K84" s="165" t="s">
        <v>58</v>
      </c>
    </row>
    <row r="85" spans="1:16" ht="15" customHeight="1">
      <c r="A85" s="2564"/>
      <c r="B85" s="2025"/>
      <c r="C85" s="84">
        <v>2014</v>
      </c>
      <c r="D85" s="166"/>
      <c r="E85" s="167"/>
      <c r="F85" s="34"/>
      <c r="G85" s="34"/>
      <c r="H85" s="34"/>
      <c r="I85" s="34"/>
      <c r="J85" s="34"/>
      <c r="K85" s="37"/>
    </row>
    <row r="86" spans="1:16">
      <c r="A86" s="2565"/>
      <c r="B86" s="2025"/>
      <c r="C86" s="86">
        <v>2015</v>
      </c>
      <c r="D86" s="168"/>
      <c r="E86" s="118"/>
      <c r="F86" s="42"/>
      <c r="G86" s="42"/>
      <c r="H86" s="42"/>
      <c r="I86" s="42"/>
      <c r="J86" s="42"/>
      <c r="K86" s="99"/>
    </row>
    <row r="87" spans="1:16">
      <c r="A87" s="2565"/>
      <c r="B87" s="2025"/>
      <c r="C87" s="86">
        <v>2016</v>
      </c>
      <c r="D87" s="168"/>
      <c r="E87" s="118"/>
      <c r="F87" s="42"/>
      <c r="G87" s="42"/>
      <c r="H87" s="42"/>
      <c r="I87" s="42"/>
      <c r="J87" s="42"/>
      <c r="K87" s="99"/>
    </row>
    <row r="88" spans="1:16">
      <c r="A88" s="2565"/>
      <c r="B88" s="2025"/>
      <c r="C88" s="86">
        <v>2017</v>
      </c>
      <c r="D88" s="168"/>
      <c r="E88" s="118"/>
      <c r="F88" s="42"/>
      <c r="G88" s="42"/>
      <c r="H88" s="42"/>
      <c r="I88" s="42"/>
      <c r="J88" s="42"/>
      <c r="K88" s="99"/>
    </row>
    <row r="89" spans="1:16">
      <c r="A89" s="2565"/>
      <c r="B89" s="2025"/>
      <c r="C89" s="86">
        <v>2018</v>
      </c>
      <c r="D89" s="168"/>
      <c r="E89" s="118"/>
      <c r="F89" s="42"/>
      <c r="G89" s="42"/>
      <c r="H89" s="42"/>
      <c r="I89" s="42"/>
      <c r="J89" s="42"/>
      <c r="K89" s="99"/>
    </row>
    <row r="90" spans="1:16">
      <c r="A90" s="2565"/>
      <c r="B90" s="2025"/>
      <c r="C90" s="86">
        <v>2019</v>
      </c>
      <c r="D90" s="168"/>
      <c r="E90" s="118"/>
      <c r="F90" s="42"/>
      <c r="G90" s="42"/>
      <c r="H90" s="42"/>
      <c r="I90" s="42"/>
      <c r="J90" s="42"/>
      <c r="K90" s="99"/>
    </row>
    <row r="91" spans="1:16">
      <c r="A91" s="2565"/>
      <c r="B91" s="2025"/>
      <c r="C91" s="86">
        <v>2020</v>
      </c>
      <c r="D91" s="168"/>
      <c r="E91" s="118"/>
      <c r="F91" s="42"/>
      <c r="G91" s="42"/>
      <c r="H91" s="42"/>
      <c r="I91" s="42"/>
      <c r="J91" s="42"/>
      <c r="K91" s="99"/>
    </row>
    <row r="92" spans="1:16" ht="18" customHeight="1" thickBot="1">
      <c r="A92" s="2073"/>
      <c r="B92" s="2027"/>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664" t="s">
        <v>60</v>
      </c>
      <c r="B96" s="2666" t="s">
        <v>61</v>
      </c>
      <c r="C96" s="2669" t="s">
        <v>8</v>
      </c>
      <c r="D96" s="2207" t="s">
        <v>62</v>
      </c>
      <c r="E96" s="2208"/>
      <c r="F96" s="174" t="s">
        <v>63</v>
      </c>
      <c r="G96" s="1484"/>
      <c r="H96" s="1484"/>
      <c r="I96" s="1484"/>
      <c r="J96" s="1484"/>
      <c r="K96" s="1484"/>
      <c r="L96" s="1484"/>
      <c r="M96" s="494"/>
      <c r="N96" s="177"/>
      <c r="O96" s="177"/>
      <c r="P96" s="177"/>
    </row>
    <row r="97" spans="1:16" ht="100.5" customHeight="1">
      <c r="A97" s="2041"/>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560"/>
      <c r="B98" s="2025"/>
      <c r="C98" s="112">
        <v>2014</v>
      </c>
      <c r="D98" s="33"/>
      <c r="E98" s="34"/>
      <c r="F98" s="186"/>
      <c r="G98" s="187"/>
      <c r="H98" s="187"/>
      <c r="I98" s="187"/>
      <c r="J98" s="187"/>
      <c r="K98" s="187"/>
      <c r="L98" s="187"/>
      <c r="M98" s="188"/>
      <c r="N98" s="177"/>
      <c r="O98" s="177"/>
      <c r="P98" s="177"/>
    </row>
    <row r="99" spans="1:16" ht="16.5" customHeight="1">
      <c r="A99" s="2561"/>
      <c r="B99" s="2025"/>
      <c r="C99" s="116">
        <v>2015</v>
      </c>
      <c r="D99" s="50"/>
      <c r="E99" s="42"/>
      <c r="F99" s="189"/>
      <c r="G99" s="190"/>
      <c r="H99" s="190"/>
      <c r="I99" s="190"/>
      <c r="J99" s="190"/>
      <c r="K99" s="190"/>
      <c r="L99" s="190"/>
      <c r="M99" s="193"/>
      <c r="N99" s="177"/>
      <c r="O99" s="177"/>
      <c r="P99" s="177"/>
    </row>
    <row r="100" spans="1:16" ht="16.5" customHeight="1">
      <c r="A100" s="2561"/>
      <c r="B100" s="2025"/>
      <c r="C100" s="116">
        <v>2016</v>
      </c>
      <c r="D100" s="50"/>
      <c r="E100" s="42"/>
      <c r="F100" s="189"/>
      <c r="G100" s="190"/>
      <c r="H100" s="190"/>
      <c r="I100" s="190"/>
      <c r="J100" s="190"/>
      <c r="K100" s="190"/>
      <c r="L100" s="190"/>
      <c r="M100" s="193"/>
      <c r="N100" s="177"/>
      <c r="O100" s="177"/>
      <c r="P100" s="177"/>
    </row>
    <row r="101" spans="1:16" ht="16.5" customHeight="1">
      <c r="A101" s="2561"/>
      <c r="B101" s="2025"/>
      <c r="C101" s="116">
        <v>2017</v>
      </c>
      <c r="D101" s="50"/>
      <c r="E101" s="42"/>
      <c r="F101" s="189"/>
      <c r="G101" s="190"/>
      <c r="H101" s="190"/>
      <c r="I101" s="190"/>
      <c r="J101" s="190"/>
      <c r="K101" s="190"/>
      <c r="L101" s="190"/>
      <c r="M101" s="193"/>
      <c r="N101" s="177"/>
      <c r="O101" s="177"/>
      <c r="P101" s="177"/>
    </row>
    <row r="102" spans="1:16" ht="15.75" customHeight="1">
      <c r="A102" s="2561"/>
      <c r="B102" s="2025"/>
      <c r="C102" s="116">
        <v>2018</v>
      </c>
      <c r="D102" s="50"/>
      <c r="E102" s="42"/>
      <c r="F102" s="189"/>
      <c r="G102" s="190"/>
      <c r="H102" s="190"/>
      <c r="I102" s="190"/>
      <c r="J102" s="190"/>
      <c r="K102" s="190"/>
      <c r="L102" s="190"/>
      <c r="M102" s="193"/>
      <c r="N102" s="177"/>
      <c r="O102" s="177"/>
      <c r="P102" s="177"/>
    </row>
    <row r="103" spans="1:16" ht="14.25" customHeight="1">
      <c r="A103" s="2561"/>
      <c r="B103" s="2025"/>
      <c r="C103" s="116">
        <v>2019</v>
      </c>
      <c r="D103" s="50"/>
      <c r="E103" s="42"/>
      <c r="F103" s="189"/>
      <c r="G103" s="190"/>
      <c r="H103" s="190"/>
      <c r="I103" s="190"/>
      <c r="J103" s="190"/>
      <c r="K103" s="190"/>
      <c r="L103" s="190"/>
      <c r="M103" s="193"/>
      <c r="N103" s="177"/>
      <c r="O103" s="177"/>
      <c r="P103" s="177"/>
    </row>
    <row r="104" spans="1:16" ht="14.25" customHeight="1">
      <c r="A104" s="2561"/>
      <c r="B104" s="2025"/>
      <c r="C104" s="116">
        <v>2020</v>
      </c>
      <c r="D104" s="50"/>
      <c r="E104" s="42"/>
      <c r="F104" s="189"/>
      <c r="G104" s="190"/>
      <c r="H104" s="190"/>
      <c r="I104" s="190"/>
      <c r="J104" s="190"/>
      <c r="K104" s="190"/>
      <c r="L104" s="190"/>
      <c r="M104" s="193"/>
      <c r="N104" s="177"/>
      <c r="O104" s="177"/>
      <c r="P104" s="177"/>
    </row>
    <row r="105" spans="1:16" ht="19.5" customHeight="1" thickBot="1">
      <c r="A105" s="2046"/>
      <c r="B105" s="2027"/>
      <c r="C105" s="122" t="s">
        <v>12</v>
      </c>
      <c r="D105" s="151">
        <f>SUM(D98:D104)</f>
        <v>0</v>
      </c>
      <c r="E105" s="125">
        <f t="shared" ref="E105:K105" si="8">SUM(E98:E104)</f>
        <v>0</v>
      </c>
      <c r="F105" s="194">
        <f t="shared" si="8"/>
        <v>0</v>
      </c>
      <c r="G105" s="195">
        <f t="shared" si="8"/>
        <v>0</v>
      </c>
      <c r="H105" s="195">
        <f t="shared" si="8"/>
        <v>0</v>
      </c>
      <c r="I105" s="195">
        <f>SUM(I98:I104)</f>
        <v>0</v>
      </c>
      <c r="J105" s="195">
        <f t="shared" si="8"/>
        <v>0</v>
      </c>
      <c r="K105" s="195">
        <f t="shared" si="8"/>
        <v>0</v>
      </c>
      <c r="L105" s="195">
        <f>SUM(L98:L104)</f>
        <v>0</v>
      </c>
      <c r="M105" s="196">
        <f>SUM(M98:M104)</f>
        <v>0</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664" t="s">
        <v>69</v>
      </c>
      <c r="B107" s="2666" t="s">
        <v>61</v>
      </c>
      <c r="C107" s="2669" t="s">
        <v>8</v>
      </c>
      <c r="D107" s="2670" t="s">
        <v>70</v>
      </c>
      <c r="E107" s="174" t="s">
        <v>71</v>
      </c>
      <c r="F107" s="1484"/>
      <c r="G107" s="1484"/>
      <c r="H107" s="1484"/>
      <c r="I107" s="1484"/>
      <c r="J107" s="1484"/>
      <c r="K107" s="1484"/>
      <c r="L107" s="494"/>
      <c r="M107" s="199"/>
      <c r="N107" s="199"/>
    </row>
    <row r="108" spans="1:16" ht="103.5" customHeight="1">
      <c r="A108" s="2041"/>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560"/>
      <c r="B109" s="2025"/>
      <c r="C109" s="112">
        <v>2014</v>
      </c>
      <c r="D109" s="34"/>
      <c r="E109" s="186"/>
      <c r="F109" s="187"/>
      <c r="G109" s="187"/>
      <c r="H109" s="187"/>
      <c r="I109" s="187"/>
      <c r="J109" s="187"/>
      <c r="K109" s="187"/>
      <c r="L109" s="188"/>
      <c r="M109" s="199"/>
      <c r="N109" s="199"/>
    </row>
    <row r="110" spans="1:16">
      <c r="A110" s="2561"/>
      <c r="B110" s="2025"/>
      <c r="C110" s="116">
        <v>2015</v>
      </c>
      <c r="D110" s="42"/>
      <c r="E110" s="189"/>
      <c r="F110" s="190"/>
      <c r="G110" s="190"/>
      <c r="H110" s="190"/>
      <c r="I110" s="190"/>
      <c r="J110" s="190"/>
      <c r="K110" s="190"/>
      <c r="L110" s="193"/>
      <c r="M110" s="199"/>
      <c r="N110" s="199"/>
    </row>
    <row r="111" spans="1:16">
      <c r="A111" s="2561"/>
      <c r="B111" s="2025"/>
      <c r="C111" s="116">
        <v>2016</v>
      </c>
      <c r="D111" s="42"/>
      <c r="E111" s="189"/>
      <c r="F111" s="190"/>
      <c r="G111" s="190"/>
      <c r="H111" s="190"/>
      <c r="I111" s="190"/>
      <c r="J111" s="190"/>
      <c r="K111" s="190"/>
      <c r="L111" s="193"/>
      <c r="M111" s="199"/>
      <c r="N111" s="199"/>
    </row>
    <row r="112" spans="1:16">
      <c r="A112" s="2561"/>
      <c r="B112" s="2025"/>
      <c r="C112" s="116">
        <v>2017</v>
      </c>
      <c r="D112" s="42"/>
      <c r="E112" s="189"/>
      <c r="F112" s="190"/>
      <c r="G112" s="190"/>
      <c r="H112" s="190"/>
      <c r="I112" s="190"/>
      <c r="J112" s="190"/>
      <c r="K112" s="190"/>
      <c r="L112" s="193"/>
      <c r="M112" s="199"/>
      <c r="N112" s="199"/>
    </row>
    <row r="113" spans="1:14">
      <c r="A113" s="2561"/>
      <c r="B113" s="2025"/>
      <c r="C113" s="116">
        <v>2018</v>
      </c>
      <c r="D113" s="42"/>
      <c r="E113" s="189"/>
      <c r="F113" s="190"/>
      <c r="G113" s="190"/>
      <c r="H113" s="190"/>
      <c r="I113" s="190"/>
      <c r="J113" s="190"/>
      <c r="K113" s="190"/>
      <c r="L113" s="193"/>
      <c r="M113" s="199"/>
      <c r="N113" s="199"/>
    </row>
    <row r="114" spans="1:14">
      <c r="A114" s="2561"/>
      <c r="B114" s="2025"/>
      <c r="C114" s="116">
        <v>2019</v>
      </c>
      <c r="D114" s="42"/>
      <c r="E114" s="189"/>
      <c r="F114" s="190"/>
      <c r="G114" s="190"/>
      <c r="H114" s="190"/>
      <c r="I114" s="190"/>
      <c r="J114" s="190"/>
      <c r="K114" s="190"/>
      <c r="L114" s="193"/>
      <c r="M114" s="199"/>
      <c r="N114" s="199"/>
    </row>
    <row r="115" spans="1:14">
      <c r="A115" s="2561"/>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664" t="s">
        <v>72</v>
      </c>
      <c r="B118" s="2666" t="s">
        <v>61</v>
      </c>
      <c r="C118" s="2669" t="s">
        <v>8</v>
      </c>
      <c r="D118" s="2670" t="s">
        <v>73</v>
      </c>
      <c r="E118" s="174" t="s">
        <v>71</v>
      </c>
      <c r="F118" s="1484"/>
      <c r="G118" s="1484"/>
      <c r="H118" s="1484"/>
      <c r="I118" s="1484"/>
      <c r="J118" s="1484"/>
      <c r="K118" s="1484"/>
      <c r="L118" s="494"/>
      <c r="M118" s="199"/>
      <c r="N118" s="199"/>
    </row>
    <row r="119" spans="1:14" ht="120.75" customHeight="1">
      <c r="A119" s="2041"/>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560"/>
      <c r="B120" s="2025"/>
      <c r="C120" s="112">
        <v>2014</v>
      </c>
      <c r="D120" s="34"/>
      <c r="E120" s="186"/>
      <c r="F120" s="187"/>
      <c r="G120" s="187"/>
      <c r="H120" s="187"/>
      <c r="I120" s="187"/>
      <c r="J120" s="187"/>
      <c r="K120" s="187"/>
      <c r="L120" s="188"/>
      <c r="M120" s="199"/>
      <c r="N120" s="199"/>
    </row>
    <row r="121" spans="1:14">
      <c r="A121" s="2561"/>
      <c r="B121" s="2025"/>
      <c r="C121" s="116">
        <v>2015</v>
      </c>
      <c r="D121" s="42"/>
      <c r="E121" s="189"/>
      <c r="F121" s="190"/>
      <c r="G121" s="190"/>
      <c r="H121" s="190"/>
      <c r="I121" s="190"/>
      <c r="J121" s="190"/>
      <c r="K121" s="190"/>
      <c r="L121" s="193"/>
      <c r="M121" s="199"/>
      <c r="N121" s="199"/>
    </row>
    <row r="122" spans="1:14">
      <c r="A122" s="2561"/>
      <c r="B122" s="2025"/>
      <c r="C122" s="116">
        <v>2016</v>
      </c>
      <c r="D122" s="42"/>
      <c r="E122" s="189"/>
      <c r="F122" s="190"/>
      <c r="G122" s="190"/>
      <c r="H122" s="190"/>
      <c r="I122" s="190"/>
      <c r="J122" s="190"/>
      <c r="K122" s="190"/>
      <c r="L122" s="193"/>
      <c r="M122" s="199"/>
      <c r="N122" s="199"/>
    </row>
    <row r="123" spans="1:14">
      <c r="A123" s="2561"/>
      <c r="B123" s="2025"/>
      <c r="C123" s="116">
        <v>2017</v>
      </c>
      <c r="D123" s="42"/>
      <c r="E123" s="189"/>
      <c r="F123" s="190"/>
      <c r="G123" s="190"/>
      <c r="H123" s="190"/>
      <c r="I123" s="190"/>
      <c r="J123" s="190"/>
      <c r="K123" s="190"/>
      <c r="L123" s="193"/>
      <c r="M123" s="199"/>
      <c r="N123" s="199"/>
    </row>
    <row r="124" spans="1:14">
      <c r="A124" s="2561"/>
      <c r="B124" s="2025"/>
      <c r="C124" s="116">
        <v>2018</v>
      </c>
      <c r="D124" s="42"/>
      <c r="E124" s="189"/>
      <c r="F124" s="190"/>
      <c r="G124" s="190"/>
      <c r="H124" s="190"/>
      <c r="I124" s="190"/>
      <c r="J124" s="190"/>
      <c r="K124" s="190"/>
      <c r="L124" s="193"/>
      <c r="M124" s="199"/>
      <c r="N124" s="199"/>
    </row>
    <row r="125" spans="1:14">
      <c r="A125" s="2561"/>
      <c r="B125" s="2025"/>
      <c r="C125" s="116">
        <v>2019</v>
      </c>
      <c r="D125" s="42"/>
      <c r="E125" s="189"/>
      <c r="F125" s="190"/>
      <c r="G125" s="190"/>
      <c r="H125" s="190"/>
      <c r="I125" s="190"/>
      <c r="J125" s="190"/>
      <c r="K125" s="190"/>
      <c r="L125" s="193"/>
      <c r="M125" s="199"/>
      <c r="N125" s="199"/>
    </row>
    <row r="126" spans="1:14">
      <c r="A126" s="2561"/>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664" t="s">
        <v>74</v>
      </c>
      <c r="B129" s="2666" t="s">
        <v>61</v>
      </c>
      <c r="C129" s="1485" t="s">
        <v>8</v>
      </c>
      <c r="D129" s="496" t="s">
        <v>75</v>
      </c>
      <c r="E129" s="1486"/>
      <c r="F129" s="1486"/>
      <c r="G129" s="498"/>
      <c r="H129" s="199"/>
      <c r="I129" s="199"/>
      <c r="J129" s="199"/>
      <c r="K129" s="199"/>
      <c r="L129" s="199"/>
      <c r="M129" s="199"/>
      <c r="N129" s="199"/>
    </row>
    <row r="130" spans="1:16" ht="77.25" customHeight="1">
      <c r="A130" s="2041"/>
      <c r="B130" s="2043"/>
      <c r="C130" s="1432"/>
      <c r="D130" s="178" t="s">
        <v>76</v>
      </c>
      <c r="E130" s="207" t="s">
        <v>77</v>
      </c>
      <c r="F130" s="179" t="s">
        <v>78</v>
      </c>
      <c r="G130" s="208" t="s">
        <v>12</v>
      </c>
      <c r="H130" s="199"/>
      <c r="I130" s="199"/>
      <c r="J130" s="199"/>
      <c r="K130" s="199"/>
      <c r="L130" s="199"/>
      <c r="M130" s="199"/>
      <c r="N130" s="199"/>
    </row>
    <row r="131" spans="1:16" ht="15" customHeight="1">
      <c r="A131" s="2563"/>
      <c r="B131" s="1988"/>
      <c r="C131" s="340">
        <v>2015</v>
      </c>
      <c r="D131" s="557"/>
      <c r="E131" s="342"/>
      <c r="F131" s="342"/>
      <c r="G131" s="209">
        <f t="shared" ref="G131:G136" si="11">SUM(D131:F131)</f>
        <v>0</v>
      </c>
      <c r="H131" s="199"/>
      <c r="I131" s="199"/>
      <c r="J131" s="199"/>
      <c r="K131" s="199"/>
      <c r="L131" s="199"/>
      <c r="M131" s="199"/>
      <c r="N131" s="199"/>
    </row>
    <row r="132" spans="1:16">
      <c r="A132" s="2558"/>
      <c r="B132" s="1988"/>
      <c r="C132" s="116">
        <v>2016</v>
      </c>
      <c r="D132" s="50"/>
      <c r="E132" s="42"/>
      <c r="F132" s="42"/>
      <c r="G132" s="209">
        <f t="shared" si="11"/>
        <v>0</v>
      </c>
      <c r="H132" s="199"/>
      <c r="I132" s="199"/>
      <c r="J132" s="199"/>
      <c r="K132" s="199"/>
      <c r="L132" s="199"/>
      <c r="M132" s="199"/>
      <c r="N132" s="199"/>
    </row>
    <row r="133" spans="1:16">
      <c r="A133" s="2558"/>
      <c r="B133" s="1988"/>
      <c r="C133" s="116">
        <v>2017</v>
      </c>
      <c r="D133" s="50"/>
      <c r="E133" s="42"/>
      <c r="F133" s="42"/>
      <c r="G133" s="209">
        <f t="shared" si="11"/>
        <v>0</v>
      </c>
      <c r="H133" s="199"/>
      <c r="I133" s="199"/>
      <c r="J133" s="199"/>
      <c r="K133" s="199"/>
      <c r="L133" s="199"/>
      <c r="M133" s="199"/>
      <c r="N133" s="199"/>
    </row>
    <row r="134" spans="1:16">
      <c r="A134" s="2558"/>
      <c r="B134" s="1988"/>
      <c r="C134" s="116">
        <v>2018</v>
      </c>
      <c r="D134" s="50"/>
      <c r="E134" s="42"/>
      <c r="F134" s="42"/>
      <c r="G134" s="209">
        <f t="shared" si="11"/>
        <v>0</v>
      </c>
      <c r="H134" s="199"/>
      <c r="I134" s="199"/>
      <c r="J134" s="199"/>
      <c r="K134" s="199"/>
      <c r="L134" s="199"/>
      <c r="M134" s="199"/>
      <c r="N134" s="199"/>
    </row>
    <row r="135" spans="1:16">
      <c r="A135" s="2558"/>
      <c r="B135" s="1988"/>
      <c r="C135" s="116">
        <v>2019</v>
      </c>
      <c r="D135" s="50"/>
      <c r="E135" s="42"/>
      <c r="F135" s="42"/>
      <c r="G135" s="209">
        <f t="shared" si="11"/>
        <v>0</v>
      </c>
      <c r="H135" s="199"/>
      <c r="I135" s="199"/>
      <c r="J135" s="199"/>
      <c r="K135" s="199"/>
      <c r="L135" s="199"/>
      <c r="M135" s="199"/>
      <c r="N135" s="199"/>
    </row>
    <row r="136" spans="1:16">
      <c r="A136" s="2558"/>
      <c r="B136" s="1988"/>
      <c r="C136" s="116">
        <v>2020</v>
      </c>
      <c r="D136" s="50"/>
      <c r="E136" s="42"/>
      <c r="F136" s="42"/>
      <c r="G136" s="209">
        <f t="shared" si="11"/>
        <v>0</v>
      </c>
      <c r="H136" s="199"/>
      <c r="I136" s="199"/>
      <c r="J136" s="199"/>
      <c r="K136" s="199"/>
      <c r="L136" s="199"/>
      <c r="M136" s="199"/>
      <c r="N136" s="199"/>
    </row>
    <row r="137" spans="1:16" ht="17.25" customHeight="1" thickBot="1">
      <c r="A137" s="1989"/>
      <c r="B137" s="1990"/>
      <c r="C137" s="122" t="s">
        <v>12</v>
      </c>
      <c r="D137" s="151">
        <f>SUM(D131:D136)</f>
        <v>0</v>
      </c>
      <c r="E137" s="151">
        <f t="shared" ref="E137:F137" si="12">SUM(E131:E136)</f>
        <v>0</v>
      </c>
      <c r="F137" s="151">
        <f t="shared" si="12"/>
        <v>0</v>
      </c>
      <c r="G137" s="210">
        <f>SUM(G131:G136)</f>
        <v>0</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667" t="s">
        <v>80</v>
      </c>
      <c r="B142" s="2657" t="s">
        <v>61</v>
      </c>
      <c r="C142" s="2659" t="s">
        <v>8</v>
      </c>
      <c r="D142" s="1487" t="s">
        <v>81</v>
      </c>
      <c r="E142" s="1488"/>
      <c r="F142" s="1488"/>
      <c r="G142" s="1488"/>
      <c r="H142" s="1488"/>
      <c r="I142" s="1489"/>
      <c r="J142" s="2653" t="s">
        <v>82</v>
      </c>
      <c r="K142" s="2654"/>
      <c r="L142" s="2654"/>
      <c r="M142" s="2654"/>
      <c r="N142" s="2655"/>
      <c r="O142" s="177"/>
      <c r="P142" s="177"/>
    </row>
    <row r="143" spans="1:16" ht="113.25" customHeight="1">
      <c r="A143" s="2045"/>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560"/>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561"/>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561"/>
      <c r="B146" s="2025"/>
      <c r="C146" s="116">
        <v>2016</v>
      </c>
      <c r="D146" s="50"/>
      <c r="E146" s="50"/>
      <c r="F146" s="42"/>
      <c r="G146" s="190"/>
      <c r="H146" s="190"/>
      <c r="I146" s="227">
        <f t="shared" si="13"/>
        <v>0</v>
      </c>
      <c r="J146" s="231"/>
      <c r="K146" s="232"/>
      <c r="L146" s="231"/>
      <c r="M146" s="232"/>
      <c r="N146" s="233"/>
      <c r="O146" s="177"/>
      <c r="P146" s="177"/>
    </row>
    <row r="147" spans="1:16" ht="17.25" customHeight="1">
      <c r="A147" s="2561"/>
      <c r="B147" s="2025"/>
      <c r="C147" s="116">
        <v>2017</v>
      </c>
      <c r="D147" s="50"/>
      <c r="E147" s="50"/>
      <c r="F147" s="42"/>
      <c r="G147" s="190"/>
      <c r="H147" s="190"/>
      <c r="I147" s="227">
        <f t="shared" si="13"/>
        <v>0</v>
      </c>
      <c r="J147" s="231"/>
      <c r="K147" s="232"/>
      <c r="L147" s="231"/>
      <c r="M147" s="232"/>
      <c r="N147" s="233"/>
      <c r="O147" s="177"/>
      <c r="P147" s="177"/>
    </row>
    <row r="148" spans="1:16" ht="19.5" customHeight="1">
      <c r="A148" s="2561"/>
      <c r="B148" s="2025"/>
      <c r="C148" s="116">
        <v>2018</v>
      </c>
      <c r="D148" s="50"/>
      <c r="E148" s="50"/>
      <c r="F148" s="42"/>
      <c r="G148" s="190"/>
      <c r="H148" s="190"/>
      <c r="I148" s="227">
        <f t="shared" si="13"/>
        <v>0</v>
      </c>
      <c r="J148" s="231"/>
      <c r="K148" s="232"/>
      <c r="L148" s="231"/>
      <c r="M148" s="232"/>
      <c r="N148" s="233"/>
      <c r="O148" s="177"/>
      <c r="P148" s="177"/>
    </row>
    <row r="149" spans="1:16" ht="19.5" customHeight="1">
      <c r="A149" s="2561"/>
      <c r="B149" s="2025"/>
      <c r="C149" s="116">
        <v>2019</v>
      </c>
      <c r="D149" s="50"/>
      <c r="E149" s="50"/>
      <c r="F149" s="42"/>
      <c r="G149" s="190"/>
      <c r="H149" s="190"/>
      <c r="I149" s="227">
        <f t="shared" si="13"/>
        <v>0</v>
      </c>
      <c r="J149" s="231"/>
      <c r="K149" s="232"/>
      <c r="L149" s="231"/>
      <c r="M149" s="232"/>
      <c r="N149" s="233"/>
      <c r="O149" s="177"/>
      <c r="P149" s="177"/>
    </row>
    <row r="150" spans="1:16" ht="18.75" customHeight="1">
      <c r="A150" s="2561"/>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656" t="s">
        <v>93</v>
      </c>
      <c r="B153" s="2657" t="s">
        <v>61</v>
      </c>
      <c r="C153" s="2658" t="s">
        <v>8</v>
      </c>
      <c r="D153" s="1490" t="s">
        <v>94</v>
      </c>
      <c r="E153" s="1490"/>
      <c r="F153" s="503"/>
      <c r="G153" s="503"/>
      <c r="H153" s="1490" t="s">
        <v>95</v>
      </c>
      <c r="I153" s="1490"/>
      <c r="J153" s="504"/>
      <c r="K153" s="31"/>
      <c r="L153" s="31"/>
      <c r="M153" s="31"/>
      <c r="N153" s="31"/>
      <c r="O153" s="177"/>
      <c r="P153" s="177"/>
    </row>
    <row r="154" spans="1:16" ht="49.5" customHeight="1">
      <c r="A154" s="2562"/>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560"/>
      <c r="B155" s="2025"/>
      <c r="C155" s="247">
        <v>2014</v>
      </c>
      <c r="D155" s="228"/>
      <c r="E155" s="187"/>
      <c r="F155" s="229"/>
      <c r="G155" s="227">
        <f>SUM(D155:F155)</f>
        <v>0</v>
      </c>
      <c r="H155" s="228"/>
      <c r="I155" s="187"/>
      <c r="J155" s="188"/>
      <c r="O155" s="177"/>
      <c r="P155" s="177"/>
    </row>
    <row r="156" spans="1:16" ht="19.5" customHeight="1">
      <c r="A156" s="2561"/>
      <c r="B156" s="2025"/>
      <c r="C156" s="248">
        <v>2015</v>
      </c>
      <c r="D156" s="231"/>
      <c r="E156" s="190"/>
      <c r="F156" s="232"/>
      <c r="G156" s="227">
        <f t="shared" ref="G156:G161" si="15">SUM(D156:F156)</f>
        <v>0</v>
      </c>
      <c r="H156" s="231"/>
      <c r="I156" s="190"/>
      <c r="J156" s="193"/>
      <c r="O156" s="177"/>
      <c r="P156" s="177"/>
    </row>
    <row r="157" spans="1:16" ht="17.25" customHeight="1">
      <c r="A157" s="2561"/>
      <c r="B157" s="2025"/>
      <c r="C157" s="248">
        <v>2016</v>
      </c>
      <c r="D157" s="231"/>
      <c r="E157" s="190"/>
      <c r="F157" s="232"/>
      <c r="G157" s="227">
        <f t="shared" si="15"/>
        <v>0</v>
      </c>
      <c r="H157" s="231"/>
      <c r="I157" s="190"/>
      <c r="J157" s="193"/>
      <c r="O157" s="177"/>
      <c r="P157" s="177"/>
    </row>
    <row r="158" spans="1:16" ht="15" customHeight="1">
      <c r="A158" s="2561"/>
      <c r="B158" s="2025"/>
      <c r="C158" s="248">
        <v>2017</v>
      </c>
      <c r="D158" s="231"/>
      <c r="E158" s="190"/>
      <c r="F158" s="232"/>
      <c r="G158" s="227">
        <f t="shared" si="15"/>
        <v>0</v>
      </c>
      <c r="H158" s="231"/>
      <c r="I158" s="190"/>
      <c r="J158" s="193"/>
      <c r="O158" s="177"/>
      <c r="P158" s="177"/>
    </row>
    <row r="159" spans="1:16" ht="19.5" customHeight="1">
      <c r="A159" s="2561"/>
      <c r="B159" s="2025"/>
      <c r="C159" s="248">
        <v>2018</v>
      </c>
      <c r="D159" s="231"/>
      <c r="E159" s="190"/>
      <c r="F159" s="232"/>
      <c r="G159" s="227">
        <f t="shared" si="15"/>
        <v>0</v>
      </c>
      <c r="H159" s="231"/>
      <c r="I159" s="190"/>
      <c r="J159" s="193"/>
      <c r="O159" s="177"/>
      <c r="P159" s="177"/>
    </row>
    <row r="160" spans="1:16" ht="15" customHeight="1">
      <c r="A160" s="2561"/>
      <c r="B160" s="2025"/>
      <c r="C160" s="248">
        <v>2019</v>
      </c>
      <c r="D160" s="231"/>
      <c r="E160" s="190"/>
      <c r="F160" s="232"/>
      <c r="G160" s="227">
        <f t="shared" si="15"/>
        <v>0</v>
      </c>
      <c r="H160" s="231"/>
      <c r="I160" s="190"/>
      <c r="J160" s="193"/>
      <c r="O160" s="177"/>
      <c r="P160" s="177"/>
    </row>
    <row r="161" spans="1:18" ht="17.25" customHeight="1">
      <c r="A161" s="2561"/>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1491"/>
      <c r="F163" s="177"/>
      <c r="G163" s="177"/>
      <c r="H163" s="177"/>
      <c r="I163" s="177"/>
      <c r="J163" s="255"/>
      <c r="K163" s="256"/>
    </row>
    <row r="164" spans="1:18" ht="95.25" customHeight="1">
      <c r="A164" s="257" t="s">
        <v>102</v>
      </c>
      <c r="B164" s="258" t="s">
        <v>103</v>
      </c>
      <c r="C164" s="1447" t="s">
        <v>8</v>
      </c>
      <c r="D164" s="260" t="s">
        <v>104</v>
      </c>
      <c r="E164" s="260" t="s">
        <v>105</v>
      </c>
      <c r="F164" s="1492" t="s">
        <v>106</v>
      </c>
      <c r="G164" s="260" t="s">
        <v>107</v>
      </c>
      <c r="H164" s="260" t="s">
        <v>108</v>
      </c>
      <c r="I164" s="262" t="s">
        <v>109</v>
      </c>
      <c r="J164" s="263" t="s">
        <v>110</v>
      </c>
      <c r="K164" s="263" t="s">
        <v>111</v>
      </c>
      <c r="L164" s="1380"/>
    </row>
    <row r="165" spans="1:18" ht="15.75" customHeight="1">
      <c r="A165" s="2011"/>
      <c r="B165" s="2012"/>
      <c r="C165" s="265">
        <v>2014</v>
      </c>
      <c r="D165" s="187"/>
      <c r="E165" s="187"/>
      <c r="F165" s="187"/>
      <c r="G165" s="187"/>
      <c r="H165" s="187"/>
      <c r="I165" s="188"/>
      <c r="J165" s="266">
        <f>SUM(D165,F165,H165)</f>
        <v>0</v>
      </c>
      <c r="K165" s="267">
        <f>SUM(E165,G165,I165)</f>
        <v>0</v>
      </c>
      <c r="L165" s="1380"/>
    </row>
    <row r="166" spans="1:18">
      <c r="A166" s="2013"/>
      <c r="B166" s="2014"/>
      <c r="C166" s="268">
        <v>2015</v>
      </c>
      <c r="D166" s="269"/>
      <c r="E166" s="269"/>
      <c r="F166" s="269"/>
      <c r="G166" s="269"/>
      <c r="H166" s="269"/>
      <c r="I166" s="270"/>
      <c r="J166" s="271">
        <f t="shared" ref="J166:K171" si="17">SUM(D166,F166,H166)</f>
        <v>0</v>
      </c>
      <c r="K166" s="272">
        <f t="shared" si="17"/>
        <v>0</v>
      </c>
      <c r="L166" s="1380"/>
    </row>
    <row r="167" spans="1:18">
      <c r="A167" s="2013"/>
      <c r="B167" s="2014"/>
      <c r="C167" s="268">
        <v>2016</v>
      </c>
      <c r="D167" s="269"/>
      <c r="E167" s="269"/>
      <c r="F167" s="269"/>
      <c r="G167" s="269"/>
      <c r="H167" s="269"/>
      <c r="I167" s="270"/>
      <c r="J167" s="271">
        <f t="shared" si="17"/>
        <v>0</v>
      </c>
      <c r="K167" s="272">
        <f t="shared" si="17"/>
        <v>0</v>
      </c>
    </row>
    <row r="168" spans="1:18">
      <c r="A168" s="2013"/>
      <c r="B168" s="2014"/>
      <c r="C168" s="268">
        <v>2017</v>
      </c>
      <c r="D168" s="269"/>
      <c r="E168" s="177"/>
      <c r="F168" s="269"/>
      <c r="G168" s="269"/>
      <c r="H168" s="269"/>
      <c r="I168" s="270"/>
      <c r="J168" s="271">
        <f t="shared" si="17"/>
        <v>0</v>
      </c>
      <c r="K168" s="272">
        <f t="shared" si="17"/>
        <v>0</v>
      </c>
    </row>
    <row r="169" spans="1:18">
      <c r="A169" s="2013"/>
      <c r="B169" s="2014"/>
      <c r="C169" s="273">
        <v>2018</v>
      </c>
      <c r="D169" s="269"/>
      <c r="E169" s="269"/>
      <c r="F169" s="269"/>
      <c r="G169" s="274"/>
      <c r="H169" s="269"/>
      <c r="I169" s="270"/>
      <c r="J169" s="271">
        <f t="shared" si="17"/>
        <v>0</v>
      </c>
      <c r="K169" s="272">
        <f t="shared" si="17"/>
        <v>0</v>
      </c>
      <c r="L169" s="1380"/>
    </row>
    <row r="170" spans="1:18">
      <c r="A170" s="2013"/>
      <c r="B170" s="2014"/>
      <c r="C170" s="268">
        <v>2019</v>
      </c>
      <c r="D170" s="177"/>
      <c r="E170" s="269"/>
      <c r="F170" s="269"/>
      <c r="G170" s="269"/>
      <c r="H170" s="274"/>
      <c r="I170" s="270"/>
      <c r="J170" s="271">
        <f t="shared" si="17"/>
        <v>0</v>
      </c>
      <c r="K170" s="272">
        <f t="shared" si="17"/>
        <v>0</v>
      </c>
      <c r="L170" s="1380"/>
    </row>
    <row r="171" spans="1:18">
      <c r="A171" s="2013"/>
      <c r="B171" s="2014"/>
      <c r="C171" s="273">
        <v>2020</v>
      </c>
      <c r="D171" s="269"/>
      <c r="E171" s="269"/>
      <c r="F171" s="269"/>
      <c r="G171" s="269"/>
      <c r="H171" s="269"/>
      <c r="I171" s="270"/>
      <c r="J171" s="271">
        <f t="shared" si="17"/>
        <v>0</v>
      </c>
      <c r="K171" s="272">
        <f t="shared" si="17"/>
        <v>0</v>
      </c>
      <c r="L171" s="1380"/>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1380"/>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660" t="s">
        <v>113</v>
      </c>
      <c r="B176" s="2651" t="s">
        <v>114</v>
      </c>
      <c r="C176" s="2662" t="s">
        <v>8</v>
      </c>
      <c r="D176" s="510" t="s">
        <v>115</v>
      </c>
      <c r="E176" s="1495"/>
      <c r="F176" s="1495"/>
      <c r="G176" s="512"/>
      <c r="H176" s="513"/>
      <c r="I176" s="2021" t="s">
        <v>116</v>
      </c>
      <c r="J176" s="2663"/>
      <c r="K176" s="2663"/>
      <c r="L176" s="2663"/>
      <c r="M176" s="2663"/>
      <c r="N176" s="2663"/>
      <c r="O176" s="2233"/>
    </row>
    <row r="177" spans="1:15" s="31" customFormat="1" ht="129.75" customHeight="1">
      <c r="A177" s="2018"/>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561" t="s">
        <v>444</v>
      </c>
      <c r="B178" s="2025"/>
      <c r="C178" s="112">
        <v>2014</v>
      </c>
      <c r="D178" s="33"/>
      <c r="E178" s="34"/>
      <c r="F178" s="34"/>
      <c r="G178" s="293">
        <f>SUM(D178:F178)</f>
        <v>0</v>
      </c>
      <c r="H178" s="167"/>
      <c r="I178" s="167"/>
      <c r="J178" s="34"/>
      <c r="K178" s="34"/>
      <c r="L178" s="34"/>
      <c r="M178" s="34"/>
      <c r="N178" s="34"/>
      <c r="O178" s="37"/>
    </row>
    <row r="179" spans="1:15">
      <c r="A179" s="2561"/>
      <c r="B179" s="2025"/>
      <c r="C179" s="116">
        <v>2015</v>
      </c>
      <c r="D179" s="50"/>
      <c r="E179" s="42"/>
      <c r="F179" s="42"/>
      <c r="G179" s="293">
        <f t="shared" ref="G179:G184" si="19">SUM(D179:F179)</f>
        <v>0</v>
      </c>
      <c r="H179" s="294"/>
      <c r="I179" s="118"/>
      <c r="J179" s="42"/>
      <c r="K179" s="42"/>
      <c r="L179" s="42"/>
      <c r="M179" s="42"/>
      <c r="N179" s="42"/>
      <c r="O179" s="99"/>
    </row>
    <row r="180" spans="1:15">
      <c r="A180" s="2561"/>
      <c r="B180" s="2025"/>
      <c r="C180" s="116">
        <v>2016</v>
      </c>
      <c r="D180" s="50"/>
      <c r="E180" s="42"/>
      <c r="F180" s="42">
        <v>1</v>
      </c>
      <c r="G180" s="293">
        <f t="shared" si="19"/>
        <v>1</v>
      </c>
      <c r="H180" s="294">
        <v>3</v>
      </c>
      <c r="I180" s="118">
        <v>1</v>
      </c>
      <c r="J180" s="42"/>
      <c r="K180" s="42"/>
      <c r="L180" s="42"/>
      <c r="M180" s="42"/>
      <c r="N180" s="42"/>
      <c r="O180" s="99"/>
    </row>
    <row r="181" spans="1:15">
      <c r="A181" s="2561"/>
      <c r="B181" s="2025"/>
      <c r="C181" s="116">
        <v>2017</v>
      </c>
      <c r="D181" s="50"/>
      <c r="E181" s="42"/>
      <c r="F181" s="42"/>
      <c r="G181" s="293">
        <f t="shared" si="19"/>
        <v>0</v>
      </c>
      <c r="H181" s="294"/>
      <c r="I181" s="118"/>
      <c r="J181" s="42"/>
      <c r="K181" s="42"/>
      <c r="L181" s="42"/>
      <c r="M181" s="42"/>
      <c r="N181" s="42"/>
      <c r="O181" s="99"/>
    </row>
    <row r="182" spans="1:15">
      <c r="A182" s="2561"/>
      <c r="B182" s="2025"/>
      <c r="C182" s="116">
        <v>2018</v>
      </c>
      <c r="D182" s="50"/>
      <c r="E182" s="42"/>
      <c r="F182" s="42"/>
      <c r="G182" s="293">
        <f t="shared" si="19"/>
        <v>0</v>
      </c>
      <c r="H182" s="294"/>
      <c r="I182" s="118"/>
      <c r="J182" s="42"/>
      <c r="K182" s="42"/>
      <c r="L182" s="42"/>
      <c r="M182" s="42"/>
      <c r="N182" s="42"/>
      <c r="O182" s="99"/>
    </row>
    <row r="183" spans="1:15">
      <c r="A183" s="2561"/>
      <c r="B183" s="2025"/>
      <c r="C183" s="116">
        <v>2019</v>
      </c>
      <c r="D183" s="50"/>
      <c r="E183" s="42"/>
      <c r="F183" s="42"/>
      <c r="G183" s="293">
        <f t="shared" si="19"/>
        <v>0</v>
      </c>
      <c r="H183" s="294"/>
      <c r="I183" s="118"/>
      <c r="J183" s="42"/>
      <c r="K183" s="42"/>
      <c r="L183" s="42"/>
      <c r="M183" s="42"/>
      <c r="N183" s="42"/>
      <c r="O183" s="99"/>
    </row>
    <row r="184" spans="1:15">
      <c r="A184" s="2561"/>
      <c r="B184" s="2025"/>
      <c r="C184" s="116">
        <v>2020</v>
      </c>
      <c r="D184" s="50"/>
      <c r="E184" s="42"/>
      <c r="F184" s="42"/>
      <c r="G184" s="293">
        <f t="shared" si="19"/>
        <v>0</v>
      </c>
      <c r="H184" s="294"/>
      <c r="I184" s="118"/>
      <c r="J184" s="42"/>
      <c r="K184" s="42"/>
      <c r="L184" s="42"/>
      <c r="M184" s="42"/>
      <c r="N184" s="42"/>
      <c r="O184" s="99"/>
    </row>
    <row r="185" spans="1:15" ht="45" customHeight="1" thickBot="1">
      <c r="A185" s="2026"/>
      <c r="B185" s="2027"/>
      <c r="C185" s="122" t="s">
        <v>12</v>
      </c>
      <c r="D185" s="151">
        <f>SUM(D178:D184)</f>
        <v>0</v>
      </c>
      <c r="E185" s="125">
        <f>SUM(E178:E184)</f>
        <v>0</v>
      </c>
      <c r="F185" s="125">
        <f>SUM(F178:F184)</f>
        <v>1</v>
      </c>
      <c r="G185" s="234">
        <f t="shared" ref="G185:O185" si="20">SUM(G178:G184)</f>
        <v>1</v>
      </c>
      <c r="H185" s="295">
        <f t="shared" si="20"/>
        <v>3</v>
      </c>
      <c r="I185" s="124">
        <f t="shared" si="20"/>
        <v>1</v>
      </c>
      <c r="J185" s="125">
        <f t="shared" si="20"/>
        <v>0</v>
      </c>
      <c r="K185" s="125">
        <f t="shared" si="20"/>
        <v>0</v>
      </c>
      <c r="L185" s="125">
        <f t="shared" si="20"/>
        <v>0</v>
      </c>
      <c r="M185" s="125">
        <f t="shared" si="20"/>
        <v>0</v>
      </c>
      <c r="N185" s="125">
        <f t="shared" si="20"/>
        <v>0</v>
      </c>
      <c r="O185" s="126">
        <f t="shared" si="20"/>
        <v>0</v>
      </c>
    </row>
    <row r="186" spans="1:15" ht="33" customHeight="1" thickBot="1"/>
    <row r="187" spans="1:15" ht="19.5" customHeight="1">
      <c r="A187" s="1994" t="s">
        <v>122</v>
      </c>
      <c r="B187" s="2651" t="s">
        <v>114</v>
      </c>
      <c r="C187" s="1998" t="s">
        <v>8</v>
      </c>
      <c r="D187" s="2000" t="s">
        <v>123</v>
      </c>
      <c r="E187" s="2652"/>
      <c r="F187" s="2652"/>
      <c r="G187" s="2220"/>
      <c r="H187" s="2221"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111" t="s">
        <v>445</v>
      </c>
      <c r="B189" s="2112"/>
      <c r="C189" s="392">
        <v>2014</v>
      </c>
      <c r="D189" s="142"/>
      <c r="E189" s="115"/>
      <c r="F189" s="115"/>
      <c r="G189" s="301">
        <f>SUM(D189:F189)</f>
        <v>0</v>
      </c>
      <c r="H189" s="114"/>
      <c r="I189" s="115"/>
      <c r="J189" s="115"/>
      <c r="K189" s="115"/>
      <c r="L189" s="143"/>
    </row>
    <row r="190" spans="1:15">
      <c r="A190" s="2559"/>
      <c r="B190" s="1988"/>
      <c r="C190" s="86">
        <v>2015</v>
      </c>
      <c r="D190" s="50"/>
      <c r="E190" s="42"/>
      <c r="F190" s="42"/>
      <c r="G190" s="301">
        <f t="shared" ref="G190:G195" si="21">SUM(D190:F190)</f>
        <v>0</v>
      </c>
      <c r="H190" s="118"/>
      <c r="I190" s="42"/>
      <c r="J190" s="42"/>
      <c r="K190" s="42"/>
      <c r="L190" s="99"/>
    </row>
    <row r="191" spans="1:15">
      <c r="A191" s="2559"/>
      <c r="B191" s="1988"/>
      <c r="C191" s="86">
        <v>2016</v>
      </c>
      <c r="D191" s="50"/>
      <c r="E191" s="42"/>
      <c r="F191" s="42">
        <v>50</v>
      </c>
      <c r="G191" s="301">
        <f t="shared" si="21"/>
        <v>50</v>
      </c>
      <c r="H191" s="118"/>
      <c r="I191" s="42"/>
      <c r="J191" s="42">
        <v>25</v>
      </c>
      <c r="K191" s="42"/>
      <c r="L191" s="99">
        <v>25</v>
      </c>
    </row>
    <row r="192" spans="1:15">
      <c r="A192" s="2559"/>
      <c r="B192" s="1988"/>
      <c r="C192" s="86">
        <v>2017</v>
      </c>
      <c r="D192" s="50"/>
      <c r="E192" s="42"/>
      <c r="F192" s="42"/>
      <c r="G192" s="301">
        <f t="shared" si="21"/>
        <v>0</v>
      </c>
      <c r="H192" s="118"/>
      <c r="I192" s="42"/>
      <c r="J192" s="42"/>
      <c r="K192" s="42"/>
      <c r="L192" s="99"/>
    </row>
    <row r="193" spans="1:14">
      <c r="A193" s="2559"/>
      <c r="B193" s="1988"/>
      <c r="C193" s="86">
        <v>2018</v>
      </c>
      <c r="D193" s="50"/>
      <c r="E193" s="42"/>
      <c r="F193" s="42"/>
      <c r="G193" s="301">
        <f t="shared" si="21"/>
        <v>0</v>
      </c>
      <c r="H193" s="118"/>
      <c r="I193" s="42"/>
      <c r="J193" s="42"/>
      <c r="K193" s="42"/>
      <c r="L193" s="99"/>
    </row>
    <row r="194" spans="1:14">
      <c r="A194" s="2559"/>
      <c r="B194" s="1988"/>
      <c r="C194" s="86">
        <v>2019</v>
      </c>
      <c r="D194" s="50"/>
      <c r="E194" s="42"/>
      <c r="F194" s="42"/>
      <c r="G194" s="301">
        <f t="shared" si="21"/>
        <v>0</v>
      </c>
      <c r="H194" s="118"/>
      <c r="I194" s="42"/>
      <c r="J194" s="42"/>
      <c r="K194" s="42"/>
      <c r="L194" s="99"/>
    </row>
    <row r="195" spans="1:14">
      <c r="A195" s="2559"/>
      <c r="B195" s="1988"/>
      <c r="C195" s="86">
        <v>2020</v>
      </c>
      <c r="D195" s="50"/>
      <c r="E195" s="42"/>
      <c r="F195" s="42"/>
      <c r="G195" s="301">
        <f t="shared" si="21"/>
        <v>0</v>
      </c>
      <c r="H195" s="118"/>
      <c r="I195" s="42"/>
      <c r="J195" s="42"/>
      <c r="K195" s="42"/>
      <c r="L195" s="99"/>
    </row>
    <row r="196" spans="1:14" ht="15.75" thickBot="1">
      <c r="A196" s="2114"/>
      <c r="B196" s="1990"/>
      <c r="C196" s="148" t="s">
        <v>12</v>
      </c>
      <c r="D196" s="151">
        <f t="shared" ref="D196:L196" si="22">SUM(D189:D195)</f>
        <v>0</v>
      </c>
      <c r="E196" s="125">
        <f t="shared" si="22"/>
        <v>0</v>
      </c>
      <c r="F196" s="125">
        <f t="shared" si="22"/>
        <v>50</v>
      </c>
      <c r="G196" s="304">
        <f t="shared" si="22"/>
        <v>50</v>
      </c>
      <c r="H196" s="124">
        <f t="shared" si="22"/>
        <v>0</v>
      </c>
      <c r="I196" s="125">
        <f t="shared" si="22"/>
        <v>0</v>
      </c>
      <c r="J196" s="125">
        <f t="shared" si="22"/>
        <v>25</v>
      </c>
      <c r="K196" s="125">
        <f t="shared" si="22"/>
        <v>0</v>
      </c>
      <c r="L196" s="126">
        <f t="shared" si="22"/>
        <v>25</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1499" t="s">
        <v>135</v>
      </c>
      <c r="B201" s="309" t="s">
        <v>114</v>
      </c>
      <c r="C201" s="310" t="s">
        <v>8</v>
      </c>
      <c r="D201" s="515" t="s">
        <v>136</v>
      </c>
      <c r="E201" s="312" t="s">
        <v>137</v>
      </c>
      <c r="F201" s="312" t="s">
        <v>138</v>
      </c>
      <c r="G201" s="310" t="s">
        <v>139</v>
      </c>
      <c r="H201" s="1500" t="s">
        <v>140</v>
      </c>
      <c r="I201" s="517" t="s">
        <v>141</v>
      </c>
      <c r="J201" s="518" t="s">
        <v>142</v>
      </c>
      <c r="K201" s="312" t="s">
        <v>143</v>
      </c>
      <c r="L201" s="316" t="s">
        <v>144</v>
      </c>
    </row>
    <row r="202" spans="1:14" ht="15" customHeight="1">
      <c r="A202" s="2558"/>
      <c r="B202" s="1988"/>
      <c r="C202" s="84">
        <v>2014</v>
      </c>
      <c r="D202" s="33"/>
      <c r="E202" s="34"/>
      <c r="F202" s="34"/>
      <c r="G202" s="32"/>
      <c r="H202" s="317"/>
      <c r="I202" s="318"/>
      <c r="J202" s="319"/>
      <c r="K202" s="34"/>
      <c r="L202" s="37"/>
    </row>
    <row r="203" spans="1:14">
      <c r="A203" s="2558"/>
      <c r="B203" s="1988"/>
      <c r="C203" s="86">
        <v>2015</v>
      </c>
      <c r="D203" s="50"/>
      <c r="E203" s="42"/>
      <c r="F203" s="42"/>
      <c r="G203" s="39"/>
      <c r="H203" s="320"/>
      <c r="I203" s="321"/>
      <c r="J203" s="322"/>
      <c r="K203" s="42"/>
      <c r="L203" s="99"/>
    </row>
    <row r="204" spans="1:14">
      <c r="A204" s="2558"/>
      <c r="B204" s="1988"/>
      <c r="C204" s="86">
        <v>2016</v>
      </c>
      <c r="D204" s="50"/>
      <c r="E204" s="42"/>
      <c r="F204" s="42"/>
      <c r="G204" s="39"/>
      <c r="H204" s="320"/>
      <c r="I204" s="321"/>
      <c r="J204" s="322"/>
      <c r="K204" s="42"/>
      <c r="L204" s="99"/>
    </row>
    <row r="205" spans="1:14">
      <c r="A205" s="2558"/>
      <c r="B205" s="1988"/>
      <c r="C205" s="86">
        <v>2017</v>
      </c>
      <c r="D205" s="50"/>
      <c r="E205" s="42"/>
      <c r="F205" s="42"/>
      <c r="G205" s="39"/>
      <c r="H205" s="320"/>
      <c r="I205" s="321"/>
      <c r="J205" s="322"/>
      <c r="K205" s="42"/>
      <c r="L205" s="99"/>
    </row>
    <row r="206" spans="1:14">
      <c r="A206" s="2558"/>
      <c r="B206" s="1988"/>
      <c r="C206" s="86">
        <v>2018</v>
      </c>
      <c r="D206" s="50"/>
      <c r="E206" s="42"/>
      <c r="F206" s="42"/>
      <c r="G206" s="39"/>
      <c r="H206" s="320"/>
      <c r="I206" s="321"/>
      <c r="J206" s="322"/>
      <c r="K206" s="42"/>
      <c r="L206" s="99"/>
    </row>
    <row r="207" spans="1:14">
      <c r="A207" s="2558"/>
      <c r="B207" s="1988"/>
      <c r="C207" s="86">
        <v>2019</v>
      </c>
      <c r="D207" s="50"/>
      <c r="E207" s="42"/>
      <c r="F207" s="42"/>
      <c r="G207" s="39"/>
      <c r="H207" s="320"/>
      <c r="I207" s="321"/>
      <c r="J207" s="322"/>
      <c r="K207" s="42"/>
      <c r="L207" s="99"/>
    </row>
    <row r="208" spans="1:14">
      <c r="A208" s="2558"/>
      <c r="B208" s="1988"/>
      <c r="C208" s="86">
        <v>2020</v>
      </c>
      <c r="D208" s="1434"/>
      <c r="E208" s="324"/>
      <c r="F208" s="324"/>
      <c r="G208" s="325"/>
      <c r="H208" s="326"/>
      <c r="I208" s="327"/>
      <c r="J208" s="328"/>
      <c r="K208" s="324"/>
      <c r="L208" s="329"/>
    </row>
    <row r="209" spans="1:12" ht="20.25" customHeight="1" thickBot="1">
      <c r="A209" s="1989"/>
      <c r="B209" s="1990"/>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1501" t="s">
        <v>145</v>
      </c>
      <c r="B212" s="331" t="s">
        <v>146</v>
      </c>
      <c r="C212" s="332">
        <v>2014</v>
      </c>
      <c r="D212" s="333">
        <v>2015</v>
      </c>
      <c r="E212" s="333">
        <v>2016</v>
      </c>
      <c r="F212" s="333">
        <v>2017</v>
      </c>
      <c r="G212" s="333">
        <v>2018</v>
      </c>
      <c r="H212" s="333">
        <v>2019</v>
      </c>
      <c r="I212" s="334">
        <v>2020</v>
      </c>
    </row>
    <row r="213" spans="1:12" ht="15" customHeight="1">
      <c r="A213" t="s">
        <v>147</v>
      </c>
      <c r="B213" s="2196" t="s">
        <v>446</v>
      </c>
      <c r="C213" s="84"/>
      <c r="D213" s="147">
        <v>7075.32</v>
      </c>
      <c r="E213" s="147">
        <v>135893.16</v>
      </c>
      <c r="F213" s="147"/>
      <c r="G213" s="147"/>
      <c r="H213" s="147"/>
      <c r="I213" s="335"/>
    </row>
    <row r="214" spans="1:12">
      <c r="A214" t="s">
        <v>149</v>
      </c>
      <c r="B214" s="2168"/>
      <c r="C214" s="84"/>
      <c r="D214" s="147">
        <v>7075.32</v>
      </c>
      <c r="E214" s="147">
        <v>106260.32</v>
      </c>
      <c r="F214" s="147"/>
      <c r="G214" s="147"/>
      <c r="H214" s="147"/>
      <c r="I214" s="335"/>
    </row>
    <row r="215" spans="1:12">
      <c r="A215" t="s">
        <v>150</v>
      </c>
      <c r="B215" s="2168"/>
      <c r="C215" s="84"/>
      <c r="D215" s="147"/>
      <c r="E215" s="147"/>
      <c r="F215" s="147"/>
      <c r="G215" s="147"/>
      <c r="H215" s="147"/>
      <c r="I215" s="335"/>
    </row>
    <row r="216" spans="1:12">
      <c r="A216" t="s">
        <v>151</v>
      </c>
      <c r="B216" s="2168"/>
      <c r="C216" s="84"/>
      <c r="D216" s="147"/>
      <c r="E216" s="147"/>
      <c r="F216" s="147"/>
      <c r="G216" s="147"/>
      <c r="H216" s="147"/>
      <c r="I216" s="335"/>
    </row>
    <row r="217" spans="1:12">
      <c r="A217" t="s">
        <v>152</v>
      </c>
      <c r="B217" s="2168"/>
      <c r="C217" s="84"/>
      <c r="D217" s="147"/>
      <c r="E217" s="147">
        <v>29632.84</v>
      </c>
      <c r="F217" s="147"/>
      <c r="G217" s="147"/>
      <c r="H217" s="147"/>
      <c r="I217" s="335"/>
    </row>
    <row r="218" spans="1:12" ht="30">
      <c r="A218" s="31" t="s">
        <v>153</v>
      </c>
      <c r="B218" s="2168"/>
      <c r="C218" s="84"/>
      <c r="D218" s="147">
        <v>68861.63</v>
      </c>
      <c r="E218" s="147">
        <v>76426.36</v>
      </c>
      <c r="F218" s="147"/>
      <c r="G218" s="147"/>
      <c r="H218" s="147"/>
      <c r="I218" s="335"/>
    </row>
    <row r="219" spans="1:12" ht="31.5" customHeight="1" thickBot="1">
      <c r="A219" s="1433"/>
      <c r="B219" s="2169"/>
      <c r="C219" s="54" t="s">
        <v>12</v>
      </c>
      <c r="D219" s="337">
        <f>SUM(D214:D218)</f>
        <v>75936.950000000012</v>
      </c>
      <c r="E219" s="337">
        <f>SUM(E214:E218)</f>
        <v>212319.52000000002</v>
      </c>
      <c r="F219" s="337">
        <f t="shared" ref="F219:I219" si="24">SUM(F214:F218)</f>
        <v>0</v>
      </c>
      <c r="G219" s="337">
        <f t="shared" si="24"/>
        <v>0</v>
      </c>
      <c r="H219" s="337">
        <f t="shared" si="24"/>
        <v>0</v>
      </c>
      <c r="I219" s="337">
        <f t="shared" si="24"/>
        <v>0</v>
      </c>
    </row>
    <row r="227" spans="1:1">
      <c r="A227"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dimension ref="A1:Y227"/>
  <sheetViews>
    <sheetView topLeftCell="A208" workbookViewId="0">
      <selection activeCell="D214" sqref="D214:E214"/>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447</v>
      </c>
      <c r="C1" s="2077"/>
      <c r="D1" s="2077"/>
      <c r="E1" s="2077"/>
      <c r="F1" s="2077"/>
    </row>
    <row r="2" spans="1:25" s="2" customFormat="1" ht="20.100000000000001" customHeight="1" thickBot="1"/>
    <row r="3" spans="1:25" s="5" customFormat="1" ht="20.100000000000001" customHeight="1">
      <c r="A3" s="1503" t="s">
        <v>1</v>
      </c>
      <c r="B3" s="1504"/>
      <c r="C3" s="1504"/>
      <c r="D3" s="1504"/>
      <c r="E3" s="1504"/>
      <c r="F3" s="2707"/>
      <c r="G3" s="2707"/>
      <c r="H3" s="2707"/>
      <c r="I3" s="2707"/>
      <c r="J3" s="2707"/>
      <c r="K3" s="2707"/>
      <c r="L3" s="2707"/>
      <c r="M3" s="2707"/>
      <c r="N3" s="2707"/>
      <c r="O3" s="2708"/>
    </row>
    <row r="4" spans="1:25" s="5" customFormat="1" ht="20.100000000000001" customHeight="1">
      <c r="A4" s="2566" t="s">
        <v>2</v>
      </c>
      <c r="B4" s="2081"/>
      <c r="C4" s="2081"/>
      <c r="D4" s="2081"/>
      <c r="E4" s="2081"/>
      <c r="F4" s="2081"/>
      <c r="G4" s="2081"/>
      <c r="H4" s="2081"/>
      <c r="I4" s="2081"/>
      <c r="J4" s="2081"/>
      <c r="K4" s="2081"/>
      <c r="L4" s="2081"/>
      <c r="M4" s="2081"/>
      <c r="N4" s="2081"/>
      <c r="O4" s="2082"/>
    </row>
    <row r="5" spans="1:25" s="5" customFormat="1" ht="20.100000000000001" customHeight="1">
      <c r="A5" s="2566"/>
      <c r="B5" s="2081"/>
      <c r="C5" s="2081"/>
      <c r="D5" s="2081"/>
      <c r="E5" s="2081"/>
      <c r="F5" s="2081"/>
      <c r="G5" s="2081"/>
      <c r="H5" s="2081"/>
      <c r="I5" s="2081"/>
      <c r="J5" s="2081"/>
      <c r="K5" s="2081"/>
      <c r="L5" s="2081"/>
      <c r="M5" s="2081"/>
      <c r="N5" s="2081"/>
      <c r="O5" s="2082"/>
    </row>
    <row r="6" spans="1:25" s="5" customFormat="1" ht="20.100000000000001" customHeight="1">
      <c r="A6" s="2566"/>
      <c r="B6" s="2081"/>
      <c r="C6" s="2081"/>
      <c r="D6" s="2081"/>
      <c r="E6" s="2081"/>
      <c r="F6" s="2081"/>
      <c r="G6" s="2081"/>
      <c r="H6" s="2081"/>
      <c r="I6" s="2081"/>
      <c r="J6" s="2081"/>
      <c r="K6" s="2081"/>
      <c r="L6" s="2081"/>
      <c r="M6" s="2081"/>
      <c r="N6" s="2081"/>
      <c r="O6" s="2082"/>
    </row>
    <row r="7" spans="1:25" s="5" customFormat="1" ht="20.100000000000001" customHeight="1">
      <c r="A7" s="2566"/>
      <c r="B7" s="2081"/>
      <c r="C7" s="2081"/>
      <c r="D7" s="2081"/>
      <c r="E7" s="2081"/>
      <c r="F7" s="2081"/>
      <c r="G7" s="2081"/>
      <c r="H7" s="2081"/>
      <c r="I7" s="2081"/>
      <c r="J7" s="2081"/>
      <c r="K7" s="2081"/>
      <c r="L7" s="2081"/>
      <c r="M7" s="2081"/>
      <c r="N7" s="2081"/>
      <c r="O7" s="2082"/>
    </row>
    <row r="8" spans="1:25" s="5" customFormat="1" ht="20.100000000000001" customHeight="1">
      <c r="A8" s="2566"/>
      <c r="B8" s="2081"/>
      <c r="C8" s="2081"/>
      <c r="D8" s="2081"/>
      <c r="E8" s="2081"/>
      <c r="F8" s="2081"/>
      <c r="G8" s="2081"/>
      <c r="H8" s="2081"/>
      <c r="I8" s="2081"/>
      <c r="J8" s="2081"/>
      <c r="K8" s="2081"/>
      <c r="L8" s="2081"/>
      <c r="M8" s="2081"/>
      <c r="N8" s="2081"/>
      <c r="O8" s="2082"/>
    </row>
    <row r="9" spans="1:25" s="5" customFormat="1" ht="20.100000000000001" customHeight="1">
      <c r="A9" s="2566"/>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1518"/>
      <c r="B15" s="1519"/>
      <c r="C15" s="11"/>
      <c r="D15" s="2718" t="s">
        <v>4</v>
      </c>
      <c r="E15" s="2709"/>
      <c r="F15" s="2709"/>
      <c r="G15" s="2709"/>
      <c r="H15" s="1520"/>
      <c r="I15" s="13" t="s">
        <v>5</v>
      </c>
      <c r="J15" s="14"/>
      <c r="K15" s="14"/>
      <c r="L15" s="14"/>
      <c r="M15" s="14"/>
      <c r="N15" s="14"/>
      <c r="O15" s="15"/>
      <c r="P15" s="16"/>
      <c r="Q15" s="17"/>
      <c r="R15" s="18"/>
      <c r="S15" s="18"/>
      <c r="T15" s="18"/>
      <c r="U15" s="18"/>
      <c r="V15" s="18"/>
      <c r="W15" s="16"/>
      <c r="X15" s="16"/>
      <c r="Y15" s="17"/>
    </row>
    <row r="16" spans="1:25" s="31" customFormat="1" ht="129" customHeight="1">
      <c r="A16" s="1475"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719"/>
      <c r="B17" s="2721" t="s">
        <v>448</v>
      </c>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719"/>
      <c r="B18" s="2721"/>
      <c r="C18" s="39">
        <v>2015</v>
      </c>
      <c r="D18" s="50"/>
      <c r="E18" s="42">
        <v>2</v>
      </c>
      <c r="F18" s="42"/>
      <c r="G18" s="35">
        <f>SUM(D18:F18)</f>
        <v>2</v>
      </c>
      <c r="H18" s="51">
        <v>2</v>
      </c>
      <c r="I18" s="42"/>
      <c r="J18" s="42"/>
      <c r="K18" s="42"/>
      <c r="L18" s="42"/>
      <c r="M18" s="42"/>
      <c r="N18" s="42"/>
      <c r="O18" s="52"/>
      <c r="P18" s="38"/>
      <c r="Q18" s="38"/>
      <c r="R18" s="38"/>
      <c r="S18" s="38"/>
      <c r="T18" s="38"/>
      <c r="U18" s="38"/>
      <c r="V18" s="38"/>
      <c r="W18" s="38"/>
      <c r="X18" s="38"/>
      <c r="Y18" s="38"/>
    </row>
    <row r="19" spans="1:25">
      <c r="A19" s="2719"/>
      <c r="B19" s="2721"/>
      <c r="C19" s="39">
        <v>2016</v>
      </c>
      <c r="D19" s="50">
        <v>11</v>
      </c>
      <c r="E19" s="42"/>
      <c r="F19" s="42"/>
      <c r="G19" s="35">
        <f t="shared" si="0"/>
        <v>11</v>
      </c>
      <c r="H19" s="51">
        <v>11</v>
      </c>
      <c r="I19" s="42"/>
      <c r="J19" s="42"/>
      <c r="K19" s="42"/>
      <c r="L19" s="42"/>
      <c r="M19" s="42"/>
      <c r="N19" s="42"/>
      <c r="O19" s="52"/>
      <c r="P19" s="38"/>
      <c r="Q19" s="38"/>
      <c r="R19" s="38"/>
      <c r="S19" s="38"/>
      <c r="T19" s="38"/>
      <c r="U19" s="38"/>
      <c r="V19" s="38"/>
      <c r="W19" s="38"/>
      <c r="X19" s="38"/>
      <c r="Y19" s="38"/>
    </row>
    <row r="20" spans="1:25">
      <c r="A20" s="2719"/>
      <c r="B20" s="2721"/>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2719"/>
      <c r="B21" s="2721"/>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2719"/>
      <c r="B22" s="2721"/>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2719"/>
      <c r="B23" s="2721"/>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64.5" customHeight="1" thickBot="1">
      <c r="A24" s="2720"/>
      <c r="B24" s="2722"/>
      <c r="C24" s="54" t="s">
        <v>12</v>
      </c>
      <c r="D24" s="55">
        <f>SUM(D17:D23)</f>
        <v>11</v>
      </c>
      <c r="E24" s="56">
        <f>SUM(E17:E23)</f>
        <v>2</v>
      </c>
      <c r="F24" s="56">
        <f>SUM(F17:F23)</f>
        <v>0</v>
      </c>
      <c r="G24" s="57">
        <f>SUM(D24:F24)</f>
        <v>13</v>
      </c>
      <c r="H24" s="58">
        <f>SUM(H17:H23)</f>
        <v>13</v>
      </c>
      <c r="I24" s="59">
        <f>SUM(I17:I23)</f>
        <v>0</v>
      </c>
      <c r="J24" s="59">
        <f t="shared" ref="J24:N24" si="1">SUM(J17:J23)</f>
        <v>0</v>
      </c>
      <c r="K24" s="59">
        <f t="shared" si="1"/>
        <v>0</v>
      </c>
      <c r="L24" s="59">
        <f t="shared" si="1"/>
        <v>0</v>
      </c>
      <c r="M24" s="59">
        <f t="shared" si="1"/>
        <v>0</v>
      </c>
      <c r="N24" s="59">
        <f t="shared" si="1"/>
        <v>0</v>
      </c>
      <c r="O24" s="60">
        <f>SUM(O17:O23)</f>
        <v>0</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1518"/>
      <c r="B26" s="1519"/>
      <c r="C26" s="63"/>
      <c r="D26" s="2723" t="s">
        <v>4</v>
      </c>
      <c r="E26" s="2713"/>
      <c r="F26" s="2713"/>
      <c r="G26" s="2724"/>
      <c r="H26" s="16"/>
      <c r="I26" s="17"/>
      <c r="J26" s="18"/>
      <c r="K26" s="18"/>
      <c r="L26" s="18"/>
      <c r="M26" s="18"/>
      <c r="N26" s="18"/>
      <c r="O26" s="16"/>
      <c r="P26" s="16"/>
    </row>
    <row r="27" spans="1:25" s="31" customFormat="1" ht="93" customHeight="1">
      <c r="A27" s="1364"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725"/>
      <c r="B28" s="2726" t="s">
        <v>449</v>
      </c>
      <c r="C28" s="68">
        <v>2014</v>
      </c>
      <c r="D28" s="36"/>
      <c r="E28" s="34"/>
      <c r="F28" s="34"/>
      <c r="G28" s="69">
        <f>SUM(D28:F28)</f>
        <v>0</v>
      </c>
      <c r="H28" s="38"/>
      <c r="I28" s="38"/>
      <c r="J28" s="38"/>
      <c r="K28" s="38"/>
      <c r="L28" s="38"/>
      <c r="M28" s="38"/>
      <c r="N28" s="38"/>
      <c r="O28" s="38"/>
      <c r="P28" s="38"/>
      <c r="Q28" s="8"/>
    </row>
    <row r="29" spans="1:25">
      <c r="A29" s="2725"/>
      <c r="B29" s="2726"/>
      <c r="C29" s="70">
        <v>2015</v>
      </c>
      <c r="D29" s="51"/>
      <c r="E29" s="42">
        <v>115</v>
      </c>
      <c r="F29" s="42"/>
      <c r="G29" s="69">
        <f t="shared" ref="G29:G35" si="2">SUM(D29:F29)</f>
        <v>115</v>
      </c>
      <c r="H29" s="38"/>
      <c r="I29" s="38"/>
      <c r="J29" s="38"/>
      <c r="K29" s="38"/>
      <c r="L29" s="38"/>
      <c r="M29" s="38"/>
      <c r="N29" s="38"/>
      <c r="O29" s="38"/>
      <c r="P29" s="38"/>
      <c r="Q29" s="8"/>
    </row>
    <row r="30" spans="1:25">
      <c r="A30" s="2725"/>
      <c r="B30" s="2726"/>
      <c r="C30" s="70">
        <v>2016</v>
      </c>
      <c r="D30" s="42">
        <v>546</v>
      </c>
      <c r="E30" s="42"/>
      <c r="F30" s="42"/>
      <c r="G30" s="69">
        <f t="shared" si="2"/>
        <v>546</v>
      </c>
      <c r="H30" s="38"/>
      <c r="I30" s="38"/>
      <c r="J30" s="38"/>
      <c r="K30" s="38"/>
      <c r="L30" s="38"/>
      <c r="M30" s="38"/>
      <c r="N30" s="38"/>
      <c r="O30" s="38"/>
      <c r="P30" s="38"/>
      <c r="Q30" s="8"/>
    </row>
    <row r="31" spans="1:25">
      <c r="A31" s="2725"/>
      <c r="B31" s="2726"/>
      <c r="C31" s="70">
        <v>2017</v>
      </c>
      <c r="D31" s="51"/>
      <c r="E31" s="42"/>
      <c r="F31" s="42"/>
      <c r="G31" s="69">
        <f t="shared" si="2"/>
        <v>0</v>
      </c>
      <c r="H31" s="38"/>
      <c r="I31" s="38"/>
      <c r="J31" s="38"/>
      <c r="K31" s="38"/>
      <c r="L31" s="38"/>
      <c r="M31" s="38"/>
      <c r="N31" s="38"/>
      <c r="O31" s="38"/>
      <c r="P31" s="38"/>
      <c r="Q31" s="8"/>
    </row>
    <row r="32" spans="1:25">
      <c r="A32" s="2725"/>
      <c r="B32" s="2726"/>
      <c r="C32" s="70">
        <v>2018</v>
      </c>
      <c r="D32" s="51"/>
      <c r="E32" s="42"/>
      <c r="F32" s="42"/>
      <c r="G32" s="69">
        <f>SUM(D32:F32)</f>
        <v>0</v>
      </c>
      <c r="H32" s="38"/>
      <c r="I32" s="38"/>
      <c r="J32" s="38"/>
      <c r="K32" s="38"/>
      <c r="L32" s="38"/>
      <c r="M32" s="38"/>
      <c r="N32" s="38"/>
      <c r="O32" s="38"/>
      <c r="P32" s="38"/>
      <c r="Q32" s="8"/>
    </row>
    <row r="33" spans="1:17">
      <c r="A33" s="2725"/>
      <c r="B33" s="2726"/>
      <c r="C33" s="72">
        <v>2019</v>
      </c>
      <c r="D33" s="51"/>
      <c r="E33" s="42"/>
      <c r="F33" s="42"/>
      <c r="G33" s="69">
        <f t="shared" si="2"/>
        <v>0</v>
      </c>
      <c r="H33" s="38"/>
      <c r="I33" s="38"/>
      <c r="J33" s="38"/>
      <c r="K33" s="38"/>
      <c r="L33" s="38"/>
      <c r="M33" s="38"/>
      <c r="N33" s="38"/>
      <c r="O33" s="38"/>
      <c r="P33" s="38"/>
      <c r="Q33" s="8"/>
    </row>
    <row r="34" spans="1:17">
      <c r="A34" s="2725"/>
      <c r="B34" s="2726"/>
      <c r="C34" s="70">
        <v>2020</v>
      </c>
      <c r="D34" s="51"/>
      <c r="E34" s="42"/>
      <c r="F34" s="42"/>
      <c r="G34" s="69">
        <f t="shared" si="2"/>
        <v>0</v>
      </c>
      <c r="H34" s="38"/>
      <c r="I34" s="38"/>
      <c r="J34" s="38"/>
      <c r="K34" s="38"/>
      <c r="L34" s="38"/>
      <c r="M34" s="38"/>
      <c r="N34" s="38"/>
      <c r="O34" s="38"/>
      <c r="P34" s="38"/>
      <c r="Q34" s="8"/>
    </row>
    <row r="35" spans="1:17" ht="349.5" customHeight="1" thickBot="1">
      <c r="A35" s="2262"/>
      <c r="B35" s="2727"/>
      <c r="C35" s="73" t="s">
        <v>12</v>
      </c>
      <c r="D35" s="58">
        <f>SUM(D28:D34)</f>
        <v>546</v>
      </c>
      <c r="E35" s="56">
        <f>SUM(E28:E34)</f>
        <v>115</v>
      </c>
      <c r="F35" s="56">
        <f>SUM(F28:F34)</f>
        <v>0</v>
      </c>
      <c r="G35" s="60">
        <f t="shared" si="2"/>
        <v>661</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1521" t="s">
        <v>25</v>
      </c>
      <c r="B39" s="1522">
        <v>0</v>
      </c>
      <c r="C39" s="80" t="s">
        <v>8</v>
      </c>
      <c r="D39" s="1523" t="s">
        <v>26</v>
      </c>
      <c r="E39" s="352" t="s">
        <v>27</v>
      </c>
      <c r="F39" s="353"/>
      <c r="G39" s="30"/>
      <c r="H39" s="30"/>
    </row>
    <row r="40" spans="1:17">
      <c r="A40" s="2550"/>
      <c r="B40" s="1988"/>
      <c r="C40" s="84">
        <v>2014</v>
      </c>
      <c r="D40" s="33"/>
      <c r="E40" s="32"/>
      <c r="F40" s="8"/>
      <c r="G40" s="38"/>
      <c r="H40" s="38"/>
    </row>
    <row r="41" spans="1:17">
      <c r="A41" s="2551"/>
      <c r="B41" s="1988"/>
      <c r="C41" s="86">
        <v>2015</v>
      </c>
      <c r="D41" s="231">
        <v>102669</v>
      </c>
      <c r="E41" s="232"/>
      <c r="F41" s="8"/>
      <c r="G41" s="38"/>
      <c r="H41" s="38"/>
    </row>
    <row r="42" spans="1:17">
      <c r="A42" s="2551"/>
      <c r="B42" s="1988"/>
      <c r="C42" s="86">
        <v>2016</v>
      </c>
      <c r="D42" s="1524">
        <v>184194</v>
      </c>
      <c r="E42" s="1525">
        <v>36622</v>
      </c>
      <c r="F42" s="8"/>
      <c r="G42" s="38"/>
      <c r="H42" s="38"/>
    </row>
    <row r="43" spans="1:17">
      <c r="A43" s="2551"/>
      <c r="B43" s="1988"/>
      <c r="C43" s="86">
        <v>2017</v>
      </c>
      <c r="D43" s="1524"/>
      <c r="E43" s="1526"/>
      <c r="F43" s="8"/>
      <c r="G43" s="38"/>
      <c r="H43" s="38"/>
    </row>
    <row r="44" spans="1:17">
      <c r="A44" s="2551"/>
      <c r="B44" s="1988"/>
      <c r="C44" s="86">
        <v>2018</v>
      </c>
      <c r="D44" s="50"/>
      <c r="E44" s="39"/>
      <c r="F44" s="8"/>
      <c r="G44" s="38"/>
      <c r="H44" s="38"/>
    </row>
    <row r="45" spans="1:17">
      <c r="A45" s="2551"/>
      <c r="B45" s="1988"/>
      <c r="C45" s="86">
        <v>2019</v>
      </c>
      <c r="D45" s="50"/>
      <c r="E45" s="39"/>
      <c r="F45" s="8"/>
      <c r="G45" s="38"/>
      <c r="H45" s="38"/>
    </row>
    <row r="46" spans="1:17">
      <c r="A46" s="2551"/>
      <c r="B46" s="1988"/>
      <c r="C46" s="86">
        <v>2020</v>
      </c>
      <c r="D46" s="50"/>
      <c r="E46" s="39"/>
      <c r="F46" s="8"/>
      <c r="G46" s="38"/>
      <c r="H46" s="38"/>
    </row>
    <row r="47" spans="1:17" ht="15.75" thickBot="1">
      <c r="A47" s="1989"/>
      <c r="B47" s="1990"/>
      <c r="C47" s="54" t="s">
        <v>12</v>
      </c>
      <c r="D47" s="55">
        <f>SUM(D40:D46)</f>
        <v>286863</v>
      </c>
      <c r="E47" s="419">
        <f>SUM(E40:E46)</f>
        <v>36622</v>
      </c>
      <c r="F47" s="121"/>
      <c r="G47" s="38"/>
      <c r="H47" s="38"/>
    </row>
    <row r="48" spans="1:17" s="38" customFormat="1" ht="15.75" thickBot="1">
      <c r="A48" s="1510"/>
      <c r="B48" s="92"/>
      <c r="C48" s="93"/>
    </row>
    <row r="49" spans="1:15" ht="83.25" customHeight="1">
      <c r="A49" s="1527" t="s">
        <v>29</v>
      </c>
      <c r="B49" s="1522" t="s">
        <v>7</v>
      </c>
      <c r="C49" s="95" t="s">
        <v>8</v>
      </c>
      <c r="D49" s="1523" t="s">
        <v>30</v>
      </c>
      <c r="E49" s="96" t="s">
        <v>31</v>
      </c>
      <c r="F49" s="96" t="s">
        <v>32</v>
      </c>
      <c r="G49" s="96" t="s">
        <v>33</v>
      </c>
      <c r="H49" s="96" t="s">
        <v>34</v>
      </c>
      <c r="I49" s="96" t="s">
        <v>35</v>
      </c>
      <c r="J49" s="96" t="s">
        <v>36</v>
      </c>
      <c r="K49" s="97" t="s">
        <v>37</v>
      </c>
    </row>
    <row r="50" spans="1:15" ht="17.25" customHeight="1">
      <c r="A50" s="2005"/>
      <c r="B50" s="2012"/>
      <c r="C50" s="98" t="s">
        <v>38</v>
      </c>
      <c r="D50" s="33"/>
      <c r="E50" s="34"/>
      <c r="F50" s="34"/>
      <c r="G50" s="34"/>
      <c r="H50" s="34"/>
      <c r="I50" s="34"/>
      <c r="J50" s="34"/>
      <c r="K50" s="37"/>
    </row>
    <row r="51" spans="1:15" ht="15" customHeight="1">
      <c r="A51" s="2550"/>
      <c r="B51" s="2014"/>
      <c r="C51" s="86">
        <v>2014</v>
      </c>
      <c r="D51" s="50"/>
      <c r="E51" s="42"/>
      <c r="F51" s="42"/>
      <c r="G51" s="42"/>
      <c r="H51" s="42"/>
      <c r="I51" s="42"/>
      <c r="J51" s="42"/>
      <c r="K51" s="99"/>
    </row>
    <row r="52" spans="1:15">
      <c r="A52" s="2550"/>
      <c r="B52" s="2014"/>
      <c r="C52" s="86">
        <v>2015</v>
      </c>
      <c r="D52" s="50"/>
      <c r="E52" s="42"/>
      <c r="F52" s="42"/>
      <c r="G52" s="42"/>
      <c r="H52" s="42"/>
      <c r="I52" s="42"/>
      <c r="J52" s="42"/>
      <c r="K52" s="99"/>
    </row>
    <row r="53" spans="1:15">
      <c r="A53" s="2550"/>
      <c r="B53" s="2014"/>
      <c r="C53" s="86">
        <v>2016</v>
      </c>
      <c r="D53" s="50"/>
      <c r="E53" s="42"/>
      <c r="F53" s="42"/>
      <c r="G53" s="42"/>
      <c r="H53" s="42"/>
      <c r="I53" s="42"/>
      <c r="J53" s="42"/>
      <c r="K53" s="99"/>
    </row>
    <row r="54" spans="1:15">
      <c r="A54" s="2550"/>
      <c r="B54" s="2014"/>
      <c r="C54" s="86">
        <v>2017</v>
      </c>
      <c r="D54" s="50"/>
      <c r="E54" s="42"/>
      <c r="F54" s="42"/>
      <c r="G54" s="42"/>
      <c r="H54" s="42"/>
      <c r="I54" s="42"/>
      <c r="J54" s="42"/>
      <c r="K54" s="99"/>
    </row>
    <row r="55" spans="1:15">
      <c r="A55" s="2550"/>
      <c r="B55" s="2014"/>
      <c r="C55" s="86">
        <v>2018</v>
      </c>
      <c r="D55" s="50"/>
      <c r="E55" s="42"/>
      <c r="F55" s="42"/>
      <c r="G55" s="42"/>
      <c r="H55" s="42"/>
      <c r="I55" s="42"/>
      <c r="J55" s="42"/>
      <c r="K55" s="99"/>
    </row>
    <row r="56" spans="1:15">
      <c r="A56" s="2550"/>
      <c r="B56" s="2014"/>
      <c r="C56" s="86">
        <v>2019</v>
      </c>
      <c r="D56" s="50"/>
      <c r="E56" s="42"/>
      <c r="F56" s="42"/>
      <c r="G56" s="42"/>
      <c r="H56" s="42"/>
      <c r="I56" s="42"/>
      <c r="J56" s="42"/>
      <c r="K56" s="99"/>
    </row>
    <row r="57" spans="1:15">
      <c r="A57" s="2550"/>
      <c r="B57" s="2014"/>
      <c r="C57" s="86">
        <v>2020</v>
      </c>
      <c r="D57" s="50"/>
      <c r="E57" s="42"/>
      <c r="F57" s="42"/>
      <c r="G57" s="42"/>
      <c r="H57" s="42"/>
      <c r="I57" s="42"/>
      <c r="J57" s="42"/>
      <c r="K57" s="100"/>
    </row>
    <row r="58" spans="1:15" ht="20.25" customHeight="1" thickBot="1">
      <c r="A58" s="2009"/>
      <c r="B58" s="2016"/>
      <c r="C58" s="54" t="s">
        <v>12</v>
      </c>
      <c r="D58" s="55">
        <f>SUM(D51:D57)</f>
        <v>0</v>
      </c>
      <c r="E58" s="56">
        <f>SUM(E51:E57)</f>
        <v>0</v>
      </c>
      <c r="F58" s="56">
        <f>SUM(F51:F57)</f>
        <v>0</v>
      </c>
      <c r="G58" s="56">
        <f>SUM(G51:G57)</f>
        <v>0</v>
      </c>
      <c r="H58" s="56">
        <f>SUM(H51:H57)</f>
        <v>0</v>
      </c>
      <c r="I58" s="56">
        <f t="shared" ref="I58" si="3">SUM(I51:I57)</f>
        <v>0</v>
      </c>
      <c r="J58" s="56">
        <f>SUM(J51:J57)</f>
        <v>0</v>
      </c>
      <c r="K58" s="60">
        <f>SUM(K50:K56)</f>
        <v>0</v>
      </c>
    </row>
    <row r="59" spans="1:15" ht="15.75" thickBot="1"/>
    <row r="60" spans="1:15" ht="21" customHeight="1">
      <c r="A60" s="2716" t="s">
        <v>39</v>
      </c>
      <c r="B60" s="1528"/>
      <c r="C60" s="2717" t="s">
        <v>8</v>
      </c>
      <c r="D60" s="2671" t="s">
        <v>40</v>
      </c>
      <c r="E60" s="1477" t="s">
        <v>5</v>
      </c>
      <c r="F60" s="1478"/>
      <c r="G60" s="1478"/>
      <c r="H60" s="1478"/>
      <c r="I60" s="1478"/>
      <c r="J60" s="1478"/>
      <c r="K60" s="1478"/>
      <c r="L60" s="1479"/>
    </row>
    <row r="61" spans="1:15" ht="115.5" customHeight="1">
      <c r="A61" s="2672"/>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728"/>
      <c r="B62" s="2729" t="s">
        <v>450</v>
      </c>
      <c r="C62" s="1529">
        <v>2014</v>
      </c>
      <c r="D62" s="113"/>
      <c r="E62" s="114"/>
      <c r="F62" s="115"/>
      <c r="G62" s="115"/>
      <c r="H62" s="115"/>
      <c r="I62" s="115"/>
      <c r="J62" s="115"/>
      <c r="K62" s="115"/>
      <c r="L62" s="37"/>
      <c r="M62" s="8"/>
      <c r="N62" s="8"/>
      <c r="O62" s="8"/>
    </row>
    <row r="63" spans="1:15">
      <c r="A63" s="2728"/>
      <c r="B63" s="2730"/>
      <c r="C63" s="1530">
        <v>2015</v>
      </c>
      <c r="D63" s="117">
        <v>5</v>
      </c>
      <c r="E63" s="118">
        <v>5</v>
      </c>
      <c r="F63" s="42"/>
      <c r="G63" s="42"/>
      <c r="H63" s="42"/>
      <c r="I63" s="42"/>
      <c r="J63" s="42"/>
      <c r="K63" s="42"/>
      <c r="L63" s="99"/>
      <c r="M63" s="8"/>
      <c r="N63" s="8"/>
      <c r="O63" s="8"/>
    </row>
    <row r="64" spans="1:15">
      <c r="A64" s="2728"/>
      <c r="B64" s="2730"/>
      <c r="C64" s="1530">
        <v>2016</v>
      </c>
      <c r="D64" s="573">
        <v>68</v>
      </c>
      <c r="E64" s="587">
        <v>68</v>
      </c>
      <c r="F64" s="42"/>
      <c r="G64" s="42"/>
      <c r="H64" s="42"/>
      <c r="I64" s="42"/>
      <c r="J64" s="42"/>
      <c r="K64" s="42"/>
      <c r="L64" s="99"/>
      <c r="M64" s="8"/>
      <c r="N64" s="8"/>
      <c r="O64" s="8"/>
    </row>
    <row r="65" spans="1:20">
      <c r="A65" s="2728"/>
      <c r="B65" s="2730"/>
      <c r="C65" s="1530">
        <v>2017</v>
      </c>
      <c r="D65" s="117"/>
      <c r="E65" s="118"/>
      <c r="F65" s="42"/>
      <c r="G65" s="42"/>
      <c r="H65" s="42"/>
      <c r="I65" s="42"/>
      <c r="J65" s="42"/>
      <c r="K65" s="42"/>
      <c r="L65" s="99"/>
      <c r="M65" s="8"/>
      <c r="N65" s="8"/>
      <c r="O65" s="8"/>
    </row>
    <row r="66" spans="1:20">
      <c r="A66" s="2728"/>
      <c r="B66" s="2730"/>
      <c r="C66" s="1530">
        <v>2018</v>
      </c>
      <c r="D66" s="117"/>
      <c r="E66" s="118"/>
      <c r="F66" s="42"/>
      <c r="G66" s="42"/>
      <c r="H66" s="42"/>
      <c r="I66" s="42"/>
      <c r="J66" s="42"/>
      <c r="K66" s="42"/>
      <c r="L66" s="99"/>
      <c r="M66" s="8"/>
      <c r="N66" s="8"/>
      <c r="O66" s="8"/>
    </row>
    <row r="67" spans="1:20" ht="17.25" customHeight="1">
      <c r="A67" s="2728"/>
      <c r="B67" s="2730"/>
      <c r="C67" s="1530">
        <v>2019</v>
      </c>
      <c r="D67" s="117"/>
      <c r="E67" s="118"/>
      <c r="F67" s="42"/>
      <c r="G67" s="42"/>
      <c r="H67" s="42"/>
      <c r="I67" s="42"/>
      <c r="J67" s="42"/>
      <c r="K67" s="42"/>
      <c r="L67" s="99"/>
      <c r="M67" s="8"/>
      <c r="N67" s="8"/>
      <c r="O67" s="8"/>
    </row>
    <row r="68" spans="1:20" ht="16.5" customHeight="1">
      <c r="A68" s="2728"/>
      <c r="B68" s="2730"/>
      <c r="C68" s="1530">
        <v>2020</v>
      </c>
      <c r="D68" s="117"/>
      <c r="E68" s="118"/>
      <c r="F68" s="42"/>
      <c r="G68" s="42"/>
      <c r="H68" s="42"/>
      <c r="I68" s="42"/>
      <c r="J68" s="42"/>
      <c r="K68" s="42"/>
      <c r="L68" s="99"/>
      <c r="M68" s="121"/>
      <c r="N68" s="121"/>
      <c r="O68" s="121"/>
    </row>
    <row r="69" spans="1:20" ht="74.25" customHeight="1" thickBot="1">
      <c r="A69" s="2257"/>
      <c r="B69" s="2731"/>
      <c r="C69" s="1531" t="s">
        <v>12</v>
      </c>
      <c r="D69" s="123">
        <f>SUM(D62:D68)</f>
        <v>73</v>
      </c>
      <c r="E69" s="124">
        <f>SUM(E62:E68)</f>
        <v>73</v>
      </c>
      <c r="F69" s="125">
        <f t="shared" ref="F69:I69" si="4">SUM(F62:F68)</f>
        <v>0</v>
      </c>
      <c r="G69" s="125">
        <f t="shared" si="4"/>
        <v>0</v>
      </c>
      <c r="H69" s="125">
        <f t="shared" si="4"/>
        <v>0</v>
      </c>
      <c r="I69" s="125">
        <f t="shared" si="4"/>
        <v>0</v>
      </c>
      <c r="J69" s="125"/>
      <c r="K69" s="125">
        <f>SUM(K62:K68)</f>
        <v>0</v>
      </c>
      <c r="L69" s="126">
        <f>SUM(L62:L68)</f>
        <v>0</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1521" t="s">
        <v>42</v>
      </c>
      <c r="B71" s="1522" t="s">
        <v>7</v>
      </c>
      <c r="C71" s="80" t="s">
        <v>8</v>
      </c>
      <c r="D71" s="132" t="s">
        <v>43</v>
      </c>
      <c r="E71" s="132" t="s">
        <v>44</v>
      </c>
      <c r="F71" s="133" t="s">
        <v>45</v>
      </c>
      <c r="G71" s="1532" t="s">
        <v>46</v>
      </c>
      <c r="H71" s="135" t="s">
        <v>13</v>
      </c>
      <c r="I71" s="136" t="s">
        <v>14</v>
      </c>
      <c r="J71" s="137" t="s">
        <v>15</v>
      </c>
      <c r="K71" s="136" t="s">
        <v>16</v>
      </c>
      <c r="L71" s="136" t="s">
        <v>17</v>
      </c>
      <c r="M71" s="138" t="s">
        <v>18</v>
      </c>
      <c r="N71" s="137" t="s">
        <v>19</v>
      </c>
      <c r="O71" s="139" t="s">
        <v>20</v>
      </c>
    </row>
    <row r="72" spans="1:20" ht="15" customHeight="1">
      <c r="A72" s="2725"/>
      <c r="B72" s="2732" t="s">
        <v>451</v>
      </c>
      <c r="C72" s="84">
        <v>2014</v>
      </c>
      <c r="D72" s="140"/>
      <c r="E72" s="140"/>
      <c r="F72" s="140"/>
      <c r="G72" s="141">
        <f>SUM(D72:F72)</f>
        <v>0</v>
      </c>
      <c r="H72" s="33"/>
      <c r="I72" s="142"/>
      <c r="J72" s="115"/>
      <c r="K72" s="115"/>
      <c r="L72" s="115"/>
      <c r="M72" s="115"/>
      <c r="N72" s="115"/>
      <c r="O72" s="143"/>
    </row>
    <row r="73" spans="1:20">
      <c r="A73" s="2725"/>
      <c r="B73" s="2732"/>
      <c r="C73" s="86">
        <v>2015</v>
      </c>
      <c r="D73" s="147"/>
      <c r="E73" s="1533"/>
      <c r="F73" s="1533"/>
      <c r="G73" s="1534">
        <f t="shared" ref="G73:G78" si="5">SUM(D73:F73)</f>
        <v>0</v>
      </c>
      <c r="H73" s="1535"/>
      <c r="I73" s="50"/>
      <c r="J73" s="42"/>
      <c r="K73" s="42"/>
      <c r="L73" s="42"/>
      <c r="M73" s="42"/>
      <c r="N73" s="42"/>
      <c r="O73" s="99"/>
    </row>
    <row r="74" spans="1:20">
      <c r="A74" s="2725"/>
      <c r="B74" s="2732"/>
      <c r="C74" s="86">
        <v>2016</v>
      </c>
      <c r="D74" s="147"/>
      <c r="E74" s="365">
        <v>6</v>
      </c>
      <c r="F74" s="365"/>
      <c r="G74" s="146">
        <f t="shared" si="5"/>
        <v>6</v>
      </c>
      <c r="H74" s="578">
        <v>6</v>
      </c>
      <c r="I74" s="50"/>
      <c r="J74" s="42"/>
      <c r="K74" s="42"/>
      <c r="L74" s="42"/>
      <c r="M74" s="42"/>
      <c r="N74" s="42"/>
      <c r="O74" s="99"/>
    </row>
    <row r="75" spans="1:20">
      <c r="A75" s="2725"/>
      <c r="B75" s="2732"/>
      <c r="C75" s="86">
        <v>2017</v>
      </c>
      <c r="D75" s="147"/>
      <c r="E75" s="147"/>
      <c r="F75" s="147"/>
      <c r="G75" s="141">
        <f t="shared" si="5"/>
        <v>0</v>
      </c>
      <c r="H75" s="50"/>
      <c r="I75" s="50"/>
      <c r="J75" s="42"/>
      <c r="K75" s="42"/>
      <c r="L75" s="42"/>
      <c r="M75" s="42"/>
      <c r="N75" s="42"/>
      <c r="O75" s="99"/>
    </row>
    <row r="76" spans="1:20">
      <c r="A76" s="2725"/>
      <c r="B76" s="2732"/>
      <c r="C76" s="86">
        <v>2018</v>
      </c>
      <c r="D76" s="147"/>
      <c r="E76" s="147"/>
      <c r="F76" s="147"/>
      <c r="G76" s="141">
        <f t="shared" si="5"/>
        <v>0</v>
      </c>
      <c r="H76" s="50"/>
      <c r="I76" s="50"/>
      <c r="J76" s="42"/>
      <c r="K76" s="42"/>
      <c r="L76" s="42"/>
      <c r="M76" s="42"/>
      <c r="N76" s="42"/>
      <c r="O76" s="99"/>
    </row>
    <row r="77" spans="1:20" ht="15.75" customHeight="1">
      <c r="A77" s="2725"/>
      <c r="B77" s="2732"/>
      <c r="C77" s="86">
        <v>2019</v>
      </c>
      <c r="D77" s="147"/>
      <c r="E77" s="147"/>
      <c r="F77" s="147"/>
      <c r="G77" s="141">
        <f t="shared" si="5"/>
        <v>0</v>
      </c>
      <c r="H77" s="50"/>
      <c r="I77" s="50"/>
      <c r="J77" s="42"/>
      <c r="K77" s="42"/>
      <c r="L77" s="42"/>
      <c r="M77" s="42"/>
      <c r="N77" s="42"/>
      <c r="O77" s="99"/>
    </row>
    <row r="78" spans="1:20" ht="17.25" customHeight="1">
      <c r="A78" s="2725"/>
      <c r="B78" s="2732"/>
      <c r="C78" s="86">
        <v>2020</v>
      </c>
      <c r="D78" s="147"/>
      <c r="E78" s="147"/>
      <c r="F78" s="147"/>
      <c r="G78" s="141">
        <f t="shared" si="5"/>
        <v>0</v>
      </c>
      <c r="H78" s="50"/>
      <c r="I78" s="50"/>
      <c r="J78" s="42"/>
      <c r="K78" s="42"/>
      <c r="L78" s="42"/>
      <c r="M78" s="42"/>
      <c r="N78" s="42"/>
      <c r="O78" s="99"/>
    </row>
    <row r="79" spans="1:20" ht="20.25" customHeight="1" thickBot="1">
      <c r="A79" s="2262"/>
      <c r="B79" s="2733"/>
      <c r="C79" s="148" t="s">
        <v>12</v>
      </c>
      <c r="D79" s="123">
        <f>SUM(D72:D78)</f>
        <v>0</v>
      </c>
      <c r="E79" s="123">
        <f>SUM(E72:E78)</f>
        <v>6</v>
      </c>
      <c r="F79" s="123">
        <f>SUM(F72:F78)</f>
        <v>0</v>
      </c>
      <c r="G79" s="149">
        <f>SUM(G72:G78)</f>
        <v>6</v>
      </c>
      <c r="H79" s="150">
        <v>6</v>
      </c>
      <c r="I79" s="151">
        <f t="shared" ref="I79:O79" si="6">SUM(I72:I78)</f>
        <v>0</v>
      </c>
      <c r="J79" s="125">
        <f t="shared" si="6"/>
        <v>0</v>
      </c>
      <c r="K79" s="125">
        <f t="shared" si="6"/>
        <v>0</v>
      </c>
      <c r="L79" s="125">
        <f t="shared" si="6"/>
        <v>0</v>
      </c>
      <c r="M79" s="125">
        <f t="shared" si="6"/>
        <v>0</v>
      </c>
      <c r="N79" s="125">
        <f t="shared" si="6"/>
        <v>0</v>
      </c>
      <c r="O79" s="126">
        <f t="shared" si="6"/>
        <v>0</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1536" t="s">
        <v>49</v>
      </c>
      <c r="B84" s="1537" t="s">
        <v>50</v>
      </c>
      <c r="C84" s="161" t="s">
        <v>8</v>
      </c>
      <c r="D84" s="1538" t="s">
        <v>51</v>
      </c>
      <c r="E84" s="163" t="s">
        <v>52</v>
      </c>
      <c r="F84" s="164" t="s">
        <v>53</v>
      </c>
      <c r="G84" s="164" t="s">
        <v>54</v>
      </c>
      <c r="H84" s="164" t="s">
        <v>55</v>
      </c>
      <c r="I84" s="164" t="s">
        <v>56</v>
      </c>
      <c r="J84" s="164" t="s">
        <v>57</v>
      </c>
      <c r="K84" s="165" t="s">
        <v>58</v>
      </c>
    </row>
    <row r="85" spans="1:16" ht="15" customHeight="1">
      <c r="A85" s="2554"/>
      <c r="B85" s="2025"/>
      <c r="C85" s="84">
        <v>2014</v>
      </c>
      <c r="D85" s="166"/>
      <c r="E85" s="167"/>
      <c r="F85" s="34"/>
      <c r="G85" s="34"/>
      <c r="H85" s="34"/>
      <c r="I85" s="34"/>
      <c r="J85" s="34"/>
      <c r="K85" s="37"/>
    </row>
    <row r="86" spans="1:16">
      <c r="A86" s="2555"/>
      <c r="B86" s="2025"/>
      <c r="C86" s="86">
        <v>2015</v>
      </c>
      <c r="D86" s="168"/>
      <c r="E86" s="118"/>
      <c r="F86" s="42"/>
      <c r="G86" s="42"/>
      <c r="H86" s="42"/>
      <c r="I86" s="42"/>
      <c r="J86" s="42"/>
      <c r="K86" s="99"/>
    </row>
    <row r="87" spans="1:16">
      <c r="A87" s="2555"/>
      <c r="B87" s="2025"/>
      <c r="C87" s="86">
        <v>2016</v>
      </c>
      <c r="D87" s="168"/>
      <c r="E87" s="118"/>
      <c r="F87" s="42"/>
      <c r="G87" s="42"/>
      <c r="H87" s="42"/>
      <c r="I87" s="42"/>
      <c r="J87" s="42"/>
      <c r="K87" s="99"/>
    </row>
    <row r="88" spans="1:16">
      <c r="A88" s="2555"/>
      <c r="B88" s="2025"/>
      <c r="C88" s="86">
        <v>2017</v>
      </c>
      <c r="D88" s="168"/>
      <c r="E88" s="118"/>
      <c r="F88" s="42"/>
      <c r="G88" s="42"/>
      <c r="H88" s="42"/>
      <c r="I88" s="42"/>
      <c r="J88" s="42"/>
      <c r="K88" s="99"/>
    </row>
    <row r="89" spans="1:16">
      <c r="A89" s="2555"/>
      <c r="B89" s="2025"/>
      <c r="C89" s="86">
        <v>2018</v>
      </c>
      <c r="D89" s="168"/>
      <c r="E89" s="118"/>
      <c r="F89" s="42"/>
      <c r="G89" s="42"/>
      <c r="H89" s="42"/>
      <c r="I89" s="42"/>
      <c r="J89" s="42"/>
      <c r="K89" s="99"/>
    </row>
    <row r="90" spans="1:16">
      <c r="A90" s="2555"/>
      <c r="B90" s="2025"/>
      <c r="C90" s="86">
        <v>2019</v>
      </c>
      <c r="D90" s="168"/>
      <c r="E90" s="118"/>
      <c r="F90" s="42"/>
      <c r="G90" s="42"/>
      <c r="H90" s="42"/>
      <c r="I90" s="42"/>
      <c r="J90" s="42"/>
      <c r="K90" s="99"/>
    </row>
    <row r="91" spans="1:16">
      <c r="A91" s="2555"/>
      <c r="B91" s="2025"/>
      <c r="C91" s="86">
        <v>2020</v>
      </c>
      <c r="D91" s="168"/>
      <c r="E91" s="118"/>
      <c r="F91" s="42"/>
      <c r="G91" s="42"/>
      <c r="H91" s="42"/>
      <c r="I91" s="42"/>
      <c r="J91" s="42"/>
      <c r="K91" s="99"/>
    </row>
    <row r="92" spans="1:16" ht="18" customHeight="1" thickBot="1">
      <c r="A92" s="2073"/>
      <c r="B92" s="2027"/>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737" t="s">
        <v>60</v>
      </c>
      <c r="B96" s="2738" t="s">
        <v>61</v>
      </c>
      <c r="C96" s="2734" t="s">
        <v>8</v>
      </c>
      <c r="D96" s="2735" t="s">
        <v>62</v>
      </c>
      <c r="E96" s="2736"/>
      <c r="F96" s="1539" t="s">
        <v>63</v>
      </c>
      <c r="G96" s="1484"/>
      <c r="H96" s="1484"/>
      <c r="I96" s="1484"/>
      <c r="J96" s="1484"/>
      <c r="K96" s="1484"/>
      <c r="L96" s="1484"/>
      <c r="M96" s="1540"/>
      <c r="N96" s="177"/>
      <c r="O96" s="177"/>
      <c r="P96" s="177"/>
    </row>
    <row r="97" spans="1:16" ht="100.5" customHeight="1">
      <c r="A97" s="2665"/>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552"/>
      <c r="B98" s="2025"/>
      <c r="C98" s="112">
        <v>2014</v>
      </c>
      <c r="D98" s="33"/>
      <c r="E98" s="34"/>
      <c r="F98" s="186"/>
      <c r="G98" s="187"/>
      <c r="H98" s="187"/>
      <c r="I98" s="187"/>
      <c r="J98" s="187"/>
      <c r="K98" s="187"/>
      <c r="L98" s="187"/>
      <c r="M98" s="188"/>
      <c r="N98" s="177"/>
      <c r="O98" s="177"/>
      <c r="P98" s="177"/>
    </row>
    <row r="99" spans="1:16" ht="16.5" customHeight="1">
      <c r="A99" s="2553"/>
      <c r="B99" s="2025"/>
      <c r="C99" s="116">
        <v>2015</v>
      </c>
      <c r="D99" s="50"/>
      <c r="E99" s="42"/>
      <c r="F99" s="189"/>
      <c r="G99" s="190"/>
      <c r="H99" s="190"/>
      <c r="I99" s="190"/>
      <c r="J99" s="190"/>
      <c r="K99" s="190"/>
      <c r="L99" s="190"/>
      <c r="M99" s="193"/>
      <c r="N99" s="177"/>
      <c r="O99" s="177"/>
      <c r="P99" s="177"/>
    </row>
    <row r="100" spans="1:16" ht="16.5" customHeight="1">
      <c r="A100" s="2553"/>
      <c r="B100" s="2025"/>
      <c r="C100" s="116">
        <v>2016</v>
      </c>
      <c r="D100" s="50"/>
      <c r="E100" s="42"/>
      <c r="F100" s="189"/>
      <c r="G100" s="190"/>
      <c r="H100" s="190"/>
      <c r="I100" s="190"/>
      <c r="J100" s="190"/>
      <c r="K100" s="190"/>
      <c r="L100" s="190"/>
      <c r="M100" s="193"/>
      <c r="N100" s="177"/>
      <c r="O100" s="177"/>
      <c r="P100" s="177"/>
    </row>
    <row r="101" spans="1:16" ht="16.5" customHeight="1">
      <c r="A101" s="2553"/>
      <c r="B101" s="2025"/>
      <c r="C101" s="116">
        <v>2017</v>
      </c>
      <c r="D101" s="50"/>
      <c r="E101" s="42"/>
      <c r="F101" s="189"/>
      <c r="G101" s="190"/>
      <c r="H101" s="190"/>
      <c r="I101" s="190"/>
      <c r="J101" s="190"/>
      <c r="K101" s="190"/>
      <c r="L101" s="190"/>
      <c r="M101" s="193"/>
      <c r="N101" s="177"/>
      <c r="O101" s="177"/>
      <c r="P101" s="177"/>
    </row>
    <row r="102" spans="1:16" ht="15.75" customHeight="1">
      <c r="A102" s="2553"/>
      <c r="B102" s="2025"/>
      <c r="C102" s="116">
        <v>2018</v>
      </c>
      <c r="D102" s="50"/>
      <c r="E102" s="42"/>
      <c r="F102" s="189"/>
      <c r="G102" s="190"/>
      <c r="H102" s="190"/>
      <c r="I102" s="190"/>
      <c r="J102" s="190"/>
      <c r="K102" s="190"/>
      <c r="L102" s="190"/>
      <c r="M102" s="193"/>
      <c r="N102" s="177"/>
      <c r="O102" s="177"/>
      <c r="P102" s="177"/>
    </row>
    <row r="103" spans="1:16" ht="14.25" customHeight="1">
      <c r="A103" s="2553"/>
      <c r="B103" s="2025"/>
      <c r="C103" s="116">
        <v>2019</v>
      </c>
      <c r="D103" s="50"/>
      <c r="E103" s="42"/>
      <c r="F103" s="189"/>
      <c r="G103" s="190"/>
      <c r="H103" s="190"/>
      <c r="I103" s="190"/>
      <c r="J103" s="190"/>
      <c r="K103" s="190"/>
      <c r="L103" s="190"/>
      <c r="M103" s="193"/>
      <c r="N103" s="177"/>
      <c r="O103" s="177"/>
      <c r="P103" s="177"/>
    </row>
    <row r="104" spans="1:16" ht="14.25" customHeight="1">
      <c r="A104" s="2553"/>
      <c r="B104" s="2025"/>
      <c r="C104" s="116">
        <v>2020</v>
      </c>
      <c r="D104" s="50"/>
      <c r="E104" s="42"/>
      <c r="F104" s="189"/>
      <c r="G104" s="190"/>
      <c r="H104" s="190"/>
      <c r="I104" s="190"/>
      <c r="J104" s="190"/>
      <c r="K104" s="190"/>
      <c r="L104" s="190"/>
      <c r="M104" s="193"/>
      <c r="N104" s="177"/>
      <c r="O104" s="177"/>
      <c r="P104" s="177"/>
    </row>
    <row r="105" spans="1:16" ht="19.5" customHeight="1" thickBot="1">
      <c r="A105" s="2046"/>
      <c r="B105" s="2027"/>
      <c r="C105" s="122" t="s">
        <v>12</v>
      </c>
      <c r="D105" s="151">
        <f>SUM(D98:D104)</f>
        <v>0</v>
      </c>
      <c r="E105" s="125">
        <f t="shared" ref="E105:K105" si="8">SUM(E98:E104)</f>
        <v>0</v>
      </c>
      <c r="F105" s="194">
        <f t="shared" si="8"/>
        <v>0</v>
      </c>
      <c r="G105" s="195">
        <f t="shared" si="8"/>
        <v>0</v>
      </c>
      <c r="H105" s="195">
        <f t="shared" si="8"/>
        <v>0</v>
      </c>
      <c r="I105" s="195">
        <f>SUM(I98:I104)</f>
        <v>0</v>
      </c>
      <c r="J105" s="195">
        <f t="shared" si="8"/>
        <v>0</v>
      </c>
      <c r="K105" s="195">
        <f t="shared" si="8"/>
        <v>0</v>
      </c>
      <c r="L105" s="195">
        <f>SUM(L98:L104)</f>
        <v>0</v>
      </c>
      <c r="M105" s="196">
        <f>SUM(M98:M104)</f>
        <v>0</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737" t="s">
        <v>69</v>
      </c>
      <c r="B107" s="2738" t="s">
        <v>61</v>
      </c>
      <c r="C107" s="2734" t="s">
        <v>8</v>
      </c>
      <c r="D107" s="2670" t="s">
        <v>70</v>
      </c>
      <c r="E107" s="1539" t="s">
        <v>71</v>
      </c>
      <c r="F107" s="1484"/>
      <c r="G107" s="1484"/>
      <c r="H107" s="1484"/>
      <c r="I107" s="1484"/>
      <c r="J107" s="1484"/>
      <c r="K107" s="1484"/>
      <c r="L107" s="1540"/>
      <c r="M107" s="199"/>
      <c r="N107" s="199"/>
    </row>
    <row r="108" spans="1:16" ht="103.5" customHeight="1">
      <c r="A108" s="2665"/>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552"/>
      <c r="B109" s="2025"/>
      <c r="C109" s="112">
        <v>2014</v>
      </c>
      <c r="D109" s="34"/>
      <c r="E109" s="186"/>
      <c r="F109" s="187"/>
      <c r="G109" s="187"/>
      <c r="H109" s="187"/>
      <c r="I109" s="187"/>
      <c r="J109" s="187"/>
      <c r="K109" s="187"/>
      <c r="L109" s="188"/>
      <c r="M109" s="199"/>
      <c r="N109" s="199"/>
    </row>
    <row r="110" spans="1:16">
      <c r="A110" s="2553"/>
      <c r="B110" s="2025"/>
      <c r="C110" s="116">
        <v>2015</v>
      </c>
      <c r="D110" s="42"/>
      <c r="E110" s="189"/>
      <c r="F110" s="190"/>
      <c r="G110" s="190"/>
      <c r="H110" s="190"/>
      <c r="I110" s="190"/>
      <c r="J110" s="190"/>
      <c r="K110" s="190"/>
      <c r="L110" s="193"/>
      <c r="M110" s="199"/>
      <c r="N110" s="199"/>
    </row>
    <row r="111" spans="1:16">
      <c r="A111" s="2553"/>
      <c r="B111" s="2025"/>
      <c r="C111" s="116">
        <v>2016</v>
      </c>
      <c r="D111" s="42"/>
      <c r="E111" s="189"/>
      <c r="F111" s="190"/>
      <c r="G111" s="190"/>
      <c r="H111" s="190"/>
      <c r="I111" s="190"/>
      <c r="J111" s="190"/>
      <c r="K111" s="190"/>
      <c r="L111" s="193"/>
      <c r="M111" s="199"/>
      <c r="N111" s="199"/>
    </row>
    <row r="112" spans="1:16">
      <c r="A112" s="2553"/>
      <c r="B112" s="2025"/>
      <c r="C112" s="116">
        <v>2017</v>
      </c>
      <c r="D112" s="42"/>
      <c r="E112" s="189"/>
      <c r="F112" s="190"/>
      <c r="G112" s="190"/>
      <c r="H112" s="190"/>
      <c r="I112" s="190"/>
      <c r="J112" s="190"/>
      <c r="K112" s="190"/>
      <c r="L112" s="193"/>
      <c r="M112" s="199"/>
      <c r="N112" s="199"/>
    </row>
    <row r="113" spans="1:14">
      <c r="A113" s="2553"/>
      <c r="B113" s="2025"/>
      <c r="C113" s="116">
        <v>2018</v>
      </c>
      <c r="D113" s="42"/>
      <c r="E113" s="189"/>
      <c r="F113" s="190"/>
      <c r="G113" s="190"/>
      <c r="H113" s="190"/>
      <c r="I113" s="190"/>
      <c r="J113" s="190"/>
      <c r="K113" s="190"/>
      <c r="L113" s="193"/>
      <c r="M113" s="199"/>
      <c r="N113" s="199"/>
    </row>
    <row r="114" spans="1:14">
      <c r="A114" s="2553"/>
      <c r="B114" s="2025"/>
      <c r="C114" s="116">
        <v>2019</v>
      </c>
      <c r="D114" s="42"/>
      <c r="E114" s="189"/>
      <c r="F114" s="190"/>
      <c r="G114" s="190"/>
      <c r="H114" s="190"/>
      <c r="I114" s="190"/>
      <c r="J114" s="190"/>
      <c r="K114" s="190"/>
      <c r="L114" s="193"/>
      <c r="M114" s="199"/>
      <c r="N114" s="199"/>
    </row>
    <row r="115" spans="1:14">
      <c r="A115" s="2553"/>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737" t="s">
        <v>72</v>
      </c>
      <c r="B118" s="2738" t="s">
        <v>61</v>
      </c>
      <c r="C118" s="2734" t="s">
        <v>8</v>
      </c>
      <c r="D118" s="2670" t="s">
        <v>73</v>
      </c>
      <c r="E118" s="1539" t="s">
        <v>71</v>
      </c>
      <c r="F118" s="1484"/>
      <c r="G118" s="1484"/>
      <c r="H118" s="1484"/>
      <c r="I118" s="1484"/>
      <c r="J118" s="1484"/>
      <c r="K118" s="1484"/>
      <c r="L118" s="1540"/>
      <c r="M118" s="199"/>
      <c r="N118" s="199"/>
    </row>
    <row r="119" spans="1:14" ht="120.75" customHeight="1">
      <c r="A119" s="2665"/>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552"/>
      <c r="B120" s="2025"/>
      <c r="C120" s="112">
        <v>2014</v>
      </c>
      <c r="D120" s="34"/>
      <c r="E120" s="186"/>
      <c r="F120" s="187"/>
      <c r="G120" s="187"/>
      <c r="H120" s="187"/>
      <c r="I120" s="187"/>
      <c r="J120" s="187"/>
      <c r="K120" s="187"/>
      <c r="L120" s="188"/>
      <c r="M120" s="199"/>
      <c r="N120" s="199"/>
    </row>
    <row r="121" spans="1:14">
      <c r="A121" s="2553"/>
      <c r="B121" s="2025"/>
      <c r="C121" s="116">
        <v>2015</v>
      </c>
      <c r="D121" s="42"/>
      <c r="E121" s="189"/>
      <c r="F121" s="190"/>
      <c r="G121" s="190"/>
      <c r="H121" s="190"/>
      <c r="I121" s="190"/>
      <c r="J121" s="190"/>
      <c r="K121" s="190"/>
      <c r="L121" s="193"/>
      <c r="M121" s="199"/>
      <c r="N121" s="199"/>
    </row>
    <row r="122" spans="1:14">
      <c r="A122" s="2553"/>
      <c r="B122" s="2025"/>
      <c r="C122" s="116">
        <v>2016</v>
      </c>
      <c r="D122" s="42"/>
      <c r="E122" s="189"/>
      <c r="F122" s="190"/>
      <c r="G122" s="190"/>
      <c r="H122" s="190"/>
      <c r="I122" s="190"/>
      <c r="J122" s="190"/>
      <c r="K122" s="190"/>
      <c r="L122" s="193"/>
      <c r="M122" s="199"/>
      <c r="N122" s="199"/>
    </row>
    <row r="123" spans="1:14">
      <c r="A123" s="2553"/>
      <c r="B123" s="2025"/>
      <c r="C123" s="116">
        <v>2017</v>
      </c>
      <c r="D123" s="42"/>
      <c r="E123" s="189"/>
      <c r="F123" s="190"/>
      <c r="G123" s="190"/>
      <c r="H123" s="190"/>
      <c r="I123" s="190"/>
      <c r="J123" s="190"/>
      <c r="K123" s="190"/>
      <c r="L123" s="193"/>
      <c r="M123" s="199"/>
      <c r="N123" s="199"/>
    </row>
    <row r="124" spans="1:14">
      <c r="A124" s="2553"/>
      <c r="B124" s="2025"/>
      <c r="C124" s="116">
        <v>2018</v>
      </c>
      <c r="D124" s="42"/>
      <c r="E124" s="189"/>
      <c r="F124" s="190"/>
      <c r="G124" s="190"/>
      <c r="H124" s="190"/>
      <c r="I124" s="190"/>
      <c r="J124" s="190"/>
      <c r="K124" s="190"/>
      <c r="L124" s="193"/>
      <c r="M124" s="199"/>
      <c r="N124" s="199"/>
    </row>
    <row r="125" spans="1:14">
      <c r="A125" s="2553"/>
      <c r="B125" s="2025"/>
      <c r="C125" s="116">
        <v>2019</v>
      </c>
      <c r="D125" s="42"/>
      <c r="E125" s="189"/>
      <c r="F125" s="190"/>
      <c r="G125" s="190"/>
      <c r="H125" s="190"/>
      <c r="I125" s="190"/>
      <c r="J125" s="190"/>
      <c r="K125" s="190"/>
      <c r="L125" s="193"/>
      <c r="M125" s="199"/>
      <c r="N125" s="199"/>
    </row>
    <row r="126" spans="1:14">
      <c r="A126" s="2553"/>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737" t="s">
        <v>74</v>
      </c>
      <c r="B129" s="2738" t="s">
        <v>61</v>
      </c>
      <c r="C129" s="1541" t="s">
        <v>8</v>
      </c>
      <c r="D129" s="1542" t="s">
        <v>75</v>
      </c>
      <c r="E129" s="1486"/>
      <c r="F129" s="1486"/>
      <c r="G129" s="1543"/>
      <c r="H129" s="199"/>
      <c r="I129" s="199"/>
      <c r="J129" s="199"/>
      <c r="K129" s="199"/>
      <c r="L129" s="199"/>
      <c r="M129" s="199"/>
      <c r="N129" s="199"/>
    </row>
    <row r="130" spans="1:16" ht="77.25" customHeight="1">
      <c r="A130" s="2665"/>
      <c r="B130" s="2043"/>
      <c r="C130" s="1472"/>
      <c r="D130" s="178" t="s">
        <v>76</v>
      </c>
      <c r="E130" s="207" t="s">
        <v>77</v>
      </c>
      <c r="F130" s="179" t="s">
        <v>78</v>
      </c>
      <c r="G130" s="208" t="s">
        <v>12</v>
      </c>
      <c r="H130" s="199"/>
      <c r="I130" s="199"/>
      <c r="J130" s="199"/>
      <c r="K130" s="199"/>
      <c r="L130" s="199"/>
      <c r="M130" s="199"/>
      <c r="N130" s="199"/>
    </row>
    <row r="131" spans="1:16" ht="15" customHeight="1">
      <c r="A131" s="2550"/>
      <c r="B131" s="1988"/>
      <c r="C131" s="340">
        <v>2015</v>
      </c>
      <c r="D131" s="557"/>
      <c r="E131" s="342"/>
      <c r="F131" s="342"/>
      <c r="G131" s="209">
        <f t="shared" ref="G131:G136" si="11">SUM(D131:F131)</f>
        <v>0</v>
      </c>
      <c r="H131" s="199"/>
      <c r="I131" s="199"/>
      <c r="J131" s="199"/>
      <c r="K131" s="199"/>
      <c r="L131" s="199"/>
      <c r="M131" s="199"/>
      <c r="N131" s="199"/>
    </row>
    <row r="132" spans="1:16">
      <c r="A132" s="2551"/>
      <c r="B132" s="1988"/>
      <c r="C132" s="116">
        <v>2016</v>
      </c>
      <c r="D132" s="50"/>
      <c r="E132" s="42"/>
      <c r="F132" s="42"/>
      <c r="G132" s="209">
        <f t="shared" si="11"/>
        <v>0</v>
      </c>
      <c r="H132" s="199"/>
      <c r="I132" s="199"/>
      <c r="J132" s="199"/>
      <c r="K132" s="199"/>
      <c r="L132" s="199"/>
      <c r="M132" s="199"/>
      <c r="N132" s="199"/>
    </row>
    <row r="133" spans="1:16">
      <c r="A133" s="2551"/>
      <c r="B133" s="1988"/>
      <c r="C133" s="116">
        <v>2017</v>
      </c>
      <c r="D133" s="50"/>
      <c r="E133" s="42"/>
      <c r="F133" s="42"/>
      <c r="G133" s="209">
        <f t="shared" si="11"/>
        <v>0</v>
      </c>
      <c r="H133" s="199"/>
      <c r="I133" s="199"/>
      <c r="J133" s="199"/>
      <c r="K133" s="199"/>
      <c r="L133" s="199"/>
      <c r="M133" s="199"/>
      <c r="N133" s="199"/>
    </row>
    <row r="134" spans="1:16">
      <c r="A134" s="2551"/>
      <c r="B134" s="1988"/>
      <c r="C134" s="116">
        <v>2018</v>
      </c>
      <c r="D134" s="50"/>
      <c r="E134" s="42"/>
      <c r="F134" s="42"/>
      <c r="G134" s="209">
        <f t="shared" si="11"/>
        <v>0</v>
      </c>
      <c r="H134" s="199"/>
      <c r="I134" s="199"/>
      <c r="J134" s="199"/>
      <c r="K134" s="199"/>
      <c r="L134" s="199"/>
      <c r="M134" s="199"/>
      <c r="N134" s="199"/>
    </row>
    <row r="135" spans="1:16">
      <c r="A135" s="2551"/>
      <c r="B135" s="1988"/>
      <c r="C135" s="116">
        <v>2019</v>
      </c>
      <c r="D135" s="50"/>
      <c r="E135" s="42"/>
      <c r="F135" s="42"/>
      <c r="G135" s="209">
        <f t="shared" si="11"/>
        <v>0</v>
      </c>
      <c r="H135" s="199"/>
      <c r="I135" s="199"/>
      <c r="J135" s="199"/>
      <c r="K135" s="199"/>
      <c r="L135" s="199"/>
      <c r="M135" s="199"/>
      <c r="N135" s="199"/>
    </row>
    <row r="136" spans="1:16">
      <c r="A136" s="2551"/>
      <c r="B136" s="1988"/>
      <c r="C136" s="116">
        <v>2020</v>
      </c>
      <c r="D136" s="50"/>
      <c r="E136" s="42"/>
      <c r="F136" s="42"/>
      <c r="G136" s="209">
        <f t="shared" si="11"/>
        <v>0</v>
      </c>
      <c r="H136" s="199"/>
      <c r="I136" s="199"/>
      <c r="J136" s="199"/>
      <c r="K136" s="199"/>
      <c r="L136" s="199"/>
      <c r="M136" s="199"/>
      <c r="N136" s="199"/>
    </row>
    <row r="137" spans="1:16" ht="17.25" customHeight="1" thickBot="1">
      <c r="A137" s="1989"/>
      <c r="B137" s="1990"/>
      <c r="C137" s="122" t="s">
        <v>12</v>
      </c>
      <c r="D137" s="151">
        <f>SUM(D131:D136)</f>
        <v>0</v>
      </c>
      <c r="E137" s="151">
        <f t="shared" ref="E137:F137" si="12">SUM(E131:E136)</f>
        <v>0</v>
      </c>
      <c r="F137" s="151">
        <f t="shared" si="12"/>
        <v>0</v>
      </c>
      <c r="G137" s="210">
        <f>SUM(G131:G136)</f>
        <v>0</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739" t="s">
        <v>80</v>
      </c>
      <c r="B142" s="2740" t="s">
        <v>61</v>
      </c>
      <c r="C142" s="2746" t="s">
        <v>8</v>
      </c>
      <c r="D142" s="1544" t="s">
        <v>81</v>
      </c>
      <c r="E142" s="1545"/>
      <c r="F142" s="1545"/>
      <c r="G142" s="1545"/>
      <c r="H142" s="1545"/>
      <c r="I142" s="1546"/>
      <c r="J142" s="2741" t="s">
        <v>82</v>
      </c>
      <c r="K142" s="2742"/>
      <c r="L142" s="2742"/>
      <c r="M142" s="2742"/>
      <c r="N142" s="2743"/>
      <c r="O142" s="177"/>
      <c r="P142" s="177"/>
    </row>
    <row r="143" spans="1:16" ht="113.25" customHeight="1">
      <c r="A143" s="2668"/>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552"/>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553"/>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553"/>
      <c r="B146" s="2025"/>
      <c r="C146" s="116">
        <v>2016</v>
      </c>
      <c r="D146" s="50"/>
      <c r="E146" s="50"/>
      <c r="F146" s="42"/>
      <c r="G146" s="190"/>
      <c r="H146" s="190"/>
      <c r="I146" s="227">
        <f t="shared" si="13"/>
        <v>0</v>
      </c>
      <c r="J146" s="231"/>
      <c r="K146" s="232"/>
      <c r="L146" s="231"/>
      <c r="M146" s="232"/>
      <c r="N146" s="233"/>
      <c r="O146" s="177"/>
      <c r="P146" s="177"/>
    </row>
    <row r="147" spans="1:16" ht="17.25" customHeight="1">
      <c r="A147" s="2553"/>
      <c r="B147" s="2025"/>
      <c r="C147" s="116">
        <v>2017</v>
      </c>
      <c r="D147" s="50"/>
      <c r="E147" s="50"/>
      <c r="F147" s="42"/>
      <c r="G147" s="190"/>
      <c r="H147" s="190"/>
      <c r="I147" s="227">
        <f t="shared" si="13"/>
        <v>0</v>
      </c>
      <c r="J147" s="231"/>
      <c r="K147" s="232"/>
      <c r="L147" s="231"/>
      <c r="M147" s="232"/>
      <c r="N147" s="233"/>
      <c r="O147" s="177"/>
      <c r="P147" s="177"/>
    </row>
    <row r="148" spans="1:16" ht="19.5" customHeight="1">
      <c r="A148" s="2553"/>
      <c r="B148" s="2025"/>
      <c r="C148" s="116">
        <v>2018</v>
      </c>
      <c r="D148" s="50"/>
      <c r="E148" s="50"/>
      <c r="F148" s="42"/>
      <c r="G148" s="190"/>
      <c r="H148" s="190"/>
      <c r="I148" s="227">
        <f t="shared" si="13"/>
        <v>0</v>
      </c>
      <c r="J148" s="231"/>
      <c r="K148" s="232"/>
      <c r="L148" s="231"/>
      <c r="M148" s="232"/>
      <c r="N148" s="233"/>
      <c r="O148" s="177"/>
      <c r="P148" s="177"/>
    </row>
    <row r="149" spans="1:16" ht="19.5" customHeight="1">
      <c r="A149" s="2553"/>
      <c r="B149" s="2025"/>
      <c r="C149" s="116">
        <v>2019</v>
      </c>
      <c r="D149" s="50"/>
      <c r="E149" s="50"/>
      <c r="F149" s="42"/>
      <c r="G149" s="190"/>
      <c r="H149" s="190"/>
      <c r="I149" s="227">
        <f t="shared" si="13"/>
        <v>0</v>
      </c>
      <c r="J149" s="231"/>
      <c r="K149" s="232"/>
      <c r="L149" s="231"/>
      <c r="M149" s="232"/>
      <c r="N149" s="233"/>
      <c r="O149" s="177"/>
      <c r="P149" s="177"/>
    </row>
    <row r="150" spans="1:16" ht="18.75" customHeight="1">
      <c r="A150" s="2553"/>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744" t="s">
        <v>93</v>
      </c>
      <c r="B153" s="2740" t="s">
        <v>61</v>
      </c>
      <c r="C153" s="2745" t="s">
        <v>8</v>
      </c>
      <c r="D153" s="1490" t="s">
        <v>94</v>
      </c>
      <c r="E153" s="1490"/>
      <c r="F153" s="1547"/>
      <c r="G153" s="1547"/>
      <c r="H153" s="1490" t="s">
        <v>95</v>
      </c>
      <c r="I153" s="1490"/>
      <c r="J153" s="1548"/>
      <c r="K153" s="31"/>
      <c r="L153" s="31"/>
      <c r="M153" s="31"/>
      <c r="N153" s="31"/>
      <c r="O153" s="177"/>
      <c r="P153" s="177"/>
    </row>
    <row r="154" spans="1:16" ht="49.5" customHeight="1">
      <c r="A154" s="2556"/>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552"/>
      <c r="B155" s="2025"/>
      <c r="C155" s="247">
        <v>2014</v>
      </c>
      <c r="D155" s="228"/>
      <c r="E155" s="187"/>
      <c r="F155" s="229"/>
      <c r="G155" s="227">
        <f>SUM(D155:F155)</f>
        <v>0</v>
      </c>
      <c r="H155" s="228"/>
      <c r="I155" s="187"/>
      <c r="J155" s="188"/>
      <c r="O155" s="177"/>
      <c r="P155" s="177"/>
    </row>
    <row r="156" spans="1:16" ht="19.5" customHeight="1">
      <c r="A156" s="2553"/>
      <c r="B156" s="2025"/>
      <c r="C156" s="248">
        <v>2015</v>
      </c>
      <c r="D156" s="231"/>
      <c r="E156" s="190"/>
      <c r="F156" s="232"/>
      <c r="G156" s="227">
        <f t="shared" ref="G156:G161" si="15">SUM(D156:F156)</f>
        <v>0</v>
      </c>
      <c r="H156" s="231"/>
      <c r="I156" s="190"/>
      <c r="J156" s="193"/>
      <c r="O156" s="177"/>
      <c r="P156" s="177"/>
    </row>
    <row r="157" spans="1:16" ht="17.25" customHeight="1">
      <c r="A157" s="2553"/>
      <c r="B157" s="2025"/>
      <c r="C157" s="248">
        <v>2016</v>
      </c>
      <c r="D157" s="231"/>
      <c r="E157" s="190"/>
      <c r="F157" s="232"/>
      <c r="G157" s="227">
        <f t="shared" si="15"/>
        <v>0</v>
      </c>
      <c r="H157" s="231"/>
      <c r="I157" s="190"/>
      <c r="J157" s="193"/>
      <c r="O157" s="177"/>
      <c r="P157" s="177"/>
    </row>
    <row r="158" spans="1:16" ht="15" customHeight="1">
      <c r="A158" s="2553"/>
      <c r="B158" s="2025"/>
      <c r="C158" s="248">
        <v>2017</v>
      </c>
      <c r="D158" s="231"/>
      <c r="E158" s="190"/>
      <c r="F158" s="232"/>
      <c r="G158" s="227">
        <f t="shared" si="15"/>
        <v>0</v>
      </c>
      <c r="H158" s="231"/>
      <c r="I158" s="190"/>
      <c r="J158" s="193"/>
      <c r="O158" s="177"/>
      <c r="P158" s="177"/>
    </row>
    <row r="159" spans="1:16" ht="19.5" customHeight="1">
      <c r="A159" s="2553"/>
      <c r="B159" s="2025"/>
      <c r="C159" s="248">
        <v>2018</v>
      </c>
      <c r="D159" s="231"/>
      <c r="E159" s="190"/>
      <c r="F159" s="232"/>
      <c r="G159" s="227">
        <f t="shared" si="15"/>
        <v>0</v>
      </c>
      <c r="H159" s="231"/>
      <c r="I159" s="190"/>
      <c r="J159" s="193"/>
      <c r="O159" s="177"/>
      <c r="P159" s="177"/>
    </row>
    <row r="160" spans="1:16" ht="15" customHeight="1">
      <c r="A160" s="2553"/>
      <c r="B160" s="2025"/>
      <c r="C160" s="248">
        <v>2019</v>
      </c>
      <c r="D160" s="231"/>
      <c r="E160" s="190"/>
      <c r="F160" s="232"/>
      <c r="G160" s="227">
        <f t="shared" si="15"/>
        <v>0</v>
      </c>
      <c r="H160" s="231"/>
      <c r="I160" s="190"/>
      <c r="J160" s="193"/>
      <c r="O160" s="177"/>
      <c r="P160" s="177"/>
    </row>
    <row r="161" spans="1:18" ht="17.25" customHeight="1">
      <c r="A161" s="2553"/>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1491"/>
      <c r="F163" s="177"/>
      <c r="G163" s="177"/>
      <c r="H163" s="177"/>
      <c r="I163" s="177"/>
      <c r="J163" s="255"/>
      <c r="K163" s="256"/>
    </row>
    <row r="164" spans="1:18" ht="95.25" customHeight="1">
      <c r="A164" s="1549" t="s">
        <v>102</v>
      </c>
      <c r="B164" s="258" t="s">
        <v>103</v>
      </c>
      <c r="C164" s="1447" t="s">
        <v>8</v>
      </c>
      <c r="D164" s="260" t="s">
        <v>104</v>
      </c>
      <c r="E164" s="260" t="s">
        <v>105</v>
      </c>
      <c r="F164" s="1492" t="s">
        <v>106</v>
      </c>
      <c r="G164" s="260" t="s">
        <v>107</v>
      </c>
      <c r="H164" s="260" t="s">
        <v>108</v>
      </c>
      <c r="I164" s="262" t="s">
        <v>109</v>
      </c>
      <c r="J164" s="1550" t="s">
        <v>110</v>
      </c>
      <c r="K164" s="1550" t="s">
        <v>111</v>
      </c>
      <c r="L164" s="1371"/>
    </row>
    <row r="165" spans="1:18" ht="15.75" customHeight="1">
      <c r="A165" s="2011"/>
      <c r="B165" s="2012"/>
      <c r="C165" s="265">
        <v>2014</v>
      </c>
      <c r="D165" s="187"/>
      <c r="E165" s="187"/>
      <c r="F165" s="187"/>
      <c r="G165" s="187"/>
      <c r="H165" s="187"/>
      <c r="I165" s="188"/>
      <c r="J165" s="1493">
        <f>SUM(D165,F165,H165)</f>
        <v>0</v>
      </c>
      <c r="K165" s="267">
        <f>SUM(E165,G165,I165)</f>
        <v>0</v>
      </c>
      <c r="L165" s="1371"/>
    </row>
    <row r="166" spans="1:18">
      <c r="A166" s="2013"/>
      <c r="B166" s="2014"/>
      <c r="C166" s="268">
        <v>2015</v>
      </c>
      <c r="D166" s="269"/>
      <c r="E166" s="269"/>
      <c r="F166" s="269"/>
      <c r="G166" s="269"/>
      <c r="H166" s="269"/>
      <c r="I166" s="270"/>
      <c r="J166" s="1494">
        <f t="shared" ref="J166:K171" si="17">SUM(D166,F166,H166)</f>
        <v>0</v>
      </c>
      <c r="K166" s="272">
        <f t="shared" si="17"/>
        <v>0</v>
      </c>
      <c r="L166" s="1371"/>
    </row>
    <row r="167" spans="1:18">
      <c r="A167" s="2013"/>
      <c r="B167" s="2014"/>
      <c r="C167" s="268">
        <v>2016</v>
      </c>
      <c r="D167" s="269"/>
      <c r="E167" s="269"/>
      <c r="F167" s="269"/>
      <c r="G167" s="269"/>
      <c r="H167" s="269"/>
      <c r="I167" s="270"/>
      <c r="J167" s="1494">
        <f t="shared" si="17"/>
        <v>0</v>
      </c>
      <c r="K167" s="272">
        <f t="shared" si="17"/>
        <v>0</v>
      </c>
    </row>
    <row r="168" spans="1:18">
      <c r="A168" s="2013"/>
      <c r="B168" s="2014"/>
      <c r="C168" s="268">
        <v>2017</v>
      </c>
      <c r="D168" s="269"/>
      <c r="E168" s="177"/>
      <c r="F168" s="269"/>
      <c r="G168" s="269"/>
      <c r="H168" s="269"/>
      <c r="I168" s="270"/>
      <c r="J168" s="1494">
        <f t="shared" si="17"/>
        <v>0</v>
      </c>
      <c r="K168" s="272">
        <f t="shared" si="17"/>
        <v>0</v>
      </c>
    </row>
    <row r="169" spans="1:18">
      <c r="A169" s="2013"/>
      <c r="B169" s="2014"/>
      <c r="C169" s="273">
        <v>2018</v>
      </c>
      <c r="D169" s="269"/>
      <c r="E169" s="269"/>
      <c r="F169" s="269"/>
      <c r="G169" s="274"/>
      <c r="H169" s="269"/>
      <c r="I169" s="270"/>
      <c r="J169" s="1494">
        <f t="shared" si="17"/>
        <v>0</v>
      </c>
      <c r="K169" s="272">
        <f t="shared" si="17"/>
        <v>0</v>
      </c>
      <c r="L169" s="1371"/>
    </row>
    <row r="170" spans="1:18">
      <c r="A170" s="2013"/>
      <c r="B170" s="2014"/>
      <c r="C170" s="268">
        <v>2019</v>
      </c>
      <c r="D170" s="177"/>
      <c r="E170" s="269"/>
      <c r="F170" s="269"/>
      <c r="G170" s="269"/>
      <c r="H170" s="274"/>
      <c r="I170" s="270"/>
      <c r="J170" s="1494">
        <f t="shared" si="17"/>
        <v>0</v>
      </c>
      <c r="K170" s="272">
        <f t="shared" si="17"/>
        <v>0</v>
      </c>
      <c r="L170" s="1371"/>
    </row>
    <row r="171" spans="1:18">
      <c r="A171" s="2013"/>
      <c r="B171" s="2014"/>
      <c r="C171" s="273">
        <v>2020</v>
      </c>
      <c r="D171" s="269"/>
      <c r="E171" s="269"/>
      <c r="F171" s="269"/>
      <c r="G171" s="269"/>
      <c r="H171" s="269"/>
      <c r="I171" s="270"/>
      <c r="J171" s="1494">
        <f t="shared" si="17"/>
        <v>0</v>
      </c>
      <c r="K171" s="272">
        <f t="shared" si="17"/>
        <v>0</v>
      </c>
      <c r="L171" s="1371"/>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1371"/>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748" t="s">
        <v>113</v>
      </c>
      <c r="B176" s="2749" t="s">
        <v>114</v>
      </c>
      <c r="C176" s="2750" t="s">
        <v>8</v>
      </c>
      <c r="D176" s="1551" t="s">
        <v>115</v>
      </c>
      <c r="E176" s="1495"/>
      <c r="F176" s="1495"/>
      <c r="G176" s="1552"/>
      <c r="H176" s="1553"/>
      <c r="I176" s="2751" t="s">
        <v>116</v>
      </c>
      <c r="J176" s="2663"/>
      <c r="K176" s="2663"/>
      <c r="L176" s="2663"/>
      <c r="M176" s="2663"/>
      <c r="N176" s="2663"/>
      <c r="O176" s="2752"/>
    </row>
    <row r="177" spans="1:15" s="31" customFormat="1" ht="129.75" customHeight="1">
      <c r="A177" s="2661"/>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753"/>
      <c r="B178" s="2755"/>
      <c r="C178" s="112">
        <v>2014</v>
      </c>
      <c r="D178" s="33"/>
      <c r="E178" s="34"/>
      <c r="F178" s="34"/>
      <c r="G178" s="293">
        <f>SUM(D178:F178)</f>
        <v>0</v>
      </c>
      <c r="H178" s="167"/>
      <c r="I178" s="167"/>
      <c r="J178" s="34"/>
      <c r="K178" s="34"/>
      <c r="L178" s="34"/>
      <c r="M178" s="34"/>
      <c r="N178" s="34"/>
      <c r="O178" s="37"/>
    </row>
    <row r="179" spans="1:15">
      <c r="A179" s="2753"/>
      <c r="B179" s="2756"/>
      <c r="C179" s="116">
        <v>2015</v>
      </c>
      <c r="D179" s="50"/>
      <c r="E179" s="42"/>
      <c r="F179" s="42"/>
      <c r="G179" s="293">
        <f t="shared" ref="G179:G184" si="19">SUM(D179:F179)</f>
        <v>0</v>
      </c>
      <c r="H179" s="294"/>
      <c r="I179" s="118"/>
      <c r="J179" s="42"/>
      <c r="K179" s="42"/>
      <c r="L179" s="42"/>
      <c r="M179" s="42"/>
      <c r="N179" s="42"/>
      <c r="O179" s="99"/>
    </row>
    <row r="180" spans="1:15">
      <c r="A180" s="2753"/>
      <c r="B180" s="2756"/>
      <c r="C180" s="116">
        <v>2016</v>
      </c>
      <c r="D180" s="1393"/>
      <c r="E180" s="586"/>
      <c r="F180" s="42"/>
      <c r="G180" s="293">
        <f t="shared" si="19"/>
        <v>0</v>
      </c>
      <c r="H180" s="294"/>
      <c r="I180" s="118"/>
      <c r="J180" s="42"/>
      <c r="K180" s="42"/>
      <c r="L180" s="42"/>
      <c r="M180" s="42"/>
      <c r="N180" s="42"/>
      <c r="O180" s="99"/>
    </row>
    <row r="181" spans="1:15">
      <c r="A181" s="2753"/>
      <c r="B181" s="2756"/>
      <c r="C181" s="116">
        <v>2017</v>
      </c>
      <c r="D181" s="50"/>
      <c r="E181" s="42"/>
      <c r="F181" s="42"/>
      <c r="G181" s="293">
        <f t="shared" si="19"/>
        <v>0</v>
      </c>
      <c r="H181" s="294"/>
      <c r="I181" s="118"/>
      <c r="J181" s="42"/>
      <c r="K181" s="42"/>
      <c r="L181" s="42"/>
      <c r="M181" s="42"/>
      <c r="N181" s="42"/>
      <c r="O181" s="99"/>
    </row>
    <row r="182" spans="1:15">
      <c r="A182" s="2753"/>
      <c r="B182" s="2756"/>
      <c r="C182" s="116">
        <v>2018</v>
      </c>
      <c r="D182" s="50"/>
      <c r="E182" s="42"/>
      <c r="F182" s="42"/>
      <c r="G182" s="293">
        <f t="shared" si="19"/>
        <v>0</v>
      </c>
      <c r="H182" s="294"/>
      <c r="I182" s="118"/>
      <c r="J182" s="42"/>
      <c r="K182" s="42"/>
      <c r="L182" s="42"/>
      <c r="M182" s="42"/>
      <c r="N182" s="42"/>
      <c r="O182" s="99"/>
    </row>
    <row r="183" spans="1:15">
      <c r="A183" s="2753"/>
      <c r="B183" s="2756"/>
      <c r="C183" s="116">
        <v>2019</v>
      </c>
      <c r="D183" s="50"/>
      <c r="E183" s="42"/>
      <c r="F183" s="42"/>
      <c r="G183" s="293">
        <f t="shared" si="19"/>
        <v>0</v>
      </c>
      <c r="H183" s="294"/>
      <c r="I183" s="118"/>
      <c r="J183" s="42"/>
      <c r="K183" s="42"/>
      <c r="L183" s="42"/>
      <c r="M183" s="42"/>
      <c r="N183" s="42"/>
      <c r="O183" s="99"/>
    </row>
    <row r="184" spans="1:15">
      <c r="A184" s="2753"/>
      <c r="B184" s="2756"/>
      <c r="C184" s="116">
        <v>2020</v>
      </c>
      <c r="D184" s="50"/>
      <c r="E184" s="42"/>
      <c r="F184" s="42"/>
      <c r="G184" s="293">
        <f t="shared" si="19"/>
        <v>0</v>
      </c>
      <c r="H184" s="294"/>
      <c r="I184" s="118"/>
      <c r="J184" s="42"/>
      <c r="K184" s="42"/>
      <c r="L184" s="42"/>
      <c r="M184" s="42"/>
      <c r="N184" s="42"/>
      <c r="O184" s="99"/>
    </row>
    <row r="185" spans="1:15" ht="15.75" customHeight="1" thickBot="1">
      <c r="A185" s="2754"/>
      <c r="B185" s="2757"/>
      <c r="C185" s="122" t="s">
        <v>12</v>
      </c>
      <c r="D185" s="151">
        <f>SUM(D178:D184)</f>
        <v>0</v>
      </c>
      <c r="E185" s="125">
        <f>SUM(E178:E184)</f>
        <v>0</v>
      </c>
      <c r="F185" s="125">
        <f>SUM(F178:F184)</f>
        <v>0</v>
      </c>
      <c r="G185" s="234">
        <f t="shared" ref="G185:O185" si="20">SUM(G178:G184)</f>
        <v>0</v>
      </c>
      <c r="H185" s="295">
        <f t="shared" si="20"/>
        <v>0</v>
      </c>
      <c r="I185" s="124">
        <f t="shared" si="20"/>
        <v>0</v>
      </c>
      <c r="J185" s="125">
        <f t="shared" si="20"/>
        <v>0</v>
      </c>
      <c r="K185" s="125">
        <f t="shared" si="20"/>
        <v>0</v>
      </c>
      <c r="L185" s="125">
        <f t="shared" si="20"/>
        <v>0</v>
      </c>
      <c r="M185" s="125">
        <f t="shared" si="20"/>
        <v>0</v>
      </c>
      <c r="N185" s="125">
        <f t="shared" si="20"/>
        <v>0</v>
      </c>
      <c r="O185" s="126">
        <f t="shared" si="20"/>
        <v>0</v>
      </c>
    </row>
    <row r="186" spans="1:15" ht="33" customHeight="1" thickBot="1"/>
    <row r="187" spans="1:15" ht="19.5" customHeight="1">
      <c r="A187" s="2758" t="s">
        <v>122</v>
      </c>
      <c r="B187" s="2749" t="s">
        <v>114</v>
      </c>
      <c r="C187" s="1998" t="s">
        <v>8</v>
      </c>
      <c r="D187" s="2000" t="s">
        <v>123</v>
      </c>
      <c r="E187" s="2652"/>
      <c r="F187" s="2652"/>
      <c r="G187" s="2759"/>
      <c r="H187" s="2747"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111"/>
      <c r="B189" s="2112"/>
      <c r="C189" s="392">
        <v>2014</v>
      </c>
      <c r="D189" s="142"/>
      <c r="E189" s="115"/>
      <c r="F189" s="115"/>
      <c r="G189" s="301">
        <f>SUM(D189:F189)</f>
        <v>0</v>
      </c>
      <c r="H189" s="114"/>
      <c r="I189" s="115"/>
      <c r="J189" s="115"/>
      <c r="K189" s="115"/>
      <c r="L189" s="143"/>
    </row>
    <row r="190" spans="1:15">
      <c r="A190" s="2557"/>
      <c r="B190" s="1988"/>
      <c r="C190" s="86">
        <v>2015</v>
      </c>
      <c r="D190" s="50"/>
      <c r="E190" s="42"/>
      <c r="F190" s="42"/>
      <c r="G190" s="301">
        <f t="shared" ref="G190:G195" si="21">SUM(D190:F190)</f>
        <v>0</v>
      </c>
      <c r="H190" s="118"/>
      <c r="I190" s="42"/>
      <c r="J190" s="42"/>
      <c r="K190" s="42"/>
      <c r="L190" s="99"/>
    </row>
    <row r="191" spans="1:15">
      <c r="A191" s="2557"/>
      <c r="B191" s="1988"/>
      <c r="C191" s="86">
        <v>2016</v>
      </c>
      <c r="D191" s="50"/>
      <c r="E191" s="42"/>
      <c r="F191" s="42"/>
      <c r="G191" s="301">
        <f t="shared" si="21"/>
        <v>0</v>
      </c>
      <c r="H191" s="118"/>
      <c r="I191" s="42"/>
      <c r="J191" s="42"/>
      <c r="K191" s="42"/>
      <c r="L191" s="99"/>
    </row>
    <row r="192" spans="1:15">
      <c r="A192" s="2557"/>
      <c r="B192" s="1988"/>
      <c r="C192" s="86">
        <v>2017</v>
      </c>
      <c r="D192" s="50"/>
      <c r="E192" s="42"/>
      <c r="F192" s="42"/>
      <c r="G192" s="301">
        <f t="shared" si="21"/>
        <v>0</v>
      </c>
      <c r="H192" s="118"/>
      <c r="I192" s="42"/>
      <c r="J192" s="42"/>
      <c r="K192" s="42"/>
      <c r="L192" s="99"/>
    </row>
    <row r="193" spans="1:14">
      <c r="A193" s="2557"/>
      <c r="B193" s="1988"/>
      <c r="C193" s="86">
        <v>2018</v>
      </c>
      <c r="D193" s="50"/>
      <c r="E193" s="42"/>
      <c r="F193" s="42"/>
      <c r="G193" s="301">
        <f t="shared" si="21"/>
        <v>0</v>
      </c>
      <c r="H193" s="118"/>
      <c r="I193" s="42"/>
      <c r="J193" s="42"/>
      <c r="K193" s="42"/>
      <c r="L193" s="99"/>
    </row>
    <row r="194" spans="1:14">
      <c r="A194" s="2557"/>
      <c r="B194" s="1988"/>
      <c r="C194" s="86">
        <v>2019</v>
      </c>
      <c r="D194" s="50"/>
      <c r="E194" s="42"/>
      <c r="F194" s="42"/>
      <c r="G194" s="301">
        <f t="shared" si="21"/>
        <v>0</v>
      </c>
      <c r="H194" s="118"/>
      <c r="I194" s="42"/>
      <c r="J194" s="42"/>
      <c r="K194" s="42"/>
      <c r="L194" s="99"/>
    </row>
    <row r="195" spans="1:14">
      <c r="A195" s="2557"/>
      <c r="B195" s="1988"/>
      <c r="C195" s="86">
        <v>2020</v>
      </c>
      <c r="D195" s="50"/>
      <c r="E195" s="42"/>
      <c r="F195" s="42"/>
      <c r="G195" s="301">
        <f t="shared" si="21"/>
        <v>0</v>
      </c>
      <c r="H195" s="118"/>
      <c r="I195" s="42"/>
      <c r="J195" s="42"/>
      <c r="K195" s="42"/>
      <c r="L195" s="99"/>
    </row>
    <row r="196" spans="1:14" ht="15.75" thickBot="1">
      <c r="A196" s="2114"/>
      <c r="B196" s="1990"/>
      <c r="C196" s="148" t="s">
        <v>12</v>
      </c>
      <c r="D196" s="151">
        <f t="shared" ref="D196:L196" si="22">SUM(D189:D195)</f>
        <v>0</v>
      </c>
      <c r="E196" s="125">
        <f t="shared" si="22"/>
        <v>0</v>
      </c>
      <c r="F196" s="125">
        <f t="shared" si="22"/>
        <v>0</v>
      </c>
      <c r="G196" s="304">
        <f t="shared" si="22"/>
        <v>0</v>
      </c>
      <c r="H196" s="124">
        <f t="shared" si="22"/>
        <v>0</v>
      </c>
      <c r="I196" s="125">
        <f t="shared" si="22"/>
        <v>0</v>
      </c>
      <c r="J196" s="125">
        <f t="shared" si="22"/>
        <v>0</v>
      </c>
      <c r="K196" s="125">
        <f t="shared" si="22"/>
        <v>0</v>
      </c>
      <c r="L196" s="126">
        <f t="shared" si="22"/>
        <v>0</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1554" t="s">
        <v>135</v>
      </c>
      <c r="B201" s="309" t="s">
        <v>114</v>
      </c>
      <c r="C201" s="310" t="s">
        <v>8</v>
      </c>
      <c r="D201" s="1555" t="s">
        <v>136</v>
      </c>
      <c r="E201" s="312" t="s">
        <v>137</v>
      </c>
      <c r="F201" s="312" t="s">
        <v>138</v>
      </c>
      <c r="G201" s="310" t="s">
        <v>139</v>
      </c>
      <c r="H201" s="1500" t="s">
        <v>140</v>
      </c>
      <c r="I201" s="1556" t="s">
        <v>141</v>
      </c>
      <c r="J201" s="1557" t="s">
        <v>142</v>
      </c>
      <c r="K201" s="312" t="s">
        <v>143</v>
      </c>
      <c r="L201" s="316" t="s">
        <v>144</v>
      </c>
    </row>
    <row r="202" spans="1:14" ht="15" customHeight="1">
      <c r="A202" s="2551"/>
      <c r="B202" s="1988"/>
      <c r="C202" s="84">
        <v>2014</v>
      </c>
      <c r="D202" s="33"/>
      <c r="E202" s="34"/>
      <c r="F202" s="34"/>
      <c r="G202" s="32"/>
      <c r="H202" s="317"/>
      <c r="I202" s="318"/>
      <c r="J202" s="319"/>
      <c r="K202" s="34"/>
      <c r="L202" s="37"/>
    </row>
    <row r="203" spans="1:14">
      <c r="A203" s="2551"/>
      <c r="B203" s="1988"/>
      <c r="C203" s="86">
        <v>2015</v>
      </c>
      <c r="D203" s="50"/>
      <c r="E203" s="42"/>
      <c r="F203" s="42"/>
      <c r="G203" s="39"/>
      <c r="H203" s="320"/>
      <c r="I203" s="321"/>
      <c r="J203" s="322"/>
      <c r="K203" s="42"/>
      <c r="L203" s="99"/>
    </row>
    <row r="204" spans="1:14">
      <c r="A204" s="2551"/>
      <c r="B204" s="1988"/>
      <c r="C204" s="86">
        <v>2016</v>
      </c>
      <c r="D204" s="50"/>
      <c r="E204" s="42"/>
      <c r="F204" s="42"/>
      <c r="G204" s="39"/>
      <c r="H204" s="320"/>
      <c r="I204" s="321"/>
      <c r="J204" s="322"/>
      <c r="K204" s="42"/>
      <c r="L204" s="99"/>
    </row>
    <row r="205" spans="1:14">
      <c r="A205" s="2551"/>
      <c r="B205" s="1988"/>
      <c r="C205" s="86">
        <v>2017</v>
      </c>
      <c r="D205" s="50"/>
      <c r="E205" s="42"/>
      <c r="F205" s="42"/>
      <c r="G205" s="39"/>
      <c r="H205" s="320"/>
      <c r="I205" s="321"/>
      <c r="J205" s="322"/>
      <c r="K205" s="42"/>
      <c r="L205" s="99"/>
    </row>
    <row r="206" spans="1:14">
      <c r="A206" s="2551"/>
      <c r="B206" s="1988"/>
      <c r="C206" s="86">
        <v>2018</v>
      </c>
      <c r="D206" s="50"/>
      <c r="E206" s="42"/>
      <c r="F206" s="42"/>
      <c r="G206" s="39"/>
      <c r="H206" s="320"/>
      <c r="I206" s="321"/>
      <c r="J206" s="322"/>
      <c r="K206" s="42"/>
      <c r="L206" s="99"/>
    </row>
    <row r="207" spans="1:14">
      <c r="A207" s="2551"/>
      <c r="B207" s="1988"/>
      <c r="C207" s="86">
        <v>2019</v>
      </c>
      <c r="D207" s="50"/>
      <c r="E207" s="42"/>
      <c r="F207" s="42"/>
      <c r="G207" s="39"/>
      <c r="H207" s="320"/>
      <c r="I207" s="321"/>
      <c r="J207" s="322"/>
      <c r="K207" s="42"/>
      <c r="L207" s="99"/>
    </row>
    <row r="208" spans="1:14">
      <c r="A208" s="2551"/>
      <c r="B208" s="1988"/>
      <c r="C208" s="86">
        <v>2020</v>
      </c>
      <c r="D208" s="1474"/>
      <c r="E208" s="324"/>
      <c r="F208" s="324"/>
      <c r="G208" s="325"/>
      <c r="H208" s="326"/>
      <c r="I208" s="327"/>
      <c r="J208" s="328"/>
      <c r="K208" s="324"/>
      <c r="L208" s="329"/>
    </row>
    <row r="209" spans="1:12" ht="20.25" customHeight="1" thickBot="1">
      <c r="A209" s="1989"/>
      <c r="B209" s="1990"/>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1558" t="s">
        <v>145</v>
      </c>
      <c r="B212" s="331" t="s">
        <v>146</v>
      </c>
      <c r="C212" s="332">
        <v>2014</v>
      </c>
      <c r="D212" s="333">
        <v>2015</v>
      </c>
      <c r="E212" s="333">
        <v>2016</v>
      </c>
      <c r="F212" s="333">
        <v>2017</v>
      </c>
      <c r="G212" s="333">
        <v>2018</v>
      </c>
      <c r="H212" s="333">
        <v>2019</v>
      </c>
      <c r="I212" s="334">
        <v>2020</v>
      </c>
    </row>
    <row r="213" spans="1:12" ht="15" customHeight="1">
      <c r="A213" t="s">
        <v>147</v>
      </c>
      <c r="C213" s="84"/>
      <c r="D213" s="147"/>
      <c r="E213" s="404"/>
      <c r="F213" s="147"/>
      <c r="G213" s="147"/>
      <c r="H213" s="147"/>
      <c r="I213" s="335"/>
    </row>
    <row r="214" spans="1:12">
      <c r="A214" t="s">
        <v>149</v>
      </c>
      <c r="B214" s="1559"/>
      <c r="C214" s="84"/>
      <c r="D214" s="1560">
        <v>9191.85</v>
      </c>
      <c r="E214" s="365">
        <v>117783.11</v>
      </c>
      <c r="F214" s="147"/>
      <c r="G214" s="147"/>
      <c r="H214" s="147"/>
      <c r="I214" s="335"/>
    </row>
    <row r="215" spans="1:12">
      <c r="A215" t="s">
        <v>150</v>
      </c>
      <c r="B215" s="1559"/>
      <c r="C215" s="84"/>
      <c r="D215" s="1560"/>
      <c r="E215" s="365"/>
      <c r="F215" s="147"/>
      <c r="G215" s="147"/>
      <c r="H215" s="147"/>
      <c r="I215" s="335"/>
    </row>
    <row r="216" spans="1:12">
      <c r="A216" t="s">
        <v>151</v>
      </c>
      <c r="B216" s="1559"/>
      <c r="C216" s="84"/>
      <c r="D216" s="1560"/>
      <c r="E216" s="365"/>
      <c r="F216" s="147"/>
      <c r="G216" s="147"/>
      <c r="H216" s="147"/>
      <c r="I216" s="335"/>
    </row>
    <row r="217" spans="1:12">
      <c r="A217" t="s">
        <v>152</v>
      </c>
      <c r="B217" s="1559"/>
      <c r="C217" s="84"/>
      <c r="D217" s="1560"/>
      <c r="E217" s="365"/>
      <c r="F217" s="147"/>
      <c r="G217" s="147"/>
      <c r="H217" s="147"/>
      <c r="I217" s="335"/>
    </row>
    <row r="218" spans="1:12" ht="240">
      <c r="A218" s="31" t="s">
        <v>153</v>
      </c>
      <c r="B218" s="1561" t="s">
        <v>452</v>
      </c>
      <c r="C218" s="84"/>
      <c r="D218" s="1560">
        <v>100000</v>
      </c>
      <c r="E218" s="365">
        <v>83426.12</v>
      </c>
      <c r="F218" s="147"/>
      <c r="G218" s="147"/>
      <c r="H218" s="147"/>
      <c r="I218" s="335"/>
    </row>
    <row r="219" spans="1:12" ht="15.75" thickBot="1">
      <c r="A219" s="1473"/>
      <c r="B219" s="1562"/>
      <c r="C219" s="54" t="s">
        <v>12</v>
      </c>
      <c r="D219" s="1563">
        <f>SUM(D214:D218)</f>
        <v>109191.85</v>
      </c>
      <c r="E219" s="337">
        <f t="shared" ref="E219:I219" si="24">SUM(E214:E218)</f>
        <v>201209.22999999998</v>
      </c>
      <c r="F219" s="337">
        <f t="shared" si="24"/>
        <v>0</v>
      </c>
      <c r="G219" s="337">
        <f t="shared" si="24"/>
        <v>0</v>
      </c>
      <c r="H219" s="337">
        <f t="shared" si="24"/>
        <v>0</v>
      </c>
      <c r="I219" s="337">
        <f t="shared" si="24"/>
        <v>0</v>
      </c>
    </row>
    <row r="227" spans="1:1">
      <c r="A227" s="31"/>
    </row>
  </sheetData>
  <mergeCells count="60">
    <mergeCell ref="A202:B209"/>
    <mergeCell ref="A187:A188"/>
    <mergeCell ref="B187:B188"/>
    <mergeCell ref="C187:C188"/>
    <mergeCell ref="D187:G187"/>
    <mergeCell ref="H187:L187"/>
    <mergeCell ref="A189:B196"/>
    <mergeCell ref="A165:B172"/>
    <mergeCell ref="A176:A177"/>
    <mergeCell ref="B176:B177"/>
    <mergeCell ref="C176:C177"/>
    <mergeCell ref="I176:O176"/>
    <mergeCell ref="A178:A185"/>
    <mergeCell ref="B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C96:C97"/>
    <mergeCell ref="D96:E96"/>
    <mergeCell ref="A98:B105"/>
    <mergeCell ref="A107:A108"/>
    <mergeCell ref="B107:B108"/>
    <mergeCell ref="C107:C108"/>
    <mergeCell ref="D107:D108"/>
    <mergeCell ref="A96:A97"/>
    <mergeCell ref="B96:B97"/>
    <mergeCell ref="A109:B116"/>
    <mergeCell ref="A118:A119"/>
    <mergeCell ref="B118:B119"/>
    <mergeCell ref="C118:C119"/>
    <mergeCell ref="D118:D119"/>
    <mergeCell ref="A62:A69"/>
    <mergeCell ref="B62:B69"/>
    <mergeCell ref="A72:A79"/>
    <mergeCell ref="B72:B79"/>
    <mergeCell ref="A85:B92"/>
    <mergeCell ref="A60:A61"/>
    <mergeCell ref="C60:C61"/>
    <mergeCell ref="D60:D61"/>
    <mergeCell ref="B1:F1"/>
    <mergeCell ref="F3:O3"/>
    <mergeCell ref="A4:O10"/>
    <mergeCell ref="D15:G15"/>
    <mergeCell ref="A17:A24"/>
    <mergeCell ref="B17:B24"/>
    <mergeCell ref="D26:G26"/>
    <mergeCell ref="A28:A35"/>
    <mergeCell ref="B28:B35"/>
    <mergeCell ref="A40:B47"/>
    <mergeCell ref="A50:B5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5"/>
  <dimension ref="A1:Y227"/>
  <sheetViews>
    <sheetView topLeftCell="A196" zoomScale="78" zoomScaleNormal="78" workbookViewId="0">
      <selection activeCell="E227" sqref="E227"/>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503</v>
      </c>
      <c r="C1" s="2077"/>
      <c r="D1" s="2077"/>
      <c r="E1" s="2077"/>
      <c r="F1" s="2077"/>
    </row>
    <row r="2" spans="1:25" s="2" customFormat="1" ht="20.100000000000001" customHeight="1" thickBot="1"/>
    <row r="3" spans="1:25" s="5" customFormat="1" ht="20.100000000000001" customHeight="1">
      <c r="A3" s="1503" t="s">
        <v>1</v>
      </c>
      <c r="B3" s="1504"/>
      <c r="C3" s="1504"/>
      <c r="D3" s="1504"/>
      <c r="E3" s="1504"/>
      <c r="F3" s="2707"/>
      <c r="G3" s="2707"/>
      <c r="H3" s="2707"/>
      <c r="I3" s="2707"/>
      <c r="J3" s="2707"/>
      <c r="K3" s="2707"/>
      <c r="L3" s="2707"/>
      <c r="M3" s="2707"/>
      <c r="N3" s="2707"/>
      <c r="O3" s="2708"/>
    </row>
    <row r="4" spans="1:25" s="5" customFormat="1" ht="20.100000000000001" customHeight="1">
      <c r="A4" s="2760" t="s">
        <v>2</v>
      </c>
      <c r="B4" s="2081"/>
      <c r="C4" s="2081"/>
      <c r="D4" s="2081"/>
      <c r="E4" s="2081"/>
      <c r="F4" s="2081"/>
      <c r="G4" s="2081"/>
      <c r="H4" s="2081"/>
      <c r="I4" s="2081"/>
      <c r="J4" s="2081"/>
      <c r="K4" s="2081"/>
      <c r="L4" s="2081"/>
      <c r="M4" s="2081"/>
      <c r="N4" s="2081"/>
      <c r="O4" s="2082"/>
    </row>
    <row r="5" spans="1:25" s="5" customFormat="1" ht="20.100000000000001" customHeight="1">
      <c r="A5" s="2760"/>
      <c r="B5" s="2081"/>
      <c r="C5" s="2081"/>
      <c r="D5" s="2081"/>
      <c r="E5" s="2081"/>
      <c r="F5" s="2081"/>
      <c r="G5" s="2081"/>
      <c r="H5" s="2081"/>
      <c r="I5" s="2081"/>
      <c r="J5" s="2081"/>
      <c r="K5" s="2081"/>
      <c r="L5" s="2081"/>
      <c r="M5" s="2081"/>
      <c r="N5" s="2081"/>
      <c r="O5" s="2082"/>
    </row>
    <row r="6" spans="1:25" s="5" customFormat="1" ht="20.100000000000001" customHeight="1">
      <c r="A6" s="2760"/>
      <c r="B6" s="2081"/>
      <c r="C6" s="2081"/>
      <c r="D6" s="2081"/>
      <c r="E6" s="2081"/>
      <c r="F6" s="2081"/>
      <c r="G6" s="2081"/>
      <c r="H6" s="2081"/>
      <c r="I6" s="2081"/>
      <c r="J6" s="2081"/>
      <c r="K6" s="2081"/>
      <c r="L6" s="2081"/>
      <c r="M6" s="2081"/>
      <c r="N6" s="2081"/>
      <c r="O6" s="2082"/>
    </row>
    <row r="7" spans="1:25" s="5" customFormat="1" ht="20.100000000000001" customHeight="1">
      <c r="A7" s="2760"/>
      <c r="B7" s="2081"/>
      <c r="C7" s="2081"/>
      <c r="D7" s="2081"/>
      <c r="E7" s="2081"/>
      <c r="F7" s="2081"/>
      <c r="G7" s="2081"/>
      <c r="H7" s="2081"/>
      <c r="I7" s="2081"/>
      <c r="J7" s="2081"/>
      <c r="K7" s="2081"/>
      <c r="L7" s="2081"/>
      <c r="M7" s="2081"/>
      <c r="N7" s="2081"/>
      <c r="O7" s="2082"/>
    </row>
    <row r="8" spans="1:25" s="5" customFormat="1" ht="20.100000000000001" customHeight="1">
      <c r="A8" s="2760"/>
      <c r="B8" s="2081"/>
      <c r="C8" s="2081"/>
      <c r="D8" s="2081"/>
      <c r="E8" s="2081"/>
      <c r="F8" s="2081"/>
      <c r="G8" s="2081"/>
      <c r="H8" s="2081"/>
      <c r="I8" s="2081"/>
      <c r="J8" s="2081"/>
      <c r="K8" s="2081"/>
      <c r="L8" s="2081"/>
      <c r="M8" s="2081"/>
      <c r="N8" s="2081"/>
      <c r="O8" s="2082"/>
    </row>
    <row r="9" spans="1:25" s="5" customFormat="1" ht="20.100000000000001" customHeight="1">
      <c r="A9" s="2760"/>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1518"/>
      <c r="B15" s="1519"/>
      <c r="C15" s="11"/>
      <c r="D15" s="2718" t="s">
        <v>4</v>
      </c>
      <c r="E15" s="2709"/>
      <c r="F15" s="2709"/>
      <c r="G15" s="2709"/>
      <c r="H15" s="1520"/>
      <c r="I15" s="13" t="s">
        <v>5</v>
      </c>
      <c r="J15" s="14"/>
      <c r="K15" s="14"/>
      <c r="L15" s="14"/>
      <c r="M15" s="14"/>
      <c r="N15" s="14"/>
      <c r="O15" s="15"/>
      <c r="P15" s="16"/>
      <c r="Q15" s="17"/>
      <c r="R15" s="18"/>
      <c r="S15" s="18"/>
      <c r="T15" s="18"/>
      <c r="U15" s="18"/>
      <c r="V15" s="18"/>
      <c r="W15" s="16"/>
      <c r="X15" s="16"/>
      <c r="Y15" s="17"/>
    </row>
    <row r="16" spans="1:25" s="31" customFormat="1" ht="129" customHeight="1">
      <c r="A16" s="1564"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550"/>
      <c r="B17" s="19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551"/>
      <c r="B18" s="1988"/>
      <c r="C18" s="39">
        <v>2015</v>
      </c>
      <c r="D18" s="50">
        <v>2</v>
      </c>
      <c r="E18" s="42"/>
      <c r="F18" s="42"/>
      <c r="G18" s="35">
        <f>SUM(D18:F18)</f>
        <v>2</v>
      </c>
      <c r="H18" s="51">
        <v>1</v>
      </c>
      <c r="I18" s="42">
        <v>1</v>
      </c>
      <c r="J18" s="42"/>
      <c r="K18" s="42"/>
      <c r="L18" s="42"/>
      <c r="M18" s="42"/>
      <c r="N18" s="42"/>
      <c r="O18" s="52"/>
      <c r="P18" s="38"/>
      <c r="Q18" s="38"/>
      <c r="R18" s="38"/>
      <c r="S18" s="38"/>
      <c r="T18" s="38"/>
      <c r="U18" s="38"/>
      <c r="V18" s="38"/>
      <c r="W18" s="38"/>
      <c r="X18" s="38"/>
      <c r="Y18" s="38"/>
    </row>
    <row r="19" spans="1:25">
      <c r="A19" s="2551"/>
      <c r="B19" s="1988"/>
      <c r="C19" s="39">
        <v>2016</v>
      </c>
      <c r="D19" s="50">
        <v>10</v>
      </c>
      <c r="E19" s="42"/>
      <c r="F19" s="42"/>
      <c r="G19" s="35">
        <f t="shared" si="0"/>
        <v>10</v>
      </c>
      <c r="H19" s="51">
        <v>7</v>
      </c>
      <c r="I19" s="42">
        <v>3</v>
      </c>
      <c r="J19" s="42"/>
      <c r="K19" s="42"/>
      <c r="L19" s="42"/>
      <c r="M19" s="42"/>
      <c r="N19" s="42"/>
      <c r="O19" s="52"/>
      <c r="P19" s="38"/>
      <c r="Q19" s="38"/>
      <c r="R19" s="38"/>
      <c r="S19" s="38"/>
      <c r="T19" s="38"/>
      <c r="U19" s="38"/>
      <c r="V19" s="38"/>
      <c r="W19" s="38"/>
      <c r="X19" s="38"/>
      <c r="Y19" s="38"/>
    </row>
    <row r="20" spans="1:25">
      <c r="A20" s="2551"/>
      <c r="B20" s="1988"/>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2551"/>
      <c r="B21" s="1988"/>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2551"/>
      <c r="B22" s="1988"/>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2551"/>
      <c r="B23" s="1988"/>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19.5" customHeight="1" thickBot="1">
      <c r="A24" s="1989"/>
      <c r="B24" s="1990"/>
      <c r="C24" s="54" t="s">
        <v>12</v>
      </c>
      <c r="D24" s="55">
        <f>SUM(D17:D23)</f>
        <v>12</v>
      </c>
      <c r="E24" s="56">
        <f>SUM(E17:E23)</f>
        <v>0</v>
      </c>
      <c r="F24" s="56">
        <f>SUM(F17:F23)</f>
        <v>0</v>
      </c>
      <c r="G24" s="57">
        <f>SUM(D24:F24)</f>
        <v>12</v>
      </c>
      <c r="H24" s="58">
        <f>SUM(H17:H23)</f>
        <v>8</v>
      </c>
      <c r="I24" s="59">
        <f>SUM(I17:I23)</f>
        <v>4</v>
      </c>
      <c r="J24" s="59">
        <f t="shared" ref="J24:N24" si="1">SUM(J17:J23)</f>
        <v>0</v>
      </c>
      <c r="K24" s="59">
        <f t="shared" si="1"/>
        <v>0</v>
      </c>
      <c r="L24" s="59">
        <f t="shared" si="1"/>
        <v>0</v>
      </c>
      <c r="M24" s="59">
        <f t="shared" si="1"/>
        <v>0</v>
      </c>
      <c r="N24" s="59">
        <f t="shared" si="1"/>
        <v>0</v>
      </c>
      <c r="O24" s="60">
        <f>SUM(O17:O23)</f>
        <v>0</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1518"/>
      <c r="B26" s="1519"/>
      <c r="C26" s="63"/>
      <c r="D26" s="2723" t="s">
        <v>4</v>
      </c>
      <c r="E26" s="2713"/>
      <c r="F26" s="2713"/>
      <c r="G26" s="2724"/>
      <c r="H26" s="16"/>
      <c r="I26" s="17"/>
      <c r="J26" s="18"/>
      <c r="K26" s="18"/>
      <c r="L26" s="18"/>
      <c r="M26" s="18"/>
      <c r="N26" s="18"/>
      <c r="O26" s="16"/>
      <c r="P26" s="16"/>
    </row>
    <row r="27" spans="1:25" s="31" customFormat="1" ht="93" customHeight="1">
      <c r="A27" s="1364"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550"/>
      <c r="B28" s="2763"/>
      <c r="C28" s="68">
        <v>2014</v>
      </c>
      <c r="D28" s="36"/>
      <c r="E28" s="34"/>
      <c r="F28" s="34"/>
      <c r="G28" s="69">
        <f>SUM(D28:F28)</f>
        <v>0</v>
      </c>
      <c r="H28" s="38"/>
      <c r="I28" s="38"/>
      <c r="J28" s="38"/>
      <c r="K28" s="38"/>
      <c r="L28" s="38"/>
      <c r="M28" s="38"/>
      <c r="N28" s="38"/>
      <c r="O28" s="38"/>
      <c r="P28" s="38"/>
      <c r="Q28" s="8"/>
    </row>
    <row r="29" spans="1:25">
      <c r="A29" s="2761"/>
      <c r="B29" s="2763"/>
      <c r="C29" s="70">
        <v>2015</v>
      </c>
      <c r="D29" s="51">
        <v>100</v>
      </c>
      <c r="E29" s="42"/>
      <c r="F29" s="42"/>
      <c r="G29" s="69">
        <f t="shared" ref="G29:G35" si="2">SUM(D29:F29)</f>
        <v>100</v>
      </c>
      <c r="H29" s="38"/>
      <c r="I29" s="38"/>
      <c r="J29" s="38"/>
      <c r="K29" s="38"/>
      <c r="L29" s="38"/>
      <c r="M29" s="38"/>
      <c r="N29" s="38"/>
      <c r="O29" s="38"/>
      <c r="P29" s="38"/>
      <c r="Q29" s="8"/>
    </row>
    <row r="30" spans="1:25">
      <c r="A30" s="2761"/>
      <c r="B30" s="2763"/>
      <c r="C30" s="70">
        <v>2016</v>
      </c>
      <c r="D30" s="51">
        <v>65190</v>
      </c>
      <c r="E30" s="42"/>
      <c r="F30" s="42"/>
      <c r="G30" s="69">
        <f t="shared" si="2"/>
        <v>65190</v>
      </c>
      <c r="H30" s="38"/>
      <c r="I30" s="38"/>
      <c r="J30" s="38"/>
      <c r="K30" s="38"/>
      <c r="L30" s="38"/>
      <c r="M30" s="38"/>
      <c r="N30" s="38"/>
      <c r="O30" s="38"/>
      <c r="P30" s="38"/>
      <c r="Q30" s="8"/>
    </row>
    <row r="31" spans="1:25">
      <c r="A31" s="2761"/>
      <c r="B31" s="2763"/>
      <c r="C31" s="70">
        <v>2017</v>
      </c>
      <c r="D31" s="51"/>
      <c r="E31" s="42"/>
      <c r="F31" s="42"/>
      <c r="G31" s="69">
        <f t="shared" si="2"/>
        <v>0</v>
      </c>
      <c r="H31" s="38"/>
      <c r="I31" s="38"/>
      <c r="J31" s="38"/>
      <c r="K31" s="38"/>
      <c r="L31" s="38"/>
      <c r="M31" s="38"/>
      <c r="N31" s="38"/>
      <c r="O31" s="38"/>
      <c r="P31" s="38"/>
      <c r="Q31" s="8"/>
    </row>
    <row r="32" spans="1:25">
      <c r="A32" s="2761"/>
      <c r="B32" s="2763"/>
      <c r="C32" s="70">
        <v>2018</v>
      </c>
      <c r="D32" s="51"/>
      <c r="E32" s="42"/>
      <c r="F32" s="42"/>
      <c r="G32" s="69">
        <f>SUM(D32:F32)</f>
        <v>0</v>
      </c>
      <c r="H32" s="38"/>
      <c r="I32" s="38"/>
      <c r="J32" s="38"/>
      <c r="K32" s="38"/>
      <c r="L32" s="38"/>
      <c r="M32" s="38"/>
      <c r="N32" s="38"/>
      <c r="O32" s="38"/>
      <c r="P32" s="38"/>
      <c r="Q32" s="8"/>
    </row>
    <row r="33" spans="1:17">
      <c r="A33" s="2761"/>
      <c r="B33" s="2763"/>
      <c r="C33" s="72">
        <v>2019</v>
      </c>
      <c r="D33" s="51"/>
      <c r="E33" s="42"/>
      <c r="F33" s="42"/>
      <c r="G33" s="69">
        <f t="shared" si="2"/>
        <v>0</v>
      </c>
      <c r="H33" s="38"/>
      <c r="I33" s="38"/>
      <c r="J33" s="38"/>
      <c r="K33" s="38"/>
      <c r="L33" s="38"/>
      <c r="M33" s="38"/>
      <c r="N33" s="38"/>
      <c r="O33" s="38"/>
      <c r="P33" s="38"/>
      <c r="Q33" s="8"/>
    </row>
    <row r="34" spans="1:17">
      <c r="A34" s="2761"/>
      <c r="B34" s="2763"/>
      <c r="C34" s="70">
        <v>2020</v>
      </c>
      <c r="D34" s="51"/>
      <c r="E34" s="42"/>
      <c r="F34" s="42"/>
      <c r="G34" s="69">
        <f t="shared" si="2"/>
        <v>0</v>
      </c>
      <c r="H34" s="38"/>
      <c r="I34" s="38"/>
      <c r="J34" s="38"/>
      <c r="K34" s="38"/>
      <c r="L34" s="38"/>
      <c r="M34" s="38"/>
      <c r="N34" s="38"/>
      <c r="O34" s="38"/>
      <c r="P34" s="38"/>
      <c r="Q34" s="8"/>
    </row>
    <row r="35" spans="1:17" ht="20.25" customHeight="1" thickBot="1">
      <c r="A35" s="2762"/>
      <c r="B35" s="2763"/>
      <c r="C35" s="73" t="s">
        <v>12</v>
      </c>
      <c r="D35" s="58">
        <f>SUM(D28:D34)</f>
        <v>65290</v>
      </c>
      <c r="E35" s="56">
        <f>SUM(E28:E34)</f>
        <v>0</v>
      </c>
      <c r="F35" s="56">
        <f>SUM(F28:F34)</f>
        <v>0</v>
      </c>
      <c r="G35" s="60">
        <f t="shared" si="2"/>
        <v>65290</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1521" t="s">
        <v>25</v>
      </c>
      <c r="B39" s="1522" t="s">
        <v>7</v>
      </c>
      <c r="C39" s="80" t="s">
        <v>8</v>
      </c>
      <c r="D39" s="1523" t="s">
        <v>26</v>
      </c>
      <c r="E39" s="352" t="s">
        <v>27</v>
      </c>
      <c r="F39" s="353"/>
      <c r="G39" s="30"/>
      <c r="H39" s="30"/>
    </row>
    <row r="40" spans="1:17">
      <c r="A40" s="2550" t="s">
        <v>453</v>
      </c>
      <c r="B40" s="1988"/>
      <c r="C40" s="84">
        <v>2014</v>
      </c>
      <c r="D40" s="33"/>
      <c r="E40" s="32"/>
      <c r="F40" s="8"/>
      <c r="G40" s="38"/>
      <c r="H40" s="38"/>
    </row>
    <row r="41" spans="1:17">
      <c r="A41" s="2551"/>
      <c r="B41" s="1988"/>
      <c r="C41" s="86">
        <v>2015</v>
      </c>
      <c r="D41" s="50">
        <v>185626</v>
      </c>
      <c r="E41" s="39">
        <v>104358</v>
      </c>
      <c r="F41" s="8"/>
      <c r="G41" s="38"/>
      <c r="H41" s="38"/>
    </row>
    <row r="42" spans="1:17">
      <c r="A42" s="2551"/>
      <c r="B42" s="1988"/>
      <c r="C42" s="86">
        <v>2016</v>
      </c>
      <c r="D42" s="50">
        <v>191435</v>
      </c>
      <c r="E42" s="39">
        <v>116115</v>
      </c>
      <c r="F42" s="8"/>
      <c r="G42" s="38"/>
      <c r="H42" s="38"/>
    </row>
    <row r="43" spans="1:17">
      <c r="A43" s="2551"/>
      <c r="B43" s="1988"/>
      <c r="C43" s="86">
        <v>2017</v>
      </c>
      <c r="D43" s="50"/>
      <c r="E43" s="39"/>
      <c r="F43" s="8"/>
      <c r="G43" s="38"/>
      <c r="H43" s="38"/>
    </row>
    <row r="44" spans="1:17">
      <c r="A44" s="2551"/>
      <c r="B44" s="1988"/>
      <c r="C44" s="86">
        <v>2018</v>
      </c>
      <c r="D44" s="50"/>
      <c r="E44" s="39"/>
      <c r="F44" s="8"/>
      <c r="G44" s="38"/>
      <c r="H44" s="38"/>
    </row>
    <row r="45" spans="1:17">
      <c r="A45" s="2551"/>
      <c r="B45" s="1988"/>
      <c r="C45" s="86">
        <v>2019</v>
      </c>
      <c r="D45" s="50"/>
      <c r="E45" s="39"/>
      <c r="F45" s="8"/>
      <c r="G45" s="38"/>
      <c r="H45" s="38"/>
    </row>
    <row r="46" spans="1:17">
      <c r="A46" s="2551"/>
      <c r="B46" s="1988"/>
      <c r="C46" s="86">
        <v>2020</v>
      </c>
      <c r="D46" s="50"/>
      <c r="E46" s="39"/>
      <c r="F46" s="8"/>
      <c r="G46" s="38"/>
      <c r="H46" s="38"/>
    </row>
    <row r="47" spans="1:17" ht="15.75" thickBot="1">
      <c r="A47" s="1989"/>
      <c r="B47" s="1990"/>
      <c r="C47" s="54" t="s">
        <v>12</v>
      </c>
      <c r="D47" s="55">
        <f>SUM(D40:D46)</f>
        <v>377061</v>
      </c>
      <c r="E47" s="419">
        <f>SUM(E40:E46)</f>
        <v>220473</v>
      </c>
      <c r="F47" s="121"/>
      <c r="G47" s="38"/>
      <c r="H47" s="38"/>
    </row>
    <row r="48" spans="1:17" s="38" customFormat="1" ht="15.75" thickBot="1">
      <c r="A48" s="1510"/>
      <c r="B48" s="92"/>
      <c r="C48" s="93"/>
    </row>
    <row r="49" spans="1:15" ht="83.25" customHeight="1">
      <c r="A49" s="1527" t="s">
        <v>29</v>
      </c>
      <c r="B49" s="1522" t="s">
        <v>7</v>
      </c>
      <c r="C49" s="95" t="s">
        <v>8</v>
      </c>
      <c r="D49" s="1523" t="s">
        <v>30</v>
      </c>
      <c r="E49" s="96" t="s">
        <v>31</v>
      </c>
      <c r="F49" s="96" t="s">
        <v>32</v>
      </c>
      <c r="G49" s="96" t="s">
        <v>33</v>
      </c>
      <c r="H49" s="96" t="s">
        <v>34</v>
      </c>
      <c r="I49" s="96" t="s">
        <v>35</v>
      </c>
      <c r="J49" s="96" t="s">
        <v>36</v>
      </c>
      <c r="K49" s="97" t="s">
        <v>37</v>
      </c>
    </row>
    <row r="50" spans="1:15" ht="17.25" customHeight="1">
      <c r="A50" s="2005"/>
      <c r="B50" s="2012"/>
      <c r="C50" s="98" t="s">
        <v>38</v>
      </c>
      <c r="D50" s="33"/>
      <c r="E50" s="34"/>
      <c r="F50" s="34"/>
      <c r="G50" s="34"/>
      <c r="H50" s="34"/>
      <c r="I50" s="34"/>
      <c r="J50" s="34"/>
      <c r="K50" s="37"/>
    </row>
    <row r="51" spans="1:15" ht="15" customHeight="1">
      <c r="A51" s="2550"/>
      <c r="B51" s="2014"/>
      <c r="C51" s="86">
        <v>2014</v>
      </c>
      <c r="D51" s="50"/>
      <c r="E51" s="42"/>
      <c r="F51" s="42"/>
      <c r="G51" s="42"/>
      <c r="H51" s="42"/>
      <c r="I51" s="42"/>
      <c r="J51" s="42"/>
      <c r="K51" s="99"/>
    </row>
    <row r="52" spans="1:15">
      <c r="A52" s="2550"/>
      <c r="B52" s="2014"/>
      <c r="C52" s="86">
        <v>2015</v>
      </c>
      <c r="D52" s="50"/>
      <c r="E52" s="42"/>
      <c r="F52" s="42"/>
      <c r="G52" s="42"/>
      <c r="H52" s="42"/>
      <c r="I52" s="42"/>
      <c r="J52" s="42"/>
      <c r="K52" s="99"/>
    </row>
    <row r="53" spans="1:15">
      <c r="A53" s="2550"/>
      <c r="B53" s="2014"/>
      <c r="C53" s="86">
        <v>2016</v>
      </c>
      <c r="D53" s="50">
        <v>0</v>
      </c>
      <c r="E53" s="42">
        <v>0</v>
      </c>
      <c r="F53" s="42">
        <v>0</v>
      </c>
      <c r="G53" s="42">
        <v>0</v>
      </c>
      <c r="H53" s="42">
        <v>0</v>
      </c>
      <c r="I53" s="42">
        <v>0</v>
      </c>
      <c r="J53" s="42">
        <v>0</v>
      </c>
      <c r="K53" s="99">
        <v>0</v>
      </c>
    </row>
    <row r="54" spans="1:15">
      <c r="A54" s="2550"/>
      <c r="B54" s="2014"/>
      <c r="C54" s="86">
        <v>2017</v>
      </c>
      <c r="D54" s="50"/>
      <c r="E54" s="42"/>
      <c r="F54" s="42"/>
      <c r="G54" s="42"/>
      <c r="H54" s="42"/>
      <c r="I54" s="42"/>
      <c r="J54" s="42"/>
      <c r="K54" s="99"/>
    </row>
    <row r="55" spans="1:15">
      <c r="A55" s="2550"/>
      <c r="B55" s="2014"/>
      <c r="C55" s="86">
        <v>2018</v>
      </c>
      <c r="D55" s="50"/>
      <c r="E55" s="42"/>
      <c r="F55" s="42"/>
      <c r="G55" s="42"/>
      <c r="H55" s="42"/>
      <c r="I55" s="42"/>
      <c r="J55" s="42"/>
      <c r="K55" s="99"/>
    </row>
    <row r="56" spans="1:15">
      <c r="A56" s="2550"/>
      <c r="B56" s="2014"/>
      <c r="C56" s="86">
        <v>2019</v>
      </c>
      <c r="D56" s="50"/>
      <c r="E56" s="42"/>
      <c r="F56" s="42"/>
      <c r="G56" s="42"/>
      <c r="H56" s="42"/>
      <c r="I56" s="42"/>
      <c r="J56" s="42"/>
      <c r="K56" s="99"/>
    </row>
    <row r="57" spans="1:15">
      <c r="A57" s="2550"/>
      <c r="B57" s="2014"/>
      <c r="C57" s="86">
        <v>2020</v>
      </c>
      <c r="D57" s="50"/>
      <c r="E57" s="42"/>
      <c r="F57" s="42"/>
      <c r="G57" s="42"/>
      <c r="H57" s="42"/>
      <c r="I57" s="42"/>
      <c r="J57" s="42"/>
      <c r="K57" s="100"/>
    </row>
    <row r="58" spans="1:15" ht="20.25" customHeight="1" thickBot="1">
      <c r="A58" s="2009"/>
      <c r="B58" s="2016"/>
      <c r="C58" s="54" t="s">
        <v>12</v>
      </c>
      <c r="D58" s="55">
        <f>SUM(D51:D57)</f>
        <v>0</v>
      </c>
      <c r="E58" s="56">
        <f>SUM(E51:E57)</f>
        <v>0</v>
      </c>
      <c r="F58" s="56">
        <f>SUM(F51:F57)</f>
        <v>0</v>
      </c>
      <c r="G58" s="56">
        <f>SUM(G51:G57)</f>
        <v>0</v>
      </c>
      <c r="H58" s="56">
        <f>SUM(H51:H57)</f>
        <v>0</v>
      </c>
      <c r="I58" s="56">
        <f t="shared" ref="I58" si="3">SUM(I51:I57)</f>
        <v>0</v>
      </c>
      <c r="J58" s="56">
        <f>SUM(J51:J57)</f>
        <v>0</v>
      </c>
      <c r="K58" s="60">
        <f>SUM(K50:K56)</f>
        <v>0</v>
      </c>
    </row>
    <row r="59" spans="1:15" ht="15.75" thickBot="1"/>
    <row r="60" spans="1:15" ht="21" customHeight="1">
      <c r="A60" s="2716" t="s">
        <v>39</v>
      </c>
      <c r="B60" s="1528"/>
      <c r="C60" s="2717" t="s">
        <v>8</v>
      </c>
      <c r="D60" s="2671" t="s">
        <v>40</v>
      </c>
      <c r="E60" s="1477" t="s">
        <v>5</v>
      </c>
      <c r="F60" s="1478"/>
      <c r="G60" s="1478"/>
      <c r="H60" s="1478"/>
      <c r="I60" s="1478"/>
      <c r="J60" s="1478"/>
      <c r="K60" s="1478"/>
      <c r="L60" s="1479"/>
    </row>
    <row r="61" spans="1:15" ht="115.5" customHeight="1">
      <c r="A61" s="2764"/>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552"/>
      <c r="B62" s="2025"/>
      <c r="C62" s="112">
        <v>2014</v>
      </c>
      <c r="D62" s="113"/>
      <c r="E62" s="114"/>
      <c r="F62" s="115"/>
      <c r="G62" s="115"/>
      <c r="H62" s="115"/>
      <c r="I62" s="115"/>
      <c r="J62" s="115"/>
      <c r="K62" s="115"/>
      <c r="L62" s="37"/>
      <c r="M62" s="8"/>
      <c r="N62" s="8"/>
      <c r="O62" s="8"/>
    </row>
    <row r="63" spans="1:15">
      <c r="A63" s="2553"/>
      <c r="B63" s="2025"/>
      <c r="C63" s="116">
        <v>2015</v>
      </c>
      <c r="D63" s="117"/>
      <c r="E63" s="118"/>
      <c r="F63" s="42"/>
      <c r="G63" s="42"/>
      <c r="H63" s="42"/>
      <c r="I63" s="42"/>
      <c r="J63" s="42"/>
      <c r="K63" s="42"/>
      <c r="L63" s="99"/>
      <c r="M63" s="8"/>
      <c r="N63" s="8"/>
      <c r="O63" s="8"/>
    </row>
    <row r="64" spans="1:15">
      <c r="A64" s="2553"/>
      <c r="B64" s="2025"/>
      <c r="C64" s="116">
        <v>2016</v>
      </c>
      <c r="D64" s="117">
        <v>1</v>
      </c>
      <c r="E64" s="118">
        <v>1</v>
      </c>
      <c r="F64" s="42"/>
      <c r="G64" s="42"/>
      <c r="H64" s="42"/>
      <c r="I64" s="42"/>
      <c r="J64" s="42"/>
      <c r="K64" s="42"/>
      <c r="L64" s="99"/>
      <c r="M64" s="8"/>
      <c r="N64" s="8"/>
      <c r="O64" s="8"/>
    </row>
    <row r="65" spans="1:20">
      <c r="A65" s="2553"/>
      <c r="B65" s="2025"/>
      <c r="C65" s="116">
        <v>2017</v>
      </c>
      <c r="D65" s="117"/>
      <c r="E65" s="118"/>
      <c r="F65" s="42"/>
      <c r="G65" s="42"/>
      <c r="H65" s="42"/>
      <c r="I65" s="42"/>
      <c r="J65" s="42"/>
      <c r="K65" s="42"/>
      <c r="L65" s="99"/>
      <c r="M65" s="8"/>
      <c r="N65" s="8"/>
      <c r="O65" s="8"/>
    </row>
    <row r="66" spans="1:20">
      <c r="A66" s="2553"/>
      <c r="B66" s="2025"/>
      <c r="C66" s="116">
        <v>2018</v>
      </c>
      <c r="D66" s="117"/>
      <c r="E66" s="118"/>
      <c r="F66" s="42"/>
      <c r="G66" s="42"/>
      <c r="H66" s="42"/>
      <c r="I66" s="42"/>
      <c r="J66" s="42"/>
      <c r="K66" s="42"/>
      <c r="L66" s="99"/>
      <c r="M66" s="8"/>
      <c r="N66" s="8"/>
      <c r="O66" s="8"/>
    </row>
    <row r="67" spans="1:20" ht="17.25" customHeight="1">
      <c r="A67" s="2553"/>
      <c r="B67" s="2025"/>
      <c r="C67" s="116">
        <v>2019</v>
      </c>
      <c r="D67" s="117"/>
      <c r="E67" s="118"/>
      <c r="F67" s="42"/>
      <c r="G67" s="42"/>
      <c r="H67" s="42"/>
      <c r="I67" s="42"/>
      <c r="J67" s="42"/>
      <c r="K67" s="42"/>
      <c r="L67" s="99"/>
      <c r="M67" s="8"/>
      <c r="N67" s="8"/>
      <c r="O67" s="8"/>
    </row>
    <row r="68" spans="1:20" ht="16.5" customHeight="1">
      <c r="A68" s="2553"/>
      <c r="B68" s="2025"/>
      <c r="C68" s="116">
        <v>2020</v>
      </c>
      <c r="D68" s="117"/>
      <c r="E68" s="118"/>
      <c r="F68" s="42"/>
      <c r="G68" s="42"/>
      <c r="H68" s="42"/>
      <c r="I68" s="42"/>
      <c r="J68" s="42"/>
      <c r="K68" s="42"/>
      <c r="L68" s="99"/>
      <c r="M68" s="121"/>
      <c r="N68" s="121"/>
      <c r="O68" s="121"/>
    </row>
    <row r="69" spans="1:20" ht="18" customHeight="1" thickBot="1">
      <c r="A69" s="2134"/>
      <c r="B69" s="2027"/>
      <c r="C69" s="122" t="s">
        <v>12</v>
      </c>
      <c r="D69" s="123">
        <f>SUM(D62:D68)</f>
        <v>1</v>
      </c>
      <c r="E69" s="124">
        <f>SUM(E62:E68)</f>
        <v>1</v>
      </c>
      <c r="F69" s="125">
        <f t="shared" ref="F69:I69" si="4">SUM(F62:F68)</f>
        <v>0</v>
      </c>
      <c r="G69" s="125">
        <f t="shared" si="4"/>
        <v>0</v>
      </c>
      <c r="H69" s="125">
        <f t="shared" si="4"/>
        <v>0</v>
      </c>
      <c r="I69" s="125">
        <f t="shared" si="4"/>
        <v>0</v>
      </c>
      <c r="J69" s="125"/>
      <c r="K69" s="125">
        <f>SUM(K62:K68)</f>
        <v>0</v>
      </c>
      <c r="L69" s="126">
        <f>SUM(L62:L68)</f>
        <v>0</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1521" t="s">
        <v>42</v>
      </c>
      <c r="B71" s="1522" t="s">
        <v>7</v>
      </c>
      <c r="C71" s="80" t="s">
        <v>8</v>
      </c>
      <c r="D71" s="132" t="s">
        <v>43</v>
      </c>
      <c r="E71" s="132" t="s">
        <v>44</v>
      </c>
      <c r="F71" s="133" t="s">
        <v>45</v>
      </c>
      <c r="G71" s="1532" t="s">
        <v>46</v>
      </c>
      <c r="H71" s="135" t="s">
        <v>13</v>
      </c>
      <c r="I71" s="136" t="s">
        <v>14</v>
      </c>
      <c r="J71" s="137" t="s">
        <v>15</v>
      </c>
      <c r="K71" s="136" t="s">
        <v>16</v>
      </c>
      <c r="L71" s="136" t="s">
        <v>17</v>
      </c>
      <c r="M71" s="138" t="s">
        <v>18</v>
      </c>
      <c r="N71" s="137" t="s">
        <v>19</v>
      </c>
      <c r="O71" s="139" t="s">
        <v>20</v>
      </c>
    </row>
    <row r="72" spans="1:20" ht="15" customHeight="1">
      <c r="A72" s="2550"/>
      <c r="B72" s="2025"/>
      <c r="C72" s="84">
        <v>2014</v>
      </c>
      <c r="D72" s="140"/>
      <c r="E72" s="140"/>
      <c r="F72" s="140"/>
      <c r="G72" s="141">
        <f>SUM(D72:F72)</f>
        <v>0</v>
      </c>
      <c r="H72" s="33"/>
      <c r="I72" s="142"/>
      <c r="J72" s="115"/>
      <c r="K72" s="115"/>
      <c r="L72" s="115"/>
      <c r="M72" s="115"/>
      <c r="N72" s="115"/>
      <c r="O72" s="143"/>
    </row>
    <row r="73" spans="1:20">
      <c r="A73" s="2551"/>
      <c r="B73" s="2025"/>
      <c r="C73" s="86">
        <v>2015</v>
      </c>
      <c r="D73" s="147"/>
      <c r="E73" s="147"/>
      <c r="F73" s="147"/>
      <c r="G73" s="141">
        <f t="shared" ref="G73:G78" si="5">SUM(D73:F73)</f>
        <v>0</v>
      </c>
      <c r="H73" s="50"/>
      <c r="I73" s="50"/>
      <c r="J73" s="42"/>
      <c r="K73" s="42"/>
      <c r="L73" s="42"/>
      <c r="M73" s="42"/>
      <c r="N73" s="42"/>
      <c r="O73" s="99"/>
    </row>
    <row r="74" spans="1:20">
      <c r="A74" s="2551"/>
      <c r="B74" s="2025"/>
      <c r="C74" s="86">
        <v>2016</v>
      </c>
      <c r="D74" s="147">
        <v>0</v>
      </c>
      <c r="E74" s="147">
        <v>0</v>
      </c>
      <c r="F74" s="147">
        <v>0</v>
      </c>
      <c r="G74" s="141">
        <f t="shared" si="5"/>
        <v>0</v>
      </c>
      <c r="H74" s="50"/>
      <c r="I74" s="50"/>
      <c r="J74" s="42"/>
      <c r="K74" s="42"/>
      <c r="L74" s="42"/>
      <c r="M74" s="42"/>
      <c r="N74" s="42"/>
      <c r="O74" s="99"/>
    </row>
    <row r="75" spans="1:20">
      <c r="A75" s="2551"/>
      <c r="B75" s="2025"/>
      <c r="C75" s="86">
        <v>2017</v>
      </c>
      <c r="D75" s="147"/>
      <c r="E75" s="147"/>
      <c r="F75" s="147"/>
      <c r="G75" s="141">
        <f t="shared" si="5"/>
        <v>0</v>
      </c>
      <c r="H75" s="50"/>
      <c r="I75" s="50"/>
      <c r="J75" s="42"/>
      <c r="K75" s="42"/>
      <c r="L75" s="42"/>
      <c r="M75" s="42"/>
      <c r="N75" s="42"/>
      <c r="O75" s="99"/>
    </row>
    <row r="76" spans="1:20">
      <c r="A76" s="2551"/>
      <c r="B76" s="2025"/>
      <c r="C76" s="86">
        <v>2018</v>
      </c>
      <c r="D76" s="147"/>
      <c r="E76" s="147"/>
      <c r="F76" s="147"/>
      <c r="G76" s="141">
        <f t="shared" si="5"/>
        <v>0</v>
      </c>
      <c r="H76" s="50"/>
      <c r="I76" s="50"/>
      <c r="J76" s="42"/>
      <c r="K76" s="42"/>
      <c r="L76" s="42"/>
      <c r="M76" s="42"/>
      <c r="N76" s="42"/>
      <c r="O76" s="99"/>
    </row>
    <row r="77" spans="1:20" ht="15.75" customHeight="1">
      <c r="A77" s="2551"/>
      <c r="B77" s="2025"/>
      <c r="C77" s="86">
        <v>2019</v>
      </c>
      <c r="D77" s="147"/>
      <c r="E77" s="147"/>
      <c r="F77" s="147"/>
      <c r="G77" s="141">
        <f t="shared" si="5"/>
        <v>0</v>
      </c>
      <c r="H77" s="50"/>
      <c r="I77" s="50"/>
      <c r="J77" s="42"/>
      <c r="K77" s="42"/>
      <c r="L77" s="42"/>
      <c r="M77" s="42"/>
      <c r="N77" s="42"/>
      <c r="O77" s="99"/>
    </row>
    <row r="78" spans="1:20" ht="17.25" customHeight="1">
      <c r="A78" s="2551"/>
      <c r="B78" s="2025"/>
      <c r="C78" s="86">
        <v>2020</v>
      </c>
      <c r="D78" s="147"/>
      <c r="E78" s="147"/>
      <c r="F78" s="147"/>
      <c r="G78" s="141">
        <f t="shared" si="5"/>
        <v>0</v>
      </c>
      <c r="H78" s="50"/>
      <c r="I78" s="50"/>
      <c r="J78" s="42"/>
      <c r="K78" s="42"/>
      <c r="L78" s="42"/>
      <c r="M78" s="42"/>
      <c r="N78" s="42"/>
      <c r="O78" s="99"/>
    </row>
    <row r="79" spans="1:20" ht="20.25" customHeight="1" thickBot="1">
      <c r="A79" s="2134"/>
      <c r="B79" s="2027"/>
      <c r="C79" s="148" t="s">
        <v>12</v>
      </c>
      <c r="D79" s="123">
        <f>SUM(D72:D78)</f>
        <v>0</v>
      </c>
      <c r="E79" s="123">
        <f>SUM(E72:E78)</f>
        <v>0</v>
      </c>
      <c r="F79" s="123">
        <f>SUM(F72:F78)</f>
        <v>0</v>
      </c>
      <c r="G79" s="149">
        <f>SUM(G72:G78)</f>
        <v>0</v>
      </c>
      <c r="H79" s="150">
        <v>0</v>
      </c>
      <c r="I79" s="151">
        <f t="shared" ref="I79:O79" si="6">SUM(I72:I78)</f>
        <v>0</v>
      </c>
      <c r="J79" s="125">
        <f t="shared" si="6"/>
        <v>0</v>
      </c>
      <c r="K79" s="125">
        <f t="shared" si="6"/>
        <v>0</v>
      </c>
      <c r="L79" s="125">
        <f t="shared" si="6"/>
        <v>0</v>
      </c>
      <c r="M79" s="125">
        <f t="shared" si="6"/>
        <v>0</v>
      </c>
      <c r="N79" s="125">
        <f t="shared" si="6"/>
        <v>0</v>
      </c>
      <c r="O79" s="126">
        <f t="shared" si="6"/>
        <v>0</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1536" t="s">
        <v>49</v>
      </c>
      <c r="B84" s="1537" t="s">
        <v>50</v>
      </c>
      <c r="C84" s="161" t="s">
        <v>8</v>
      </c>
      <c r="D84" s="1538" t="s">
        <v>51</v>
      </c>
      <c r="E84" s="163" t="s">
        <v>52</v>
      </c>
      <c r="F84" s="164" t="s">
        <v>53</v>
      </c>
      <c r="G84" s="164" t="s">
        <v>54</v>
      </c>
      <c r="H84" s="164" t="s">
        <v>55</v>
      </c>
      <c r="I84" s="164" t="s">
        <v>56</v>
      </c>
      <c r="J84" s="164" t="s">
        <v>57</v>
      </c>
      <c r="K84" s="165" t="s">
        <v>58</v>
      </c>
    </row>
    <row r="85" spans="1:16" ht="15" customHeight="1">
      <c r="A85" s="2554"/>
      <c r="B85" s="2025"/>
      <c r="C85" s="84">
        <v>2014</v>
      </c>
      <c r="D85" s="166"/>
      <c r="E85" s="167"/>
      <c r="F85" s="34"/>
      <c r="G85" s="34"/>
      <c r="H85" s="34"/>
      <c r="I85" s="34"/>
      <c r="J85" s="34"/>
      <c r="K85" s="37"/>
    </row>
    <row r="86" spans="1:16">
      <c r="A86" s="2555"/>
      <c r="B86" s="2025"/>
      <c r="C86" s="86">
        <v>2015</v>
      </c>
      <c r="D86" s="168"/>
      <c r="E86" s="118"/>
      <c r="F86" s="42"/>
      <c r="G86" s="42"/>
      <c r="H86" s="42"/>
      <c r="I86" s="42"/>
      <c r="J86" s="42"/>
      <c r="K86" s="99"/>
    </row>
    <row r="87" spans="1:16">
      <c r="A87" s="2555"/>
      <c r="B87" s="2025"/>
      <c r="C87" s="86">
        <v>2016</v>
      </c>
      <c r="D87" s="168"/>
      <c r="E87" s="118"/>
      <c r="F87" s="42"/>
      <c r="G87" s="42"/>
      <c r="H87" s="42"/>
      <c r="I87" s="42"/>
      <c r="J87" s="42"/>
      <c r="K87" s="99"/>
    </row>
    <row r="88" spans="1:16">
      <c r="A88" s="2555"/>
      <c r="B88" s="2025"/>
      <c r="C88" s="86">
        <v>2017</v>
      </c>
      <c r="D88" s="168"/>
      <c r="E88" s="118"/>
      <c r="F88" s="42"/>
      <c r="G88" s="42"/>
      <c r="H88" s="42"/>
      <c r="I88" s="42"/>
      <c r="J88" s="42"/>
      <c r="K88" s="99"/>
    </row>
    <row r="89" spans="1:16">
      <c r="A89" s="2555"/>
      <c r="B89" s="2025"/>
      <c r="C89" s="86">
        <v>2018</v>
      </c>
      <c r="D89" s="168"/>
      <c r="E89" s="118"/>
      <c r="F89" s="42"/>
      <c r="G89" s="42"/>
      <c r="H89" s="42"/>
      <c r="I89" s="42"/>
      <c r="J89" s="42"/>
      <c r="K89" s="99"/>
    </row>
    <row r="90" spans="1:16">
      <c r="A90" s="2555"/>
      <c r="B90" s="2025"/>
      <c r="C90" s="86">
        <v>2019</v>
      </c>
      <c r="D90" s="168"/>
      <c r="E90" s="118"/>
      <c r="F90" s="42"/>
      <c r="G90" s="42"/>
      <c r="H90" s="42"/>
      <c r="I90" s="42"/>
      <c r="J90" s="42"/>
      <c r="K90" s="99"/>
    </row>
    <row r="91" spans="1:16">
      <c r="A91" s="2555"/>
      <c r="B91" s="2025"/>
      <c r="C91" s="86">
        <v>2020</v>
      </c>
      <c r="D91" s="168"/>
      <c r="E91" s="118"/>
      <c r="F91" s="42"/>
      <c r="G91" s="42"/>
      <c r="H91" s="42"/>
      <c r="I91" s="42"/>
      <c r="J91" s="42"/>
      <c r="K91" s="99"/>
    </row>
    <row r="92" spans="1:16" ht="18" customHeight="1" thickBot="1">
      <c r="A92" s="2073"/>
      <c r="B92" s="2027"/>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737" t="s">
        <v>60</v>
      </c>
      <c r="B96" s="2738" t="s">
        <v>61</v>
      </c>
      <c r="C96" s="2734" t="s">
        <v>8</v>
      </c>
      <c r="D96" s="2735" t="s">
        <v>62</v>
      </c>
      <c r="E96" s="2736"/>
      <c r="F96" s="1539" t="s">
        <v>63</v>
      </c>
      <c r="G96" s="1484"/>
      <c r="H96" s="1484"/>
      <c r="I96" s="1484"/>
      <c r="J96" s="1484"/>
      <c r="K96" s="1484"/>
      <c r="L96" s="1484"/>
      <c r="M96" s="1540"/>
      <c r="N96" s="177"/>
      <c r="O96" s="177"/>
      <c r="P96" s="177"/>
    </row>
    <row r="97" spans="1:16" ht="100.5" customHeight="1">
      <c r="A97" s="2765"/>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552"/>
      <c r="B98" s="2025"/>
      <c r="C98" s="112">
        <v>2014</v>
      </c>
      <c r="D98" s="33"/>
      <c r="E98" s="34"/>
      <c r="F98" s="186"/>
      <c r="G98" s="187"/>
      <c r="H98" s="187"/>
      <c r="I98" s="187"/>
      <c r="J98" s="187"/>
      <c r="K98" s="187"/>
      <c r="L98" s="187"/>
      <c r="M98" s="188"/>
      <c r="N98" s="177"/>
      <c r="O98" s="177"/>
      <c r="P98" s="177"/>
    </row>
    <row r="99" spans="1:16" ht="16.5" customHeight="1">
      <c r="A99" s="2553"/>
      <c r="B99" s="2025"/>
      <c r="C99" s="116">
        <v>2015</v>
      </c>
      <c r="D99" s="50"/>
      <c r="E99" s="42"/>
      <c r="F99" s="189"/>
      <c r="G99" s="190"/>
      <c r="H99" s="190"/>
      <c r="I99" s="190"/>
      <c r="J99" s="190"/>
      <c r="K99" s="190"/>
      <c r="L99" s="190"/>
      <c r="M99" s="193"/>
      <c r="N99" s="177"/>
      <c r="O99" s="177"/>
      <c r="P99" s="177"/>
    </row>
    <row r="100" spans="1:16" ht="16.5" customHeight="1">
      <c r="A100" s="2553"/>
      <c r="B100" s="2025"/>
      <c r="C100" s="116">
        <v>2016</v>
      </c>
      <c r="D100" s="50"/>
      <c r="E100" s="42"/>
      <c r="F100" s="189"/>
      <c r="G100" s="190"/>
      <c r="H100" s="190"/>
      <c r="I100" s="190"/>
      <c r="J100" s="190"/>
      <c r="K100" s="190"/>
      <c r="L100" s="190"/>
      <c r="M100" s="193"/>
      <c r="N100" s="177"/>
      <c r="O100" s="177"/>
      <c r="P100" s="177"/>
    </row>
    <row r="101" spans="1:16" ht="16.5" customHeight="1">
      <c r="A101" s="2553"/>
      <c r="B101" s="2025"/>
      <c r="C101" s="116">
        <v>2017</v>
      </c>
      <c r="D101" s="50"/>
      <c r="E101" s="42"/>
      <c r="F101" s="189"/>
      <c r="G101" s="190"/>
      <c r="H101" s="190"/>
      <c r="I101" s="190"/>
      <c r="J101" s="190"/>
      <c r="K101" s="190"/>
      <c r="L101" s="190"/>
      <c r="M101" s="193"/>
      <c r="N101" s="177"/>
      <c r="O101" s="177"/>
      <c r="P101" s="177"/>
    </row>
    <row r="102" spans="1:16" ht="15.75" customHeight="1">
      <c r="A102" s="2553"/>
      <c r="B102" s="2025"/>
      <c r="C102" s="116">
        <v>2018</v>
      </c>
      <c r="D102" s="50"/>
      <c r="E102" s="42"/>
      <c r="F102" s="189"/>
      <c r="G102" s="190"/>
      <c r="H102" s="190"/>
      <c r="I102" s="190"/>
      <c r="J102" s="190"/>
      <c r="K102" s="190"/>
      <c r="L102" s="190"/>
      <c r="M102" s="193"/>
      <c r="N102" s="177"/>
      <c r="O102" s="177"/>
      <c r="P102" s="177"/>
    </row>
    <row r="103" spans="1:16" ht="14.25" customHeight="1">
      <c r="A103" s="2553"/>
      <c r="B103" s="2025"/>
      <c r="C103" s="116">
        <v>2019</v>
      </c>
      <c r="D103" s="50"/>
      <c r="E103" s="42"/>
      <c r="F103" s="189"/>
      <c r="G103" s="190"/>
      <c r="H103" s="190"/>
      <c r="I103" s="190"/>
      <c r="J103" s="190"/>
      <c r="K103" s="190"/>
      <c r="L103" s="190"/>
      <c r="M103" s="193"/>
      <c r="N103" s="177"/>
      <c r="O103" s="177"/>
      <c r="P103" s="177"/>
    </row>
    <row r="104" spans="1:16" ht="14.25" customHeight="1">
      <c r="A104" s="2553"/>
      <c r="B104" s="2025"/>
      <c r="C104" s="116">
        <v>2020</v>
      </c>
      <c r="D104" s="50"/>
      <c r="E104" s="42"/>
      <c r="F104" s="189"/>
      <c r="G104" s="190"/>
      <c r="H104" s="190"/>
      <c r="I104" s="190"/>
      <c r="J104" s="190"/>
      <c r="K104" s="190"/>
      <c r="L104" s="190"/>
      <c r="M104" s="193"/>
      <c r="N104" s="177"/>
      <c r="O104" s="177"/>
      <c r="P104" s="177"/>
    </row>
    <row r="105" spans="1:16" ht="19.5" customHeight="1" thickBot="1">
      <c r="A105" s="2046"/>
      <c r="B105" s="2027"/>
      <c r="C105" s="122" t="s">
        <v>12</v>
      </c>
      <c r="D105" s="151">
        <f>SUM(D98:D104)</f>
        <v>0</v>
      </c>
      <c r="E105" s="125">
        <f t="shared" ref="E105:K105" si="8">SUM(E98:E104)</f>
        <v>0</v>
      </c>
      <c r="F105" s="194">
        <f t="shared" si="8"/>
        <v>0</v>
      </c>
      <c r="G105" s="195">
        <f t="shared" si="8"/>
        <v>0</v>
      </c>
      <c r="H105" s="195">
        <f t="shared" si="8"/>
        <v>0</v>
      </c>
      <c r="I105" s="195">
        <f>SUM(I98:I104)</f>
        <v>0</v>
      </c>
      <c r="J105" s="195">
        <f t="shared" si="8"/>
        <v>0</v>
      </c>
      <c r="K105" s="195">
        <f t="shared" si="8"/>
        <v>0</v>
      </c>
      <c r="L105" s="195">
        <f>SUM(L98:L104)</f>
        <v>0</v>
      </c>
      <c r="M105" s="196">
        <f>SUM(M98:M104)</f>
        <v>0</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737" t="s">
        <v>69</v>
      </c>
      <c r="B107" s="2738" t="s">
        <v>61</v>
      </c>
      <c r="C107" s="2734" t="s">
        <v>8</v>
      </c>
      <c r="D107" s="2670" t="s">
        <v>70</v>
      </c>
      <c r="E107" s="1539" t="s">
        <v>71</v>
      </c>
      <c r="F107" s="1484"/>
      <c r="G107" s="1484"/>
      <c r="H107" s="1484"/>
      <c r="I107" s="1484"/>
      <c r="J107" s="1484"/>
      <c r="K107" s="1484"/>
      <c r="L107" s="1540"/>
      <c r="M107" s="199"/>
      <c r="N107" s="199"/>
    </row>
    <row r="108" spans="1:16" ht="103.5" customHeight="1">
      <c r="A108" s="2765"/>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552"/>
      <c r="B109" s="2025"/>
      <c r="C109" s="112">
        <v>2014</v>
      </c>
      <c r="D109" s="34"/>
      <c r="E109" s="186"/>
      <c r="F109" s="187"/>
      <c r="G109" s="187"/>
      <c r="H109" s="187"/>
      <c r="I109" s="187"/>
      <c r="J109" s="187"/>
      <c r="K109" s="187"/>
      <c r="L109" s="188"/>
      <c r="M109" s="199"/>
      <c r="N109" s="199"/>
    </row>
    <row r="110" spans="1:16">
      <c r="A110" s="2553"/>
      <c r="B110" s="2025"/>
      <c r="C110" s="116">
        <v>2015</v>
      </c>
      <c r="D110" s="42"/>
      <c r="E110" s="189"/>
      <c r="F110" s="190"/>
      <c r="G110" s="190"/>
      <c r="H110" s="190"/>
      <c r="I110" s="190"/>
      <c r="J110" s="190"/>
      <c r="K110" s="190"/>
      <c r="L110" s="193"/>
      <c r="M110" s="199"/>
      <c r="N110" s="199"/>
    </row>
    <row r="111" spans="1:16">
      <c r="A111" s="2553"/>
      <c r="B111" s="2025"/>
      <c r="C111" s="116">
        <v>2016</v>
      </c>
      <c r="D111" s="42"/>
      <c r="E111" s="189"/>
      <c r="F111" s="190"/>
      <c r="G111" s="190"/>
      <c r="H111" s="190"/>
      <c r="I111" s="190"/>
      <c r="J111" s="190"/>
      <c r="K111" s="190"/>
      <c r="L111" s="193"/>
      <c r="M111" s="199"/>
      <c r="N111" s="199"/>
    </row>
    <row r="112" spans="1:16">
      <c r="A112" s="2553"/>
      <c r="B112" s="2025"/>
      <c r="C112" s="116">
        <v>2017</v>
      </c>
      <c r="D112" s="42"/>
      <c r="E112" s="189"/>
      <c r="F112" s="190"/>
      <c r="G112" s="190"/>
      <c r="H112" s="190"/>
      <c r="I112" s="190"/>
      <c r="J112" s="190"/>
      <c r="K112" s="190"/>
      <c r="L112" s="193"/>
      <c r="M112" s="199"/>
      <c r="N112" s="199"/>
    </row>
    <row r="113" spans="1:14">
      <c r="A113" s="2553"/>
      <c r="B113" s="2025"/>
      <c r="C113" s="116">
        <v>2018</v>
      </c>
      <c r="D113" s="42"/>
      <c r="E113" s="189"/>
      <c r="F113" s="190"/>
      <c r="G113" s="190"/>
      <c r="H113" s="190"/>
      <c r="I113" s="190"/>
      <c r="J113" s="190"/>
      <c r="K113" s="190"/>
      <c r="L113" s="193"/>
      <c r="M113" s="199"/>
      <c r="N113" s="199"/>
    </row>
    <row r="114" spans="1:14">
      <c r="A114" s="2553"/>
      <c r="B114" s="2025"/>
      <c r="C114" s="116">
        <v>2019</v>
      </c>
      <c r="D114" s="42"/>
      <c r="E114" s="189"/>
      <c r="F114" s="190"/>
      <c r="G114" s="190"/>
      <c r="H114" s="190"/>
      <c r="I114" s="190"/>
      <c r="J114" s="190"/>
      <c r="K114" s="190"/>
      <c r="L114" s="193"/>
      <c r="M114" s="199"/>
      <c r="N114" s="199"/>
    </row>
    <row r="115" spans="1:14">
      <c r="A115" s="2553"/>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737" t="s">
        <v>72</v>
      </c>
      <c r="B118" s="2738" t="s">
        <v>61</v>
      </c>
      <c r="C118" s="2734" t="s">
        <v>8</v>
      </c>
      <c r="D118" s="2670" t="s">
        <v>73</v>
      </c>
      <c r="E118" s="1539" t="s">
        <v>71</v>
      </c>
      <c r="F118" s="1484"/>
      <c r="G118" s="1484"/>
      <c r="H118" s="1484"/>
      <c r="I118" s="1484"/>
      <c r="J118" s="1484"/>
      <c r="K118" s="1484"/>
      <c r="L118" s="1540"/>
      <c r="M118" s="199"/>
      <c r="N118" s="199"/>
    </row>
    <row r="119" spans="1:14" ht="120.75" customHeight="1">
      <c r="A119" s="2765"/>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552"/>
      <c r="B120" s="2025"/>
      <c r="C120" s="112">
        <v>2014</v>
      </c>
      <c r="D120" s="34"/>
      <c r="E120" s="186"/>
      <c r="F120" s="187"/>
      <c r="G120" s="187"/>
      <c r="H120" s="187"/>
      <c r="I120" s="187"/>
      <c r="J120" s="187"/>
      <c r="K120" s="187"/>
      <c r="L120" s="188"/>
      <c r="M120" s="199"/>
      <c r="N120" s="199"/>
    </row>
    <row r="121" spans="1:14">
      <c r="A121" s="2553"/>
      <c r="B121" s="2025"/>
      <c r="C121" s="116">
        <v>2015</v>
      </c>
      <c r="D121" s="42"/>
      <c r="E121" s="189"/>
      <c r="F121" s="190"/>
      <c r="G121" s="190"/>
      <c r="H121" s="190"/>
      <c r="I121" s="190"/>
      <c r="J121" s="190"/>
      <c r="K121" s="190"/>
      <c r="L121" s="193"/>
      <c r="M121" s="199"/>
      <c r="N121" s="199"/>
    </row>
    <row r="122" spans="1:14">
      <c r="A122" s="2553"/>
      <c r="B122" s="2025"/>
      <c r="C122" s="116">
        <v>2016</v>
      </c>
      <c r="D122" s="42"/>
      <c r="E122" s="189"/>
      <c r="F122" s="190"/>
      <c r="G122" s="190"/>
      <c r="H122" s="190"/>
      <c r="I122" s="190"/>
      <c r="J122" s="190"/>
      <c r="K122" s="190"/>
      <c r="L122" s="193"/>
      <c r="M122" s="199"/>
      <c r="N122" s="199"/>
    </row>
    <row r="123" spans="1:14">
      <c r="A123" s="2553"/>
      <c r="B123" s="2025"/>
      <c r="C123" s="116">
        <v>2017</v>
      </c>
      <c r="D123" s="42"/>
      <c r="E123" s="189"/>
      <c r="F123" s="190"/>
      <c r="G123" s="190"/>
      <c r="H123" s="190"/>
      <c r="I123" s="190"/>
      <c r="J123" s="190"/>
      <c r="K123" s="190"/>
      <c r="L123" s="193"/>
      <c r="M123" s="199"/>
      <c r="N123" s="199"/>
    </row>
    <row r="124" spans="1:14">
      <c r="A124" s="2553"/>
      <c r="B124" s="2025"/>
      <c r="C124" s="116">
        <v>2018</v>
      </c>
      <c r="D124" s="42"/>
      <c r="E124" s="189"/>
      <c r="F124" s="190"/>
      <c r="G124" s="190"/>
      <c r="H124" s="190"/>
      <c r="I124" s="190"/>
      <c r="J124" s="190"/>
      <c r="K124" s="190"/>
      <c r="L124" s="193"/>
      <c r="M124" s="199"/>
      <c r="N124" s="199"/>
    </row>
    <row r="125" spans="1:14">
      <c r="A125" s="2553"/>
      <c r="B125" s="2025"/>
      <c r="C125" s="116">
        <v>2019</v>
      </c>
      <c r="D125" s="42"/>
      <c r="E125" s="189"/>
      <c r="F125" s="190"/>
      <c r="G125" s="190"/>
      <c r="H125" s="190"/>
      <c r="I125" s="190"/>
      <c r="J125" s="190"/>
      <c r="K125" s="190"/>
      <c r="L125" s="193"/>
      <c r="M125" s="199"/>
      <c r="N125" s="199"/>
    </row>
    <row r="126" spans="1:14">
      <c r="A126" s="2553"/>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737" t="s">
        <v>74</v>
      </c>
      <c r="B129" s="2738" t="s">
        <v>61</v>
      </c>
      <c r="C129" s="1541" t="s">
        <v>8</v>
      </c>
      <c r="D129" s="1542" t="s">
        <v>75</v>
      </c>
      <c r="E129" s="1486"/>
      <c r="F129" s="1486"/>
      <c r="G129" s="1543"/>
      <c r="H129" s="199"/>
      <c r="I129" s="199"/>
      <c r="J129" s="199"/>
      <c r="K129" s="199"/>
      <c r="L129" s="199"/>
      <c r="M129" s="199"/>
      <c r="N129" s="199"/>
    </row>
    <row r="130" spans="1:16" ht="77.25" customHeight="1">
      <c r="A130" s="2765"/>
      <c r="B130" s="2043"/>
      <c r="C130" s="1472"/>
      <c r="D130" s="178" t="s">
        <v>76</v>
      </c>
      <c r="E130" s="207" t="s">
        <v>77</v>
      </c>
      <c r="F130" s="179" t="s">
        <v>78</v>
      </c>
      <c r="G130" s="208" t="s">
        <v>12</v>
      </c>
      <c r="H130" s="199"/>
      <c r="I130" s="199"/>
      <c r="J130" s="199"/>
      <c r="K130" s="199"/>
      <c r="L130" s="199"/>
      <c r="M130" s="199"/>
      <c r="N130" s="199"/>
    </row>
    <row r="131" spans="1:16" ht="15" customHeight="1">
      <c r="A131" s="2550"/>
      <c r="B131" s="1988"/>
      <c r="C131" s="340">
        <v>2015</v>
      </c>
      <c r="D131" s="557"/>
      <c r="E131" s="342"/>
      <c r="F131" s="342"/>
      <c r="G131" s="209">
        <f t="shared" ref="G131:G136" si="11">SUM(D131:F131)</f>
        <v>0</v>
      </c>
      <c r="H131" s="199"/>
      <c r="I131" s="199"/>
      <c r="J131" s="199"/>
      <c r="K131" s="199"/>
      <c r="L131" s="199"/>
      <c r="M131" s="199"/>
      <c r="N131" s="199"/>
    </row>
    <row r="132" spans="1:16">
      <c r="A132" s="2551"/>
      <c r="B132" s="1988"/>
      <c r="C132" s="116">
        <v>2016</v>
      </c>
      <c r="D132" s="50"/>
      <c r="E132" s="42"/>
      <c r="F132" s="42"/>
      <c r="G132" s="209">
        <f t="shared" si="11"/>
        <v>0</v>
      </c>
      <c r="H132" s="199"/>
      <c r="I132" s="199"/>
      <c r="J132" s="199"/>
      <c r="K132" s="199"/>
      <c r="L132" s="199"/>
      <c r="M132" s="199"/>
      <c r="N132" s="199"/>
    </row>
    <row r="133" spans="1:16">
      <c r="A133" s="2551"/>
      <c r="B133" s="1988"/>
      <c r="C133" s="116">
        <v>2017</v>
      </c>
      <c r="D133" s="50"/>
      <c r="E133" s="42"/>
      <c r="F133" s="42"/>
      <c r="G133" s="209">
        <f t="shared" si="11"/>
        <v>0</v>
      </c>
      <c r="H133" s="199"/>
      <c r="I133" s="199"/>
      <c r="J133" s="199"/>
      <c r="K133" s="199"/>
      <c r="L133" s="199"/>
      <c r="M133" s="199"/>
      <c r="N133" s="199"/>
    </row>
    <row r="134" spans="1:16">
      <c r="A134" s="2551"/>
      <c r="B134" s="1988"/>
      <c r="C134" s="116">
        <v>2018</v>
      </c>
      <c r="D134" s="50"/>
      <c r="E134" s="42"/>
      <c r="F134" s="42"/>
      <c r="G134" s="209">
        <f t="shared" si="11"/>
        <v>0</v>
      </c>
      <c r="H134" s="199"/>
      <c r="I134" s="199"/>
      <c r="J134" s="199"/>
      <c r="K134" s="199"/>
      <c r="L134" s="199"/>
      <c r="M134" s="199"/>
      <c r="N134" s="199"/>
    </row>
    <row r="135" spans="1:16">
      <c r="A135" s="2551"/>
      <c r="B135" s="1988"/>
      <c r="C135" s="116">
        <v>2019</v>
      </c>
      <c r="D135" s="50"/>
      <c r="E135" s="42"/>
      <c r="F135" s="42"/>
      <c r="G135" s="209">
        <f t="shared" si="11"/>
        <v>0</v>
      </c>
      <c r="H135" s="199"/>
      <c r="I135" s="199"/>
      <c r="J135" s="199"/>
      <c r="K135" s="199"/>
      <c r="L135" s="199"/>
      <c r="M135" s="199"/>
      <c r="N135" s="199"/>
    </row>
    <row r="136" spans="1:16">
      <c r="A136" s="2551"/>
      <c r="B136" s="1988"/>
      <c r="C136" s="116">
        <v>2020</v>
      </c>
      <c r="D136" s="50"/>
      <c r="E136" s="42"/>
      <c r="F136" s="42"/>
      <c r="G136" s="209">
        <f t="shared" si="11"/>
        <v>0</v>
      </c>
      <c r="H136" s="199"/>
      <c r="I136" s="199"/>
      <c r="J136" s="199"/>
      <c r="K136" s="199"/>
      <c r="L136" s="199"/>
      <c r="M136" s="199"/>
      <c r="N136" s="199"/>
    </row>
    <row r="137" spans="1:16" ht="17.25" customHeight="1" thickBot="1">
      <c r="A137" s="1989"/>
      <c r="B137" s="1990"/>
      <c r="C137" s="122" t="s">
        <v>12</v>
      </c>
      <c r="D137" s="151">
        <f>SUM(D131:D136)</f>
        <v>0</v>
      </c>
      <c r="E137" s="151">
        <f t="shared" ref="E137:F137" si="12">SUM(E131:E136)</f>
        <v>0</v>
      </c>
      <c r="F137" s="151">
        <f t="shared" si="12"/>
        <v>0</v>
      </c>
      <c r="G137" s="210">
        <f>SUM(G131:G136)</f>
        <v>0</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739" t="s">
        <v>80</v>
      </c>
      <c r="B142" s="2740" t="s">
        <v>61</v>
      </c>
      <c r="C142" s="2746" t="s">
        <v>8</v>
      </c>
      <c r="D142" s="1544" t="s">
        <v>81</v>
      </c>
      <c r="E142" s="1545"/>
      <c r="F142" s="1545"/>
      <c r="G142" s="1545"/>
      <c r="H142" s="1545"/>
      <c r="I142" s="1546"/>
      <c r="J142" s="2741" t="s">
        <v>82</v>
      </c>
      <c r="K142" s="2742"/>
      <c r="L142" s="2742"/>
      <c r="M142" s="2742"/>
      <c r="N142" s="2743"/>
      <c r="O142" s="177"/>
      <c r="P142" s="177"/>
    </row>
    <row r="143" spans="1:16" ht="113.25" customHeight="1">
      <c r="A143" s="2766"/>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552"/>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553"/>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553"/>
      <c r="B146" s="2025"/>
      <c r="C146" s="116">
        <v>2016</v>
      </c>
      <c r="D146" s="50"/>
      <c r="E146" s="50"/>
      <c r="F146" s="42"/>
      <c r="G146" s="190"/>
      <c r="H146" s="190"/>
      <c r="I146" s="227">
        <f t="shared" si="13"/>
        <v>0</v>
      </c>
      <c r="J146" s="231"/>
      <c r="K146" s="232"/>
      <c r="L146" s="231"/>
      <c r="M146" s="232"/>
      <c r="N146" s="233"/>
      <c r="O146" s="177"/>
      <c r="P146" s="177"/>
    </row>
    <row r="147" spans="1:16" ht="17.25" customHeight="1">
      <c r="A147" s="2553"/>
      <c r="B147" s="2025"/>
      <c r="C147" s="116">
        <v>2017</v>
      </c>
      <c r="D147" s="50"/>
      <c r="E147" s="50"/>
      <c r="F147" s="42"/>
      <c r="G147" s="190"/>
      <c r="H147" s="190"/>
      <c r="I147" s="227">
        <f t="shared" si="13"/>
        <v>0</v>
      </c>
      <c r="J147" s="231"/>
      <c r="K147" s="232"/>
      <c r="L147" s="231"/>
      <c r="M147" s="232"/>
      <c r="N147" s="233"/>
      <c r="O147" s="177"/>
      <c r="P147" s="177"/>
    </row>
    <row r="148" spans="1:16" ht="19.5" customHeight="1">
      <c r="A148" s="2553"/>
      <c r="B148" s="2025"/>
      <c r="C148" s="116">
        <v>2018</v>
      </c>
      <c r="D148" s="50"/>
      <c r="E148" s="50"/>
      <c r="F148" s="42"/>
      <c r="G148" s="190"/>
      <c r="H148" s="190"/>
      <c r="I148" s="227">
        <f t="shared" si="13"/>
        <v>0</v>
      </c>
      <c r="J148" s="231"/>
      <c r="K148" s="232"/>
      <c r="L148" s="231"/>
      <c r="M148" s="232"/>
      <c r="N148" s="233"/>
      <c r="O148" s="177"/>
      <c r="P148" s="177"/>
    </row>
    <row r="149" spans="1:16" ht="19.5" customHeight="1">
      <c r="A149" s="2553"/>
      <c r="B149" s="2025"/>
      <c r="C149" s="116">
        <v>2019</v>
      </c>
      <c r="D149" s="50"/>
      <c r="E149" s="50"/>
      <c r="F149" s="42"/>
      <c r="G149" s="190"/>
      <c r="H149" s="190"/>
      <c r="I149" s="227">
        <f t="shared" si="13"/>
        <v>0</v>
      </c>
      <c r="J149" s="231"/>
      <c r="K149" s="232"/>
      <c r="L149" s="231"/>
      <c r="M149" s="232"/>
      <c r="N149" s="233"/>
      <c r="O149" s="177"/>
      <c r="P149" s="177"/>
    </row>
    <row r="150" spans="1:16" ht="18.75" customHeight="1">
      <c r="A150" s="2553"/>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744" t="s">
        <v>93</v>
      </c>
      <c r="B153" s="2740" t="s">
        <v>61</v>
      </c>
      <c r="C153" s="2745" t="s">
        <v>8</v>
      </c>
      <c r="D153" s="1490" t="s">
        <v>94</v>
      </c>
      <c r="E153" s="1490"/>
      <c r="F153" s="1547"/>
      <c r="G153" s="1547"/>
      <c r="H153" s="1490" t="s">
        <v>95</v>
      </c>
      <c r="I153" s="1490"/>
      <c r="J153" s="1548"/>
      <c r="K153" s="31"/>
      <c r="L153" s="31"/>
      <c r="M153" s="31"/>
      <c r="N153" s="31"/>
      <c r="O153" s="177"/>
      <c r="P153" s="177"/>
    </row>
    <row r="154" spans="1:16" ht="49.5" customHeight="1">
      <c r="A154" s="2556"/>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552"/>
      <c r="B155" s="2025"/>
      <c r="C155" s="247">
        <v>2014</v>
      </c>
      <c r="D155" s="228"/>
      <c r="E155" s="187"/>
      <c r="F155" s="229"/>
      <c r="G155" s="227">
        <f>SUM(D155:F155)</f>
        <v>0</v>
      </c>
      <c r="H155" s="228"/>
      <c r="I155" s="187"/>
      <c r="J155" s="188"/>
      <c r="O155" s="177"/>
      <c r="P155" s="177"/>
    </row>
    <row r="156" spans="1:16" ht="19.5" customHeight="1">
      <c r="A156" s="2553"/>
      <c r="B156" s="2025"/>
      <c r="C156" s="248">
        <v>2015</v>
      </c>
      <c r="D156" s="231"/>
      <c r="E156" s="190"/>
      <c r="F156" s="232"/>
      <c r="G156" s="227">
        <f t="shared" ref="G156:G161" si="15">SUM(D156:F156)</f>
        <v>0</v>
      </c>
      <c r="H156" s="231"/>
      <c r="I156" s="190"/>
      <c r="J156" s="193"/>
      <c r="O156" s="177"/>
      <c r="P156" s="177"/>
    </row>
    <row r="157" spans="1:16" ht="17.25" customHeight="1">
      <c r="A157" s="2553"/>
      <c r="B157" s="2025"/>
      <c r="C157" s="248">
        <v>2016</v>
      </c>
      <c r="D157" s="231"/>
      <c r="E157" s="190"/>
      <c r="F157" s="232"/>
      <c r="G157" s="227">
        <f t="shared" si="15"/>
        <v>0</v>
      </c>
      <c r="H157" s="231"/>
      <c r="I157" s="190"/>
      <c r="J157" s="193"/>
      <c r="O157" s="177"/>
      <c r="P157" s="177"/>
    </row>
    <row r="158" spans="1:16" ht="15" customHeight="1">
      <c r="A158" s="2553"/>
      <c r="B158" s="2025"/>
      <c r="C158" s="248">
        <v>2017</v>
      </c>
      <c r="D158" s="231"/>
      <c r="E158" s="190"/>
      <c r="F158" s="232"/>
      <c r="G158" s="227">
        <f t="shared" si="15"/>
        <v>0</v>
      </c>
      <c r="H158" s="231"/>
      <c r="I158" s="190"/>
      <c r="J158" s="193"/>
      <c r="O158" s="177"/>
      <c r="P158" s="177"/>
    </row>
    <row r="159" spans="1:16" ht="19.5" customHeight="1">
      <c r="A159" s="2553"/>
      <c r="B159" s="2025"/>
      <c r="C159" s="248">
        <v>2018</v>
      </c>
      <c r="D159" s="231"/>
      <c r="E159" s="190"/>
      <c r="F159" s="232"/>
      <c r="G159" s="227">
        <f t="shared" si="15"/>
        <v>0</v>
      </c>
      <c r="H159" s="231"/>
      <c r="I159" s="190"/>
      <c r="J159" s="193"/>
      <c r="O159" s="177"/>
      <c r="P159" s="177"/>
    </row>
    <row r="160" spans="1:16" ht="15" customHeight="1">
      <c r="A160" s="2553"/>
      <c r="B160" s="2025"/>
      <c r="C160" s="248">
        <v>2019</v>
      </c>
      <c r="D160" s="231"/>
      <c r="E160" s="190"/>
      <c r="F160" s="232"/>
      <c r="G160" s="227">
        <f t="shared" si="15"/>
        <v>0</v>
      </c>
      <c r="H160" s="231"/>
      <c r="I160" s="190"/>
      <c r="J160" s="193"/>
      <c r="O160" s="177"/>
      <c r="P160" s="177"/>
    </row>
    <row r="161" spans="1:18" ht="17.25" customHeight="1">
      <c r="A161" s="2553"/>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1491"/>
      <c r="F163" s="177"/>
      <c r="G163" s="177"/>
      <c r="H163" s="177"/>
      <c r="I163" s="177"/>
      <c r="J163" s="255"/>
      <c r="K163" s="256"/>
    </row>
    <row r="164" spans="1:18" ht="95.25" customHeight="1">
      <c r="A164" s="1549" t="s">
        <v>102</v>
      </c>
      <c r="B164" s="258" t="s">
        <v>103</v>
      </c>
      <c r="C164" s="1447" t="s">
        <v>8</v>
      </c>
      <c r="D164" s="260" t="s">
        <v>104</v>
      </c>
      <c r="E164" s="260" t="s">
        <v>105</v>
      </c>
      <c r="F164" s="1492" t="s">
        <v>106</v>
      </c>
      <c r="G164" s="260" t="s">
        <v>107</v>
      </c>
      <c r="H164" s="260" t="s">
        <v>108</v>
      </c>
      <c r="I164" s="262" t="s">
        <v>109</v>
      </c>
      <c r="J164" s="1550" t="s">
        <v>110</v>
      </c>
      <c r="K164" s="1550" t="s">
        <v>111</v>
      </c>
      <c r="L164" s="1371"/>
    </row>
    <row r="165" spans="1:18" ht="15.75" customHeight="1">
      <c r="A165" s="2011"/>
      <c r="B165" s="2012"/>
      <c r="C165" s="265">
        <v>2014</v>
      </c>
      <c r="D165" s="187"/>
      <c r="E165" s="187"/>
      <c r="F165" s="187"/>
      <c r="G165" s="187"/>
      <c r="H165" s="187"/>
      <c r="I165" s="188"/>
      <c r="J165" s="1565">
        <f>SUM(D165,F165,H165)</f>
        <v>0</v>
      </c>
      <c r="K165" s="267">
        <f>SUM(E165,G165,I165)</f>
        <v>0</v>
      </c>
      <c r="L165" s="1371"/>
    </row>
    <row r="166" spans="1:18">
      <c r="A166" s="2013"/>
      <c r="B166" s="2014"/>
      <c r="C166" s="268">
        <v>2015</v>
      </c>
      <c r="D166" s="269"/>
      <c r="E166" s="269"/>
      <c r="F166" s="269"/>
      <c r="G166" s="269"/>
      <c r="H166" s="269"/>
      <c r="I166" s="270"/>
      <c r="J166" s="1566">
        <f t="shared" ref="J166:K171" si="17">SUM(D166,F166,H166)</f>
        <v>0</v>
      </c>
      <c r="K166" s="272">
        <f t="shared" si="17"/>
        <v>0</v>
      </c>
      <c r="L166" s="1371"/>
    </row>
    <row r="167" spans="1:18">
      <c r="A167" s="2013"/>
      <c r="B167" s="2014"/>
      <c r="C167" s="268">
        <v>2016</v>
      </c>
      <c r="D167" s="269"/>
      <c r="E167" s="269"/>
      <c r="F167" s="269"/>
      <c r="G167" s="269"/>
      <c r="H167" s="269"/>
      <c r="I167" s="270"/>
      <c r="J167" s="1566">
        <f t="shared" si="17"/>
        <v>0</v>
      </c>
      <c r="K167" s="272">
        <f t="shared" si="17"/>
        <v>0</v>
      </c>
    </row>
    <row r="168" spans="1:18">
      <c r="A168" s="2013"/>
      <c r="B168" s="2014"/>
      <c r="C168" s="268">
        <v>2017</v>
      </c>
      <c r="D168" s="269"/>
      <c r="E168" s="177"/>
      <c r="F168" s="269"/>
      <c r="G168" s="269"/>
      <c r="H168" s="269"/>
      <c r="I168" s="270"/>
      <c r="J168" s="1566">
        <f t="shared" si="17"/>
        <v>0</v>
      </c>
      <c r="K168" s="272">
        <f t="shared" si="17"/>
        <v>0</v>
      </c>
    </row>
    <row r="169" spans="1:18">
      <c r="A169" s="2013"/>
      <c r="B169" s="2014"/>
      <c r="C169" s="273">
        <v>2018</v>
      </c>
      <c r="D169" s="269"/>
      <c r="E169" s="269"/>
      <c r="F169" s="269"/>
      <c r="G169" s="274"/>
      <c r="H169" s="269"/>
      <c r="I169" s="270"/>
      <c r="J169" s="1566">
        <f t="shared" si="17"/>
        <v>0</v>
      </c>
      <c r="K169" s="272">
        <f t="shared" si="17"/>
        <v>0</v>
      </c>
      <c r="L169" s="1371"/>
    </row>
    <row r="170" spans="1:18">
      <c r="A170" s="2013"/>
      <c r="B170" s="2014"/>
      <c r="C170" s="268">
        <v>2019</v>
      </c>
      <c r="D170" s="177"/>
      <c r="E170" s="269"/>
      <c r="F170" s="269"/>
      <c r="G170" s="269"/>
      <c r="H170" s="274"/>
      <c r="I170" s="270"/>
      <c r="J170" s="1566">
        <f t="shared" si="17"/>
        <v>0</v>
      </c>
      <c r="K170" s="272">
        <f t="shared" si="17"/>
        <v>0</v>
      </c>
      <c r="L170" s="1371"/>
    </row>
    <row r="171" spans="1:18">
      <c r="A171" s="2013"/>
      <c r="B171" s="2014"/>
      <c r="C171" s="273">
        <v>2020</v>
      </c>
      <c r="D171" s="269"/>
      <c r="E171" s="269"/>
      <c r="F171" s="269"/>
      <c r="G171" s="269"/>
      <c r="H171" s="269"/>
      <c r="I171" s="270"/>
      <c r="J171" s="1566">
        <f t="shared" si="17"/>
        <v>0</v>
      </c>
      <c r="K171" s="272">
        <f t="shared" si="17"/>
        <v>0</v>
      </c>
      <c r="L171" s="1371"/>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1371"/>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748" t="s">
        <v>113</v>
      </c>
      <c r="B176" s="2749" t="s">
        <v>114</v>
      </c>
      <c r="C176" s="2750" t="s">
        <v>8</v>
      </c>
      <c r="D176" s="1551" t="s">
        <v>115</v>
      </c>
      <c r="E176" s="1495"/>
      <c r="F176" s="1495"/>
      <c r="G176" s="1552"/>
      <c r="H176" s="1553"/>
      <c r="I176" s="2751" t="s">
        <v>116</v>
      </c>
      <c r="J176" s="2663"/>
      <c r="K176" s="2663"/>
      <c r="L176" s="2663"/>
      <c r="M176" s="2663"/>
      <c r="N176" s="2663"/>
      <c r="O176" s="2752"/>
    </row>
    <row r="177" spans="1:15" s="31" customFormat="1" ht="129.75" customHeight="1">
      <c r="A177" s="2767"/>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553"/>
      <c r="B178" s="2025"/>
      <c r="C178" s="112">
        <v>2014</v>
      </c>
      <c r="D178" s="33"/>
      <c r="E178" s="34"/>
      <c r="F178" s="34"/>
      <c r="G178" s="293">
        <f>SUM(D178:F178)</f>
        <v>0</v>
      </c>
      <c r="H178" s="167"/>
      <c r="I178" s="167"/>
      <c r="J178" s="34"/>
      <c r="K178" s="34"/>
      <c r="L178" s="34"/>
      <c r="M178" s="34"/>
      <c r="N178" s="34"/>
      <c r="O178" s="37"/>
    </row>
    <row r="179" spans="1:15">
      <c r="A179" s="2553"/>
      <c r="B179" s="2025"/>
      <c r="C179" s="116">
        <v>2015</v>
      </c>
      <c r="D179" s="50">
        <v>15</v>
      </c>
      <c r="E179" s="42"/>
      <c r="F179" s="42"/>
      <c r="G179" s="293">
        <f t="shared" ref="G179:G184" si="19">SUM(D179:F179)</f>
        <v>15</v>
      </c>
      <c r="H179" s="294">
        <v>15</v>
      </c>
      <c r="I179" s="118">
        <v>14</v>
      </c>
      <c r="J179" s="42">
        <v>1</v>
      </c>
      <c r="K179" s="42"/>
      <c r="L179" s="42"/>
      <c r="M179" s="42"/>
      <c r="N179" s="42"/>
      <c r="O179" s="99"/>
    </row>
    <row r="180" spans="1:15">
      <c r="A180" s="2553"/>
      <c r="B180" s="2025"/>
      <c r="C180" s="116">
        <v>2016</v>
      </c>
      <c r="D180" s="50">
        <v>53</v>
      </c>
      <c r="E180" s="42"/>
      <c r="F180" s="42"/>
      <c r="G180" s="293">
        <f t="shared" si="19"/>
        <v>53</v>
      </c>
      <c r="H180" s="294">
        <v>38</v>
      </c>
      <c r="I180" s="118">
        <v>50</v>
      </c>
      <c r="J180" s="42">
        <v>3</v>
      </c>
      <c r="K180" s="42"/>
      <c r="L180" s="42"/>
      <c r="M180" s="42"/>
      <c r="N180" s="42"/>
      <c r="O180" s="99"/>
    </row>
    <row r="181" spans="1:15">
      <c r="A181" s="2553"/>
      <c r="B181" s="2025"/>
      <c r="C181" s="116">
        <v>2017</v>
      </c>
      <c r="D181" s="50"/>
      <c r="E181" s="42"/>
      <c r="F181" s="42"/>
      <c r="G181" s="293">
        <f t="shared" si="19"/>
        <v>0</v>
      </c>
      <c r="H181" s="294"/>
      <c r="I181" s="118"/>
      <c r="J181" s="42"/>
      <c r="K181" s="42"/>
      <c r="L181" s="42"/>
      <c r="M181" s="42"/>
      <c r="N181" s="42"/>
      <c r="O181" s="99"/>
    </row>
    <row r="182" spans="1:15">
      <c r="A182" s="2553"/>
      <c r="B182" s="2025"/>
      <c r="C182" s="116">
        <v>2018</v>
      </c>
      <c r="D182" s="50"/>
      <c r="E182" s="42"/>
      <c r="F182" s="42"/>
      <c r="G182" s="293">
        <f t="shared" si="19"/>
        <v>0</v>
      </c>
      <c r="H182" s="294"/>
      <c r="I182" s="118"/>
      <c r="J182" s="42"/>
      <c r="K182" s="42"/>
      <c r="L182" s="42"/>
      <c r="M182" s="42"/>
      <c r="N182" s="42"/>
      <c r="O182" s="99"/>
    </row>
    <row r="183" spans="1:15">
      <c r="A183" s="2553"/>
      <c r="B183" s="2025"/>
      <c r="C183" s="116">
        <v>2019</v>
      </c>
      <c r="D183" s="50"/>
      <c r="E183" s="42"/>
      <c r="F183" s="42"/>
      <c r="G183" s="293">
        <f t="shared" si="19"/>
        <v>0</v>
      </c>
      <c r="H183" s="294"/>
      <c r="I183" s="118"/>
      <c r="J183" s="42"/>
      <c r="K183" s="42"/>
      <c r="L183" s="42"/>
      <c r="M183" s="42"/>
      <c r="N183" s="42"/>
      <c r="O183" s="99"/>
    </row>
    <row r="184" spans="1:15">
      <c r="A184" s="2553"/>
      <c r="B184" s="2025"/>
      <c r="C184" s="116">
        <v>2020</v>
      </c>
      <c r="D184" s="50"/>
      <c r="E184" s="42"/>
      <c r="F184" s="42"/>
      <c r="G184" s="293">
        <f t="shared" si="19"/>
        <v>0</v>
      </c>
      <c r="H184" s="294"/>
      <c r="I184" s="118"/>
      <c r="J184" s="42"/>
      <c r="K184" s="42"/>
      <c r="L184" s="42"/>
      <c r="M184" s="42"/>
      <c r="N184" s="42"/>
      <c r="O184" s="99"/>
    </row>
    <row r="185" spans="1:15" ht="45" customHeight="1" thickBot="1">
      <c r="A185" s="2026"/>
      <c r="B185" s="2027"/>
      <c r="C185" s="122" t="s">
        <v>12</v>
      </c>
      <c r="D185" s="151">
        <f>SUM(D178:D184)</f>
        <v>68</v>
      </c>
      <c r="E185" s="125">
        <f>SUM(E178:E184)</f>
        <v>0</v>
      </c>
      <c r="F185" s="125">
        <f>SUM(F178:F184)</f>
        <v>0</v>
      </c>
      <c r="G185" s="234">
        <f t="shared" ref="G185:O185" si="20">SUM(G178:G184)</f>
        <v>68</v>
      </c>
      <c r="H185" s="295">
        <f t="shared" si="20"/>
        <v>53</v>
      </c>
      <c r="I185" s="124">
        <f t="shared" si="20"/>
        <v>64</v>
      </c>
      <c r="J185" s="125">
        <f t="shared" si="20"/>
        <v>4</v>
      </c>
      <c r="K185" s="125">
        <f t="shared" si="20"/>
        <v>0</v>
      </c>
      <c r="L185" s="125">
        <f t="shared" si="20"/>
        <v>0</v>
      </c>
      <c r="M185" s="125">
        <f t="shared" si="20"/>
        <v>0</v>
      </c>
      <c r="N185" s="125">
        <f t="shared" si="20"/>
        <v>0</v>
      </c>
      <c r="O185" s="126">
        <f t="shared" si="20"/>
        <v>0</v>
      </c>
    </row>
    <row r="186" spans="1:15" ht="33" customHeight="1" thickBot="1"/>
    <row r="187" spans="1:15" ht="19.5" customHeight="1">
      <c r="A187" s="2758" t="s">
        <v>122</v>
      </c>
      <c r="B187" s="2749" t="s">
        <v>114</v>
      </c>
      <c r="C187" s="1998" t="s">
        <v>8</v>
      </c>
      <c r="D187" s="2000" t="s">
        <v>123</v>
      </c>
      <c r="E187" s="2652"/>
      <c r="F187" s="2652"/>
      <c r="G187" s="2759"/>
      <c r="H187" s="2747"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111"/>
      <c r="B189" s="2112" t="s">
        <v>454</v>
      </c>
      <c r="C189" s="392">
        <v>2014</v>
      </c>
      <c r="D189" s="142"/>
      <c r="E189" s="115"/>
      <c r="F189" s="115"/>
      <c r="G189" s="301">
        <f>SUM(D189:F189)</f>
        <v>0</v>
      </c>
      <c r="H189" s="114"/>
      <c r="I189" s="115"/>
      <c r="J189" s="115"/>
      <c r="K189" s="115"/>
      <c r="L189" s="143"/>
    </row>
    <row r="190" spans="1:15">
      <c r="A190" s="2761"/>
      <c r="B190" s="1988"/>
      <c r="C190" s="86">
        <v>2015</v>
      </c>
      <c r="D190" s="50">
        <v>132</v>
      </c>
      <c r="E190" s="42"/>
      <c r="F190" s="42"/>
      <c r="G190" s="301">
        <f t="shared" ref="G190:G195" si="21">SUM(D190:F190)</f>
        <v>132</v>
      </c>
      <c r="H190" s="118"/>
      <c r="I190" s="42"/>
      <c r="J190" s="42">
        <v>20</v>
      </c>
      <c r="K190" s="42"/>
      <c r="L190" s="99">
        <v>112</v>
      </c>
    </row>
    <row r="191" spans="1:15">
      <c r="A191" s="2761"/>
      <c r="B191" s="1988"/>
      <c r="C191" s="86">
        <v>2016</v>
      </c>
      <c r="D191" s="50">
        <v>436</v>
      </c>
      <c r="E191" s="42"/>
      <c r="F191" s="42"/>
      <c r="G191" s="301">
        <f t="shared" si="21"/>
        <v>436</v>
      </c>
      <c r="H191" s="118"/>
      <c r="I191" s="42">
        <v>22</v>
      </c>
      <c r="J191" s="42">
        <v>168</v>
      </c>
      <c r="K191" s="42"/>
      <c r="L191" s="99">
        <v>246</v>
      </c>
    </row>
    <row r="192" spans="1:15">
      <c r="A192" s="2761"/>
      <c r="B192" s="1988"/>
      <c r="C192" s="86">
        <v>2017</v>
      </c>
      <c r="D192" s="50"/>
      <c r="E192" s="42"/>
      <c r="F192" s="42"/>
      <c r="G192" s="301">
        <f t="shared" si="21"/>
        <v>0</v>
      </c>
      <c r="H192" s="118"/>
      <c r="I192" s="42"/>
      <c r="J192" s="42"/>
      <c r="K192" s="42"/>
      <c r="L192" s="99"/>
    </row>
    <row r="193" spans="1:14">
      <c r="A193" s="2761"/>
      <c r="B193" s="1988"/>
      <c r="C193" s="86">
        <v>2018</v>
      </c>
      <c r="D193" s="50"/>
      <c r="E193" s="42"/>
      <c r="F193" s="42"/>
      <c r="G193" s="301">
        <f t="shared" si="21"/>
        <v>0</v>
      </c>
      <c r="H193" s="118"/>
      <c r="I193" s="42"/>
      <c r="J193" s="42"/>
      <c r="K193" s="42"/>
      <c r="L193" s="99"/>
    </row>
    <row r="194" spans="1:14">
      <c r="A194" s="2761"/>
      <c r="B194" s="1988"/>
      <c r="C194" s="86">
        <v>2019</v>
      </c>
      <c r="D194" s="50"/>
      <c r="E194" s="42"/>
      <c r="F194" s="42"/>
      <c r="G194" s="301">
        <f t="shared" si="21"/>
        <v>0</v>
      </c>
      <c r="H194" s="118"/>
      <c r="I194" s="42"/>
      <c r="J194" s="42"/>
      <c r="K194" s="42"/>
      <c r="L194" s="99"/>
    </row>
    <row r="195" spans="1:14">
      <c r="A195" s="2761"/>
      <c r="B195" s="1988"/>
      <c r="C195" s="86">
        <v>2020</v>
      </c>
      <c r="D195" s="50"/>
      <c r="E195" s="42"/>
      <c r="F195" s="42"/>
      <c r="G195" s="301">
        <f t="shared" si="21"/>
        <v>0</v>
      </c>
      <c r="H195" s="118"/>
      <c r="I195" s="42"/>
      <c r="J195" s="42"/>
      <c r="K195" s="42"/>
      <c r="L195" s="99"/>
    </row>
    <row r="196" spans="1:14" ht="15.75" thickBot="1">
      <c r="A196" s="2762"/>
      <c r="B196" s="1990"/>
      <c r="C196" s="148" t="s">
        <v>12</v>
      </c>
      <c r="D196" s="151">
        <f t="shared" ref="D196:L196" si="22">SUM(D189:D195)</f>
        <v>568</v>
      </c>
      <c r="E196" s="125">
        <f t="shared" si="22"/>
        <v>0</v>
      </c>
      <c r="F196" s="125">
        <f t="shared" si="22"/>
        <v>0</v>
      </c>
      <c r="G196" s="304">
        <f t="shared" si="22"/>
        <v>568</v>
      </c>
      <c r="H196" s="124">
        <f t="shared" si="22"/>
        <v>0</v>
      </c>
      <c r="I196" s="125">
        <f t="shared" si="22"/>
        <v>22</v>
      </c>
      <c r="J196" s="125">
        <f t="shared" si="22"/>
        <v>188</v>
      </c>
      <c r="K196" s="125">
        <f t="shared" si="22"/>
        <v>0</v>
      </c>
      <c r="L196" s="126">
        <f t="shared" si="22"/>
        <v>358</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1554" t="s">
        <v>135</v>
      </c>
      <c r="B201" s="309" t="s">
        <v>114</v>
      </c>
      <c r="C201" s="310" t="s">
        <v>8</v>
      </c>
      <c r="D201" s="1555" t="s">
        <v>136</v>
      </c>
      <c r="E201" s="312" t="s">
        <v>137</v>
      </c>
      <c r="F201" s="312" t="s">
        <v>138</v>
      </c>
      <c r="G201" s="310" t="s">
        <v>139</v>
      </c>
      <c r="H201" s="1500" t="s">
        <v>140</v>
      </c>
      <c r="I201" s="1556" t="s">
        <v>141</v>
      </c>
      <c r="J201" s="1557" t="s">
        <v>142</v>
      </c>
      <c r="K201" s="312" t="s">
        <v>143</v>
      </c>
      <c r="L201" s="316" t="s">
        <v>144</v>
      </c>
    </row>
    <row r="202" spans="1:14" ht="15" customHeight="1">
      <c r="A202" s="2551"/>
      <c r="B202" s="1988"/>
      <c r="C202" s="84">
        <v>2014</v>
      </c>
      <c r="D202" s="33"/>
      <c r="E202" s="34"/>
      <c r="F202" s="34"/>
      <c r="G202" s="32"/>
      <c r="H202" s="317"/>
      <c r="I202" s="318"/>
      <c r="J202" s="319"/>
      <c r="K202" s="34"/>
      <c r="L202" s="37"/>
    </row>
    <row r="203" spans="1:14">
      <c r="A203" s="2551"/>
      <c r="B203" s="1988"/>
      <c r="C203" s="86">
        <v>2015</v>
      </c>
      <c r="D203" s="50"/>
      <c r="E203" s="42"/>
      <c r="F203" s="42"/>
      <c r="G203" s="39"/>
      <c r="H203" s="320"/>
      <c r="I203" s="321"/>
      <c r="J203" s="322"/>
      <c r="K203" s="42"/>
      <c r="L203" s="99"/>
    </row>
    <row r="204" spans="1:14">
      <c r="A204" s="2551"/>
      <c r="B204" s="1988"/>
      <c r="C204" s="86">
        <v>2016</v>
      </c>
      <c r="D204" s="50"/>
      <c r="E204" s="42"/>
      <c r="F204" s="42"/>
      <c r="G204" s="39"/>
      <c r="H204" s="320"/>
      <c r="I204" s="321"/>
      <c r="J204" s="322"/>
      <c r="K204" s="42"/>
      <c r="L204" s="99"/>
    </row>
    <row r="205" spans="1:14">
      <c r="A205" s="2551"/>
      <c r="B205" s="1988"/>
      <c r="C205" s="86">
        <v>2017</v>
      </c>
      <c r="D205" s="50"/>
      <c r="E205" s="42"/>
      <c r="F205" s="42"/>
      <c r="G205" s="39"/>
      <c r="H205" s="320"/>
      <c r="I205" s="321"/>
      <c r="J205" s="322"/>
      <c r="K205" s="42"/>
      <c r="L205" s="99"/>
    </row>
    <row r="206" spans="1:14">
      <c r="A206" s="2551"/>
      <c r="B206" s="1988"/>
      <c r="C206" s="86">
        <v>2018</v>
      </c>
      <c r="D206" s="50"/>
      <c r="E206" s="42"/>
      <c r="F206" s="42"/>
      <c r="G206" s="39"/>
      <c r="H206" s="320"/>
      <c r="I206" s="321"/>
      <c r="J206" s="322"/>
      <c r="K206" s="42"/>
      <c r="L206" s="99"/>
    </row>
    <row r="207" spans="1:14">
      <c r="A207" s="2551"/>
      <c r="B207" s="1988"/>
      <c r="C207" s="86">
        <v>2019</v>
      </c>
      <c r="D207" s="50"/>
      <c r="E207" s="42"/>
      <c r="F207" s="42"/>
      <c r="G207" s="39"/>
      <c r="H207" s="320"/>
      <c r="I207" s="321"/>
      <c r="J207" s="322"/>
      <c r="K207" s="42"/>
      <c r="L207" s="99"/>
    </row>
    <row r="208" spans="1:14">
      <c r="A208" s="2551"/>
      <c r="B208" s="1988"/>
      <c r="C208" s="86">
        <v>2020</v>
      </c>
      <c r="D208" s="1474"/>
      <c r="E208" s="324"/>
      <c r="F208" s="324"/>
      <c r="G208" s="325"/>
      <c r="H208" s="326"/>
      <c r="I208" s="327"/>
      <c r="J208" s="328"/>
      <c r="K208" s="324"/>
      <c r="L208" s="329"/>
    </row>
    <row r="209" spans="1:12" ht="20.25" customHeight="1" thickBot="1">
      <c r="A209" s="1989"/>
      <c r="B209" s="1990"/>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1558" t="s">
        <v>145</v>
      </c>
      <c r="B212" s="331" t="s">
        <v>146</v>
      </c>
      <c r="C212" s="332">
        <v>2014</v>
      </c>
      <c r="D212" s="333">
        <v>2015</v>
      </c>
      <c r="E212" s="333">
        <v>2016</v>
      </c>
      <c r="F212" s="333">
        <v>2017</v>
      </c>
      <c r="G212" s="333">
        <v>2018</v>
      </c>
      <c r="H212" s="333">
        <v>2019</v>
      </c>
      <c r="I212" s="334">
        <v>2020</v>
      </c>
    </row>
    <row r="213" spans="1:12" ht="15" customHeight="1">
      <c r="A213" t="s">
        <v>147</v>
      </c>
      <c r="B213" s="2196"/>
      <c r="C213" s="84"/>
      <c r="D213" s="144">
        <v>10298.51</v>
      </c>
      <c r="E213" s="144">
        <v>97421.24</v>
      </c>
      <c r="F213" s="147"/>
      <c r="G213" s="147"/>
      <c r="H213" s="147"/>
      <c r="I213" s="335"/>
    </row>
    <row r="214" spans="1:12">
      <c r="A214" t="s">
        <v>149</v>
      </c>
      <c r="B214" s="2168"/>
      <c r="C214" s="84"/>
      <c r="D214" s="147">
        <v>10298.51</v>
      </c>
      <c r="E214" s="147">
        <v>97421.24</v>
      </c>
      <c r="F214" s="147"/>
      <c r="G214" s="147"/>
      <c r="H214" s="147"/>
      <c r="I214" s="335"/>
    </row>
    <row r="215" spans="1:12">
      <c r="A215" t="s">
        <v>150</v>
      </c>
      <c r="B215" s="2168"/>
      <c r="C215" s="84"/>
      <c r="D215" s="147"/>
      <c r="E215" s="147">
        <v>0</v>
      </c>
      <c r="F215" s="147"/>
      <c r="G215" s="147"/>
      <c r="H215" s="147"/>
      <c r="I215" s="335"/>
    </row>
    <row r="216" spans="1:12">
      <c r="A216" t="s">
        <v>151</v>
      </c>
      <c r="B216" s="2168"/>
      <c r="C216" s="84"/>
      <c r="D216" s="147"/>
      <c r="E216" s="147">
        <v>0</v>
      </c>
      <c r="F216" s="147"/>
      <c r="G216" s="147"/>
      <c r="H216" s="147"/>
      <c r="I216" s="335"/>
    </row>
    <row r="217" spans="1:12">
      <c r="A217" t="s">
        <v>152</v>
      </c>
      <c r="B217" s="2168"/>
      <c r="C217" s="84"/>
      <c r="D217" s="147"/>
      <c r="E217" s="147">
        <v>0</v>
      </c>
      <c r="F217" s="147"/>
      <c r="G217" s="147"/>
      <c r="H217" s="147"/>
      <c r="I217" s="335"/>
    </row>
    <row r="218" spans="1:12" ht="30">
      <c r="A218" s="31" t="s">
        <v>153</v>
      </c>
      <c r="B218" s="2168"/>
      <c r="C218" s="84"/>
      <c r="D218" s="147">
        <v>92987.95</v>
      </c>
      <c r="E218" s="147">
        <v>145053.96</v>
      </c>
      <c r="F218" s="147"/>
      <c r="G218" s="147"/>
      <c r="H218" s="147"/>
      <c r="I218" s="335"/>
    </row>
    <row r="219" spans="1:12" ht="15.75" thickBot="1">
      <c r="A219" s="1473"/>
      <c r="B219" s="2169"/>
      <c r="C219" s="54" t="s">
        <v>12</v>
      </c>
      <c r="D219" s="337">
        <f>SUM(D214:D218)</f>
        <v>103286.45999999999</v>
      </c>
      <c r="E219" s="337">
        <f>SUM(E214:E218)</f>
        <v>242475.2</v>
      </c>
      <c r="F219" s="337">
        <f t="shared" ref="F219:I219" si="24">SUM(F214:F218)</f>
        <v>0</v>
      </c>
      <c r="G219" s="337">
        <f t="shared" si="24"/>
        <v>0</v>
      </c>
      <c r="H219" s="337">
        <f t="shared" si="24"/>
        <v>0</v>
      </c>
      <c r="I219" s="337">
        <f t="shared" si="24"/>
        <v>0</v>
      </c>
    </row>
    <row r="227" spans="1:1">
      <c r="A227" s="31"/>
    </row>
  </sheetData>
  <mergeCells count="58">
    <mergeCell ref="I176:O176"/>
    <mergeCell ref="A178:B185"/>
    <mergeCell ref="A187:A188"/>
    <mergeCell ref="B187:B188"/>
    <mergeCell ref="C187:C188"/>
    <mergeCell ref="D187:G187"/>
    <mergeCell ref="H187:L187"/>
    <mergeCell ref="A176:A177"/>
    <mergeCell ref="B176:B177"/>
    <mergeCell ref="C176:C177"/>
    <mergeCell ref="A165:B172"/>
    <mergeCell ref="A189:A196"/>
    <mergeCell ref="B189:B196"/>
    <mergeCell ref="A202:B209"/>
    <mergeCell ref="B213:B219"/>
    <mergeCell ref="J142:N142"/>
    <mergeCell ref="A153:A154"/>
    <mergeCell ref="B153:B154"/>
    <mergeCell ref="C153:C154"/>
    <mergeCell ref="A155:B162"/>
    <mergeCell ref="A144:B151"/>
    <mergeCell ref="C142:C143"/>
    <mergeCell ref="A118:A119"/>
    <mergeCell ref="B118:B119"/>
    <mergeCell ref="C118:C119"/>
    <mergeCell ref="D118:D119"/>
    <mergeCell ref="A120:B127"/>
    <mergeCell ref="A129:A130"/>
    <mergeCell ref="B129:B130"/>
    <mergeCell ref="A131:B137"/>
    <mergeCell ref="A142:A143"/>
    <mergeCell ref="B142:B143"/>
    <mergeCell ref="A109:B116"/>
    <mergeCell ref="D60:D61"/>
    <mergeCell ref="A62:B69"/>
    <mergeCell ref="A72:B79"/>
    <mergeCell ref="A85:B92"/>
    <mergeCell ref="A96:A97"/>
    <mergeCell ref="B96:B97"/>
    <mergeCell ref="C96:C97"/>
    <mergeCell ref="D96:E96"/>
    <mergeCell ref="C60:C61"/>
    <mergeCell ref="A98:B105"/>
    <mergeCell ref="A107:A108"/>
    <mergeCell ref="B107:B108"/>
    <mergeCell ref="C107:C108"/>
    <mergeCell ref="D107:D108"/>
    <mergeCell ref="A28:A35"/>
    <mergeCell ref="B28:B35"/>
    <mergeCell ref="A40:B47"/>
    <mergeCell ref="A50:B58"/>
    <mergeCell ref="A60:A61"/>
    <mergeCell ref="D26:G26"/>
    <mergeCell ref="B1:F1"/>
    <mergeCell ref="F3:O3"/>
    <mergeCell ref="A4:O10"/>
    <mergeCell ref="D15:G15"/>
    <mergeCell ref="A17:B2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6"/>
  <dimension ref="A1:Y227"/>
  <sheetViews>
    <sheetView topLeftCell="A208" workbookViewId="0">
      <selection activeCell="D213" sqref="D213:E213"/>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1626" t="s">
        <v>455</v>
      </c>
      <c r="C1" s="1627"/>
      <c r="D1" s="1627"/>
      <c r="E1" s="1627"/>
      <c r="F1" s="1627"/>
    </row>
    <row r="2" spans="1:25" s="2" customFormat="1" ht="20.100000000000001" customHeight="1" thickBot="1"/>
    <row r="3" spans="1:25" s="5" customFormat="1" ht="20.100000000000001" customHeight="1">
      <c r="A3" s="1503" t="s">
        <v>1</v>
      </c>
      <c r="B3" s="1504"/>
      <c r="C3" s="1504"/>
      <c r="D3" s="1504"/>
      <c r="E3" s="1504"/>
      <c r="F3" s="2707"/>
      <c r="G3" s="2707"/>
      <c r="H3" s="2707"/>
      <c r="I3" s="2707"/>
      <c r="J3" s="2707"/>
      <c r="K3" s="2707"/>
      <c r="L3" s="2707"/>
      <c r="M3" s="2707"/>
      <c r="N3" s="2707"/>
      <c r="O3" s="2708"/>
    </row>
    <row r="4" spans="1:25" s="5" customFormat="1" ht="20.100000000000001" customHeight="1">
      <c r="A4" s="2566" t="s">
        <v>2</v>
      </c>
      <c r="B4" s="2081"/>
      <c r="C4" s="2081"/>
      <c r="D4" s="2081"/>
      <c r="E4" s="2081"/>
      <c r="F4" s="2081"/>
      <c r="G4" s="2081"/>
      <c r="H4" s="2081"/>
      <c r="I4" s="2081"/>
      <c r="J4" s="2081"/>
      <c r="K4" s="2081"/>
      <c r="L4" s="2081"/>
      <c r="M4" s="2081"/>
      <c r="N4" s="2081"/>
      <c r="O4" s="2082"/>
    </row>
    <row r="5" spans="1:25" s="5" customFormat="1" ht="20.100000000000001" customHeight="1">
      <c r="A5" s="2566"/>
      <c r="B5" s="2081"/>
      <c r="C5" s="2081"/>
      <c r="D5" s="2081"/>
      <c r="E5" s="2081"/>
      <c r="F5" s="2081"/>
      <c r="G5" s="2081"/>
      <c r="H5" s="2081"/>
      <c r="I5" s="2081"/>
      <c r="J5" s="2081"/>
      <c r="K5" s="2081"/>
      <c r="L5" s="2081"/>
      <c r="M5" s="2081"/>
      <c r="N5" s="2081"/>
      <c r="O5" s="2082"/>
    </row>
    <row r="6" spans="1:25" s="5" customFormat="1" ht="20.100000000000001" customHeight="1">
      <c r="A6" s="2566"/>
      <c r="B6" s="2081"/>
      <c r="C6" s="2081"/>
      <c r="D6" s="2081"/>
      <c r="E6" s="2081"/>
      <c r="F6" s="2081"/>
      <c r="G6" s="2081"/>
      <c r="H6" s="2081"/>
      <c r="I6" s="2081"/>
      <c r="J6" s="2081"/>
      <c r="K6" s="2081"/>
      <c r="L6" s="2081"/>
      <c r="M6" s="2081"/>
      <c r="N6" s="2081"/>
      <c r="O6" s="2082"/>
    </row>
    <row r="7" spans="1:25" s="5" customFormat="1" ht="20.100000000000001" customHeight="1">
      <c r="A7" s="2566"/>
      <c r="B7" s="2081"/>
      <c r="C7" s="2081"/>
      <c r="D7" s="2081"/>
      <c r="E7" s="2081"/>
      <c r="F7" s="2081"/>
      <c r="G7" s="2081"/>
      <c r="H7" s="2081"/>
      <c r="I7" s="2081"/>
      <c r="J7" s="2081"/>
      <c r="K7" s="2081"/>
      <c r="L7" s="2081"/>
      <c r="M7" s="2081"/>
      <c r="N7" s="2081"/>
      <c r="O7" s="2082"/>
    </row>
    <row r="8" spans="1:25" s="5" customFormat="1" ht="20.100000000000001" customHeight="1">
      <c r="A8" s="2566"/>
      <c r="B8" s="2081"/>
      <c r="C8" s="2081"/>
      <c r="D8" s="2081"/>
      <c r="E8" s="2081"/>
      <c r="F8" s="2081"/>
      <c r="G8" s="2081"/>
      <c r="H8" s="2081"/>
      <c r="I8" s="2081"/>
      <c r="J8" s="2081"/>
      <c r="K8" s="2081"/>
      <c r="L8" s="2081"/>
      <c r="M8" s="2081"/>
      <c r="N8" s="2081"/>
      <c r="O8" s="2082"/>
    </row>
    <row r="9" spans="1:25" s="5" customFormat="1" ht="20.100000000000001" customHeight="1">
      <c r="A9" s="2566"/>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1518"/>
      <c r="B15" s="1519"/>
      <c r="C15" s="11"/>
      <c r="D15" s="2718" t="s">
        <v>4</v>
      </c>
      <c r="E15" s="2709"/>
      <c r="F15" s="2709"/>
      <c r="G15" s="2709"/>
      <c r="H15" s="1520"/>
      <c r="I15" s="13" t="s">
        <v>5</v>
      </c>
      <c r="J15" s="14"/>
      <c r="K15" s="14"/>
      <c r="L15" s="14"/>
      <c r="M15" s="14"/>
      <c r="N15" s="14"/>
      <c r="O15" s="15"/>
      <c r="P15" s="16"/>
      <c r="Q15" s="17"/>
      <c r="R15" s="18"/>
      <c r="S15" s="18"/>
      <c r="T15" s="18"/>
      <c r="U15" s="18"/>
      <c r="V15" s="18"/>
      <c r="W15" s="16"/>
      <c r="X15" s="16"/>
      <c r="Y15" s="17"/>
    </row>
    <row r="16" spans="1:25" s="31" customFormat="1" ht="129" customHeight="1">
      <c r="A16" s="1564"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563"/>
      <c r="B17" s="19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558"/>
      <c r="B18" s="1988"/>
      <c r="C18" s="39">
        <v>2015</v>
      </c>
      <c r="D18" s="50">
        <v>1</v>
      </c>
      <c r="E18" s="42"/>
      <c r="F18" s="42"/>
      <c r="G18" s="35">
        <f>SUM(D18:F18)</f>
        <v>1</v>
      </c>
      <c r="H18" s="51"/>
      <c r="I18" s="42">
        <v>1</v>
      </c>
      <c r="J18" s="42"/>
      <c r="K18" s="42"/>
      <c r="L18" s="42"/>
      <c r="M18" s="42"/>
      <c r="N18" s="42"/>
      <c r="O18" s="52"/>
      <c r="P18" s="38"/>
      <c r="Q18" s="38"/>
      <c r="R18" s="38"/>
      <c r="S18" s="38"/>
      <c r="T18" s="38"/>
      <c r="U18" s="38"/>
      <c r="V18" s="38"/>
      <c r="W18" s="38"/>
      <c r="X18" s="38"/>
      <c r="Y18" s="38"/>
    </row>
    <row r="19" spans="1:25">
      <c r="A19" s="2558"/>
      <c r="B19" s="1988"/>
      <c r="C19" s="39">
        <v>2016</v>
      </c>
      <c r="D19" s="50">
        <v>21</v>
      </c>
      <c r="E19" s="42"/>
      <c r="F19" s="42"/>
      <c r="G19" s="35">
        <f t="shared" si="0"/>
        <v>21</v>
      </c>
      <c r="H19" s="51">
        <v>20</v>
      </c>
      <c r="I19" s="42">
        <v>1</v>
      </c>
      <c r="J19" s="42"/>
      <c r="K19" s="42"/>
      <c r="L19" s="42"/>
      <c r="M19" s="42"/>
      <c r="N19" s="42"/>
      <c r="O19" s="52"/>
      <c r="P19" s="38"/>
      <c r="Q19" s="38"/>
      <c r="R19" s="38"/>
      <c r="S19" s="38"/>
      <c r="T19" s="38"/>
      <c r="U19" s="38"/>
      <c r="V19" s="38"/>
      <c r="W19" s="38"/>
      <c r="X19" s="38"/>
      <c r="Y19" s="38"/>
    </row>
    <row r="20" spans="1:25">
      <c r="A20" s="2558"/>
      <c r="B20" s="1988"/>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2558"/>
      <c r="B21" s="1988"/>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2558"/>
      <c r="B22" s="1988"/>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2558"/>
      <c r="B23" s="1988"/>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19.5" customHeight="1" thickBot="1">
      <c r="A24" s="1989"/>
      <c r="B24" s="1990"/>
      <c r="C24" s="54" t="s">
        <v>12</v>
      </c>
      <c r="D24" s="55">
        <f>SUM(D17:D23)</f>
        <v>22</v>
      </c>
      <c r="E24" s="56">
        <f>SUM(E17:E23)</f>
        <v>0</v>
      </c>
      <c r="F24" s="56">
        <f>SUM(F17:F23)</f>
        <v>0</v>
      </c>
      <c r="G24" s="57">
        <f>SUM(D24:F24)</f>
        <v>22</v>
      </c>
      <c r="H24" s="58">
        <f>SUM(H17:H23)</f>
        <v>20</v>
      </c>
      <c r="I24" s="59">
        <f>SUM(I17:I23)</f>
        <v>2</v>
      </c>
      <c r="J24" s="59">
        <f t="shared" ref="J24:N24" si="1">SUM(J17:J23)</f>
        <v>0</v>
      </c>
      <c r="K24" s="59">
        <f t="shared" si="1"/>
        <v>0</v>
      </c>
      <c r="L24" s="59">
        <f t="shared" si="1"/>
        <v>0</v>
      </c>
      <c r="M24" s="59">
        <f t="shared" si="1"/>
        <v>0</v>
      </c>
      <c r="N24" s="59">
        <f t="shared" si="1"/>
        <v>0</v>
      </c>
      <c r="O24" s="60">
        <f>SUM(O17:O23)</f>
        <v>0</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1518"/>
      <c r="B26" s="1519"/>
      <c r="C26" s="63"/>
      <c r="D26" s="2723" t="s">
        <v>4</v>
      </c>
      <c r="E26" s="2713"/>
      <c r="F26" s="2713"/>
      <c r="G26" s="2724"/>
      <c r="H26" s="16"/>
      <c r="I26" s="17"/>
      <c r="J26" s="18"/>
      <c r="K26" s="18"/>
      <c r="L26" s="18"/>
      <c r="M26" s="18"/>
      <c r="N26" s="18"/>
      <c r="O26" s="16"/>
      <c r="P26" s="16"/>
    </row>
    <row r="27" spans="1:25" s="31" customFormat="1" ht="93" customHeight="1">
      <c r="A27" s="1377"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563"/>
      <c r="B28" s="1988"/>
      <c r="C28" s="68">
        <v>2014</v>
      </c>
      <c r="D28" s="36"/>
      <c r="E28" s="34"/>
      <c r="F28" s="34"/>
      <c r="G28" s="69">
        <f>SUM(D28:F28)</f>
        <v>0</v>
      </c>
      <c r="H28" s="38"/>
      <c r="I28" s="38"/>
      <c r="J28" s="38"/>
      <c r="K28" s="38"/>
      <c r="L28" s="38"/>
      <c r="M28" s="38"/>
      <c r="N28" s="38"/>
      <c r="O28" s="38"/>
      <c r="P28" s="38"/>
      <c r="Q28" s="8"/>
    </row>
    <row r="29" spans="1:25">
      <c r="A29" s="2558"/>
      <c r="B29" s="1988"/>
      <c r="C29" s="70">
        <v>2015</v>
      </c>
      <c r="D29" s="51">
        <v>28</v>
      </c>
      <c r="E29" s="42"/>
      <c r="F29" s="42"/>
      <c r="G29" s="69">
        <f t="shared" ref="G29:G35" si="2">SUM(D29:F29)</f>
        <v>28</v>
      </c>
      <c r="H29" s="38"/>
      <c r="I29" s="38"/>
      <c r="J29" s="38"/>
      <c r="K29" s="38"/>
      <c r="L29" s="38"/>
      <c r="M29" s="38"/>
      <c r="N29" s="38"/>
      <c r="O29" s="38"/>
      <c r="P29" s="38"/>
      <c r="Q29" s="8"/>
    </row>
    <row r="30" spans="1:25">
      <c r="A30" s="2558"/>
      <c r="B30" s="1988"/>
      <c r="C30" s="70">
        <v>2016</v>
      </c>
      <c r="D30" s="51">
        <v>324</v>
      </c>
      <c r="E30" s="42"/>
      <c r="F30" s="42"/>
      <c r="G30" s="69">
        <f t="shared" si="2"/>
        <v>324</v>
      </c>
      <c r="H30" s="38"/>
      <c r="I30" s="38"/>
      <c r="J30" s="38"/>
      <c r="K30" s="38"/>
      <c r="L30" s="38"/>
      <c r="M30" s="38"/>
      <c r="N30" s="38"/>
      <c r="O30" s="38"/>
      <c r="P30" s="38"/>
      <c r="Q30" s="8"/>
    </row>
    <row r="31" spans="1:25">
      <c r="A31" s="2558"/>
      <c r="B31" s="1988"/>
      <c r="C31" s="70">
        <v>2017</v>
      </c>
      <c r="D31" s="51"/>
      <c r="E31" s="42"/>
      <c r="F31" s="42"/>
      <c r="G31" s="69">
        <f t="shared" si="2"/>
        <v>0</v>
      </c>
      <c r="H31" s="38"/>
      <c r="I31" s="38"/>
      <c r="J31" s="38"/>
      <c r="K31" s="38"/>
      <c r="L31" s="38"/>
      <c r="M31" s="38"/>
      <c r="N31" s="38"/>
      <c r="O31" s="38"/>
      <c r="P31" s="38"/>
      <c r="Q31" s="8"/>
    </row>
    <row r="32" spans="1:25">
      <c r="A32" s="2558"/>
      <c r="B32" s="1988"/>
      <c r="C32" s="70">
        <v>2018</v>
      </c>
      <c r="D32" s="51"/>
      <c r="E32" s="42"/>
      <c r="F32" s="42"/>
      <c r="G32" s="69">
        <f>SUM(D32:F32)</f>
        <v>0</v>
      </c>
      <c r="H32" s="38"/>
      <c r="I32" s="38"/>
      <c r="J32" s="38"/>
      <c r="K32" s="38"/>
      <c r="L32" s="38"/>
      <c r="M32" s="38"/>
      <c r="N32" s="38"/>
      <c r="O32" s="38"/>
      <c r="P32" s="38"/>
      <c r="Q32" s="8"/>
    </row>
    <row r="33" spans="1:17">
      <c r="A33" s="2558"/>
      <c r="B33" s="1988"/>
      <c r="C33" s="72">
        <v>2019</v>
      </c>
      <c r="D33" s="51"/>
      <c r="E33" s="42"/>
      <c r="F33" s="42"/>
      <c r="G33" s="69">
        <f t="shared" si="2"/>
        <v>0</v>
      </c>
      <c r="H33" s="38"/>
      <c r="I33" s="38"/>
      <c r="J33" s="38"/>
      <c r="K33" s="38"/>
      <c r="L33" s="38"/>
      <c r="M33" s="38"/>
      <c r="N33" s="38"/>
      <c r="O33" s="38"/>
      <c r="P33" s="38"/>
      <c r="Q33" s="8"/>
    </row>
    <row r="34" spans="1:17">
      <c r="A34" s="2558"/>
      <c r="B34" s="1988"/>
      <c r="C34" s="70">
        <v>2020</v>
      </c>
      <c r="D34" s="51"/>
      <c r="E34" s="42"/>
      <c r="F34" s="42"/>
      <c r="G34" s="69">
        <f t="shared" si="2"/>
        <v>0</v>
      </c>
      <c r="H34" s="38"/>
      <c r="I34" s="38"/>
      <c r="J34" s="38"/>
      <c r="K34" s="38"/>
      <c r="L34" s="38"/>
      <c r="M34" s="38"/>
      <c r="N34" s="38"/>
      <c r="O34" s="38"/>
      <c r="P34" s="38"/>
      <c r="Q34" s="8"/>
    </row>
    <row r="35" spans="1:17" ht="20.25" customHeight="1" thickBot="1">
      <c r="A35" s="1989"/>
      <c r="B35" s="1990"/>
      <c r="C35" s="73" t="s">
        <v>12</v>
      </c>
      <c r="D35" s="58">
        <f>SUM(D28:D34)</f>
        <v>352</v>
      </c>
      <c r="E35" s="56">
        <f>SUM(E28:E34)</f>
        <v>0</v>
      </c>
      <c r="F35" s="56">
        <f>SUM(F28:F34)</f>
        <v>0</v>
      </c>
      <c r="G35" s="60">
        <f t="shared" si="2"/>
        <v>352</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1521" t="s">
        <v>25</v>
      </c>
      <c r="B39" s="1522" t="s">
        <v>7</v>
      </c>
      <c r="C39" s="80" t="s">
        <v>8</v>
      </c>
      <c r="D39" s="1523" t="s">
        <v>26</v>
      </c>
      <c r="E39" s="352" t="s">
        <v>27</v>
      </c>
      <c r="F39" s="353"/>
      <c r="G39" s="30"/>
      <c r="H39" s="30"/>
    </row>
    <row r="40" spans="1:17">
      <c r="A40" s="2563" t="s">
        <v>456</v>
      </c>
      <c r="B40" s="1988"/>
      <c r="C40" s="84">
        <v>2014</v>
      </c>
      <c r="D40" s="33"/>
      <c r="E40" s="32"/>
      <c r="F40" s="8"/>
      <c r="G40" s="38"/>
      <c r="H40" s="38"/>
    </row>
    <row r="41" spans="1:17">
      <c r="A41" s="2558"/>
      <c r="B41" s="1988"/>
      <c r="C41" s="86">
        <v>2015</v>
      </c>
      <c r="D41" s="50"/>
      <c r="E41" s="39"/>
      <c r="F41" s="8"/>
      <c r="G41" s="38"/>
      <c r="H41" s="38"/>
    </row>
    <row r="42" spans="1:17">
      <c r="A42" s="2558"/>
      <c r="B42" s="1988"/>
      <c r="C42" s="86">
        <v>2016</v>
      </c>
      <c r="D42" s="50"/>
      <c r="E42" s="39"/>
      <c r="F42" s="8"/>
      <c r="G42" s="38"/>
      <c r="H42" s="38"/>
    </row>
    <row r="43" spans="1:17">
      <c r="A43" s="2558"/>
      <c r="B43" s="1988"/>
      <c r="C43" s="86">
        <v>2017</v>
      </c>
      <c r="D43" s="50"/>
      <c r="E43" s="39"/>
      <c r="F43" s="8"/>
      <c r="G43" s="38"/>
      <c r="H43" s="38"/>
    </row>
    <row r="44" spans="1:17">
      <c r="A44" s="2558"/>
      <c r="B44" s="1988"/>
      <c r="C44" s="86">
        <v>2018</v>
      </c>
      <c r="D44" s="50"/>
      <c r="E44" s="39"/>
      <c r="F44" s="8"/>
      <c r="G44" s="38"/>
      <c r="H44" s="38"/>
    </row>
    <row r="45" spans="1:17">
      <c r="A45" s="2558"/>
      <c r="B45" s="1988"/>
      <c r="C45" s="86">
        <v>2019</v>
      </c>
      <c r="D45" s="50"/>
      <c r="E45" s="39"/>
      <c r="F45" s="8"/>
      <c r="G45" s="38"/>
      <c r="H45" s="38"/>
    </row>
    <row r="46" spans="1:17">
      <c r="A46" s="2558"/>
      <c r="B46" s="1988"/>
      <c r="C46" s="86">
        <v>2020</v>
      </c>
      <c r="D46" s="50"/>
      <c r="E46" s="39"/>
      <c r="F46" s="8"/>
      <c r="G46" s="38"/>
      <c r="H46" s="38"/>
    </row>
    <row r="47" spans="1:17" ht="15.75" thickBot="1">
      <c r="A47" s="1989"/>
      <c r="B47" s="1990"/>
      <c r="C47" s="54" t="s">
        <v>12</v>
      </c>
      <c r="D47" s="55">
        <f>SUM(D40:D46)</f>
        <v>0</v>
      </c>
      <c r="E47" s="419">
        <f>SUM(E40:E46)</f>
        <v>0</v>
      </c>
      <c r="F47" s="121"/>
      <c r="G47" s="38"/>
      <c r="H47" s="38"/>
    </row>
    <row r="48" spans="1:17" s="38" customFormat="1" ht="15.75" thickBot="1">
      <c r="A48" s="1510"/>
      <c r="B48" s="92"/>
      <c r="C48" s="93"/>
    </row>
    <row r="49" spans="1:15" ht="83.25" customHeight="1">
      <c r="A49" s="1527" t="s">
        <v>29</v>
      </c>
      <c r="B49" s="1522" t="s">
        <v>7</v>
      </c>
      <c r="C49" s="95" t="s">
        <v>8</v>
      </c>
      <c r="D49" s="1523" t="s">
        <v>30</v>
      </c>
      <c r="E49" s="96" t="s">
        <v>31</v>
      </c>
      <c r="F49" s="96" t="s">
        <v>32</v>
      </c>
      <c r="G49" s="96" t="s">
        <v>33</v>
      </c>
      <c r="H49" s="96" t="s">
        <v>34</v>
      </c>
      <c r="I49" s="96" t="s">
        <v>35</v>
      </c>
      <c r="J49" s="96" t="s">
        <v>36</v>
      </c>
      <c r="K49" s="97" t="s">
        <v>37</v>
      </c>
    </row>
    <row r="50" spans="1:15" ht="17.25" customHeight="1">
      <c r="A50" s="2005"/>
      <c r="B50" s="2012"/>
      <c r="C50" s="98" t="s">
        <v>38</v>
      </c>
      <c r="D50" s="33"/>
      <c r="E50" s="34"/>
      <c r="F50" s="34"/>
      <c r="G50" s="34"/>
      <c r="H50" s="34"/>
      <c r="I50" s="34"/>
      <c r="J50" s="34"/>
      <c r="K50" s="37"/>
    </row>
    <row r="51" spans="1:15" ht="15" customHeight="1">
      <c r="A51" s="2563"/>
      <c r="B51" s="2014"/>
      <c r="C51" s="86">
        <v>2014</v>
      </c>
      <c r="D51" s="50"/>
      <c r="E51" s="42"/>
      <c r="F51" s="42"/>
      <c r="G51" s="42"/>
      <c r="H51" s="42"/>
      <c r="I51" s="42"/>
      <c r="J51" s="42"/>
      <c r="K51" s="99"/>
    </row>
    <row r="52" spans="1:15">
      <c r="A52" s="2563"/>
      <c r="B52" s="2014"/>
      <c r="C52" s="86">
        <v>2015</v>
      </c>
      <c r="D52" s="50"/>
      <c r="E52" s="42"/>
      <c r="F52" s="42"/>
      <c r="G52" s="42"/>
      <c r="H52" s="42"/>
      <c r="I52" s="42"/>
      <c r="J52" s="42"/>
      <c r="K52" s="99"/>
    </row>
    <row r="53" spans="1:15">
      <c r="A53" s="2563"/>
      <c r="B53" s="2014"/>
      <c r="C53" s="86">
        <v>2016</v>
      </c>
      <c r="D53" s="50"/>
      <c r="E53" s="42"/>
      <c r="F53" s="42"/>
      <c r="G53" s="42"/>
      <c r="H53" s="42"/>
      <c r="I53" s="42"/>
      <c r="J53" s="42"/>
      <c r="K53" s="99"/>
    </row>
    <row r="54" spans="1:15">
      <c r="A54" s="2563"/>
      <c r="B54" s="2014"/>
      <c r="C54" s="86">
        <v>2017</v>
      </c>
      <c r="D54" s="50"/>
      <c r="E54" s="42"/>
      <c r="F54" s="42"/>
      <c r="G54" s="42"/>
      <c r="H54" s="42"/>
      <c r="I54" s="42"/>
      <c r="J54" s="42"/>
      <c r="K54" s="99"/>
    </row>
    <row r="55" spans="1:15">
      <c r="A55" s="2563"/>
      <c r="B55" s="2014"/>
      <c r="C55" s="86">
        <v>2018</v>
      </c>
      <c r="D55" s="50"/>
      <c r="E55" s="42"/>
      <c r="F55" s="42"/>
      <c r="G55" s="42"/>
      <c r="H55" s="42"/>
      <c r="I55" s="42"/>
      <c r="J55" s="42"/>
      <c r="K55" s="99"/>
    </row>
    <row r="56" spans="1:15">
      <c r="A56" s="2563"/>
      <c r="B56" s="2014"/>
      <c r="C56" s="86">
        <v>2019</v>
      </c>
      <c r="D56" s="50"/>
      <c r="E56" s="42"/>
      <c r="F56" s="42"/>
      <c r="G56" s="42"/>
      <c r="H56" s="42"/>
      <c r="I56" s="42"/>
      <c r="J56" s="42"/>
      <c r="K56" s="99"/>
    </row>
    <row r="57" spans="1:15">
      <c r="A57" s="2563"/>
      <c r="B57" s="2014"/>
      <c r="C57" s="86">
        <v>2020</v>
      </c>
      <c r="D57" s="50"/>
      <c r="E57" s="42"/>
      <c r="F57" s="42"/>
      <c r="G57" s="42"/>
      <c r="H57" s="42"/>
      <c r="I57" s="42"/>
      <c r="J57" s="42"/>
      <c r="K57" s="100"/>
    </row>
    <row r="58" spans="1:15" ht="20.25" customHeight="1" thickBot="1">
      <c r="A58" s="2009"/>
      <c r="B58" s="2016"/>
      <c r="C58" s="54" t="s">
        <v>12</v>
      </c>
      <c r="D58" s="55">
        <f>SUM(D51:D57)</f>
        <v>0</v>
      </c>
      <c r="E58" s="56">
        <f>SUM(E51:E57)</f>
        <v>0</v>
      </c>
      <c r="F58" s="56">
        <f>SUM(F51:F57)</f>
        <v>0</v>
      </c>
      <c r="G58" s="56">
        <f>SUM(G51:G57)</f>
        <v>0</v>
      </c>
      <c r="H58" s="56">
        <f>SUM(H51:H57)</f>
        <v>0</v>
      </c>
      <c r="I58" s="56">
        <f t="shared" ref="I58" si="3">SUM(I51:I57)</f>
        <v>0</v>
      </c>
      <c r="J58" s="56">
        <f>SUM(J51:J57)</f>
        <v>0</v>
      </c>
      <c r="K58" s="60">
        <f>SUM(K50:K56)</f>
        <v>0</v>
      </c>
    </row>
    <row r="59" spans="1:15" ht="15.75" thickBot="1"/>
    <row r="60" spans="1:15" ht="21" customHeight="1">
      <c r="A60" s="2716" t="s">
        <v>39</v>
      </c>
      <c r="B60" s="1528"/>
      <c r="C60" s="2717" t="s">
        <v>8</v>
      </c>
      <c r="D60" s="2671" t="s">
        <v>40</v>
      </c>
      <c r="E60" s="1477" t="s">
        <v>5</v>
      </c>
      <c r="F60" s="1478"/>
      <c r="G60" s="1478"/>
      <c r="H60" s="1478"/>
      <c r="I60" s="1478"/>
      <c r="J60" s="1478"/>
      <c r="K60" s="1478"/>
      <c r="L60" s="1479"/>
    </row>
    <row r="61" spans="1:15" ht="115.5" customHeight="1">
      <c r="A61" s="2764"/>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560"/>
      <c r="B62" s="2025"/>
      <c r="C62" s="112">
        <v>2014</v>
      </c>
      <c r="D62" s="113"/>
      <c r="E62" s="114"/>
      <c r="F62" s="115"/>
      <c r="G62" s="115"/>
      <c r="H62" s="115"/>
      <c r="I62" s="115"/>
      <c r="J62" s="115"/>
      <c r="K62" s="115"/>
      <c r="L62" s="37"/>
      <c r="M62" s="8"/>
      <c r="N62" s="8"/>
      <c r="O62" s="8"/>
    </row>
    <row r="63" spans="1:15">
      <c r="A63" s="2561"/>
      <c r="B63" s="2025"/>
      <c r="C63" s="116">
        <v>2015</v>
      </c>
      <c r="D63" s="117"/>
      <c r="E63" s="118"/>
      <c r="F63" s="42"/>
      <c r="G63" s="42"/>
      <c r="H63" s="42"/>
      <c r="I63" s="42"/>
      <c r="J63" s="42"/>
      <c r="K63" s="42"/>
      <c r="L63" s="99"/>
      <c r="M63" s="8"/>
      <c r="N63" s="8"/>
      <c r="O63" s="8"/>
    </row>
    <row r="64" spans="1:15">
      <c r="A64" s="2561"/>
      <c r="B64" s="2025"/>
      <c r="C64" s="116">
        <v>2016</v>
      </c>
      <c r="D64" s="117">
        <v>1</v>
      </c>
      <c r="E64" s="118">
        <v>1</v>
      </c>
      <c r="F64" s="42"/>
      <c r="G64" s="42"/>
      <c r="H64" s="42"/>
      <c r="I64" s="42"/>
      <c r="J64" s="42"/>
      <c r="K64" s="42"/>
      <c r="L64" s="99"/>
      <c r="M64" s="8"/>
      <c r="N64" s="8"/>
      <c r="O64" s="8"/>
    </row>
    <row r="65" spans="1:20">
      <c r="A65" s="2561"/>
      <c r="B65" s="2025"/>
      <c r="C65" s="116">
        <v>2017</v>
      </c>
      <c r="D65" s="117"/>
      <c r="E65" s="118"/>
      <c r="F65" s="42"/>
      <c r="G65" s="42"/>
      <c r="H65" s="42"/>
      <c r="I65" s="42"/>
      <c r="J65" s="42"/>
      <c r="K65" s="42"/>
      <c r="L65" s="99"/>
      <c r="M65" s="8"/>
      <c r="N65" s="8"/>
      <c r="O65" s="8"/>
    </row>
    <row r="66" spans="1:20">
      <c r="A66" s="2561"/>
      <c r="B66" s="2025"/>
      <c r="C66" s="116">
        <v>2018</v>
      </c>
      <c r="D66" s="117"/>
      <c r="E66" s="118"/>
      <c r="F66" s="42"/>
      <c r="G66" s="42"/>
      <c r="H66" s="42"/>
      <c r="I66" s="42"/>
      <c r="J66" s="42"/>
      <c r="K66" s="42"/>
      <c r="L66" s="99"/>
      <c r="M66" s="8"/>
      <c r="N66" s="8"/>
      <c r="O66" s="8"/>
    </row>
    <row r="67" spans="1:20" ht="17.25" customHeight="1">
      <c r="A67" s="2561"/>
      <c r="B67" s="2025"/>
      <c r="C67" s="116">
        <v>2019</v>
      </c>
      <c r="D67" s="117"/>
      <c r="E67" s="118"/>
      <c r="F67" s="42"/>
      <c r="G67" s="42"/>
      <c r="H67" s="42"/>
      <c r="I67" s="42"/>
      <c r="J67" s="42"/>
      <c r="K67" s="42"/>
      <c r="L67" s="99"/>
      <c r="M67" s="8"/>
      <c r="N67" s="8"/>
      <c r="O67" s="8"/>
    </row>
    <row r="68" spans="1:20" ht="16.5" customHeight="1">
      <c r="A68" s="2561"/>
      <c r="B68" s="2025"/>
      <c r="C68" s="116">
        <v>2020</v>
      </c>
      <c r="D68" s="117"/>
      <c r="E68" s="118"/>
      <c r="F68" s="42"/>
      <c r="G68" s="42"/>
      <c r="H68" s="42"/>
      <c r="I68" s="42"/>
      <c r="J68" s="42"/>
      <c r="K68" s="42"/>
      <c r="L68" s="99"/>
      <c r="M68" s="121"/>
      <c r="N68" s="121"/>
      <c r="O68" s="121"/>
    </row>
    <row r="69" spans="1:20" ht="18" customHeight="1" thickBot="1">
      <c r="A69" s="2134"/>
      <c r="B69" s="2027"/>
      <c r="C69" s="122" t="s">
        <v>12</v>
      </c>
      <c r="D69" s="123">
        <f>SUM(D62:D68)</f>
        <v>1</v>
      </c>
      <c r="E69" s="124">
        <f>SUM(E62:E68)</f>
        <v>1</v>
      </c>
      <c r="F69" s="125">
        <f t="shared" ref="F69:I69" si="4">SUM(F62:F68)</f>
        <v>0</v>
      </c>
      <c r="G69" s="125">
        <f t="shared" si="4"/>
        <v>0</v>
      </c>
      <c r="H69" s="125">
        <f t="shared" si="4"/>
        <v>0</v>
      </c>
      <c r="I69" s="125">
        <f t="shared" si="4"/>
        <v>0</v>
      </c>
      <c r="J69" s="125"/>
      <c r="K69" s="125">
        <f>SUM(K62:K68)</f>
        <v>0</v>
      </c>
      <c r="L69" s="126">
        <f>SUM(L62:L68)</f>
        <v>0</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1521" t="s">
        <v>42</v>
      </c>
      <c r="B71" s="1522" t="s">
        <v>7</v>
      </c>
      <c r="C71" s="80" t="s">
        <v>8</v>
      </c>
      <c r="D71" s="132" t="s">
        <v>43</v>
      </c>
      <c r="E71" s="132" t="s">
        <v>44</v>
      </c>
      <c r="F71" s="133" t="s">
        <v>45</v>
      </c>
      <c r="G71" s="1532" t="s">
        <v>46</v>
      </c>
      <c r="H71" s="135" t="s">
        <v>13</v>
      </c>
      <c r="I71" s="136" t="s">
        <v>14</v>
      </c>
      <c r="J71" s="137" t="s">
        <v>15</v>
      </c>
      <c r="K71" s="136" t="s">
        <v>16</v>
      </c>
      <c r="L71" s="136" t="s">
        <v>17</v>
      </c>
      <c r="M71" s="138" t="s">
        <v>18</v>
      </c>
      <c r="N71" s="137" t="s">
        <v>19</v>
      </c>
      <c r="O71" s="139" t="s">
        <v>20</v>
      </c>
    </row>
    <row r="72" spans="1:20" ht="15" customHeight="1">
      <c r="A72" s="2563"/>
      <c r="B72" s="2025"/>
      <c r="C72" s="84">
        <v>2014</v>
      </c>
      <c r="D72" s="140"/>
      <c r="E72" s="140"/>
      <c r="F72" s="140"/>
      <c r="G72" s="141">
        <f>SUM(D72:F72)</f>
        <v>0</v>
      </c>
      <c r="H72" s="33"/>
      <c r="I72" s="142"/>
      <c r="J72" s="115"/>
      <c r="K72" s="115"/>
      <c r="L72" s="115"/>
      <c r="M72" s="115"/>
      <c r="N72" s="115"/>
      <c r="O72" s="143"/>
    </row>
    <row r="73" spans="1:20">
      <c r="A73" s="2558"/>
      <c r="B73" s="2025"/>
      <c r="C73" s="86">
        <v>2015</v>
      </c>
      <c r="D73" s="147"/>
      <c r="E73" s="147"/>
      <c r="F73" s="147"/>
      <c r="G73" s="141">
        <f t="shared" ref="G73:G78" si="5">SUM(D73:F73)</f>
        <v>0</v>
      </c>
      <c r="H73" s="50"/>
      <c r="I73" s="50"/>
      <c r="J73" s="42"/>
      <c r="K73" s="42"/>
      <c r="L73" s="42"/>
      <c r="M73" s="42"/>
      <c r="N73" s="42"/>
      <c r="O73" s="99"/>
    </row>
    <row r="74" spans="1:20">
      <c r="A74" s="2558"/>
      <c r="B74" s="2025"/>
      <c r="C74" s="86">
        <v>2016</v>
      </c>
      <c r="D74" s="147"/>
      <c r="E74" s="147"/>
      <c r="F74" s="147"/>
      <c r="G74" s="141">
        <f t="shared" si="5"/>
        <v>0</v>
      </c>
      <c r="H74" s="50"/>
      <c r="I74" s="50"/>
      <c r="J74" s="42"/>
      <c r="K74" s="42"/>
      <c r="L74" s="42"/>
      <c r="M74" s="42"/>
      <c r="N74" s="42"/>
      <c r="O74" s="99"/>
    </row>
    <row r="75" spans="1:20">
      <c r="A75" s="2558"/>
      <c r="B75" s="2025"/>
      <c r="C75" s="86">
        <v>2017</v>
      </c>
      <c r="D75" s="147"/>
      <c r="E75" s="147"/>
      <c r="F75" s="147"/>
      <c r="G75" s="141">
        <f t="shared" si="5"/>
        <v>0</v>
      </c>
      <c r="H75" s="50"/>
      <c r="I75" s="50"/>
      <c r="J75" s="42"/>
      <c r="K75" s="42"/>
      <c r="L75" s="42"/>
      <c r="M75" s="42"/>
      <c r="N75" s="42"/>
      <c r="O75" s="99"/>
    </row>
    <row r="76" spans="1:20">
      <c r="A76" s="2558"/>
      <c r="B76" s="2025"/>
      <c r="C76" s="86">
        <v>2018</v>
      </c>
      <c r="D76" s="147"/>
      <c r="E76" s="147"/>
      <c r="F76" s="147"/>
      <c r="G76" s="141">
        <f t="shared" si="5"/>
        <v>0</v>
      </c>
      <c r="H76" s="50"/>
      <c r="I76" s="50"/>
      <c r="J76" s="42"/>
      <c r="K76" s="42"/>
      <c r="L76" s="42"/>
      <c r="M76" s="42"/>
      <c r="N76" s="42"/>
      <c r="O76" s="99"/>
    </row>
    <row r="77" spans="1:20" ht="15.75" customHeight="1">
      <c r="A77" s="2558"/>
      <c r="B77" s="2025"/>
      <c r="C77" s="86">
        <v>2019</v>
      </c>
      <c r="D77" s="147"/>
      <c r="E77" s="147"/>
      <c r="F77" s="147"/>
      <c r="G77" s="141">
        <f t="shared" si="5"/>
        <v>0</v>
      </c>
      <c r="H77" s="50"/>
      <c r="I77" s="50"/>
      <c r="J77" s="42"/>
      <c r="K77" s="42"/>
      <c r="L77" s="42"/>
      <c r="M77" s="42"/>
      <c r="N77" s="42"/>
      <c r="O77" s="99"/>
    </row>
    <row r="78" spans="1:20" ht="17.25" customHeight="1">
      <c r="A78" s="2558"/>
      <c r="B78" s="2025"/>
      <c r="C78" s="86">
        <v>2020</v>
      </c>
      <c r="D78" s="147"/>
      <c r="E78" s="147"/>
      <c r="F78" s="147"/>
      <c r="G78" s="141">
        <f t="shared" si="5"/>
        <v>0</v>
      </c>
      <c r="H78" s="50"/>
      <c r="I78" s="50"/>
      <c r="J78" s="42"/>
      <c r="K78" s="42"/>
      <c r="L78" s="42"/>
      <c r="M78" s="42"/>
      <c r="N78" s="42"/>
      <c r="O78" s="99"/>
    </row>
    <row r="79" spans="1:20" ht="20.25" customHeight="1" thickBot="1">
      <c r="A79" s="2134"/>
      <c r="B79" s="2027"/>
      <c r="C79" s="148" t="s">
        <v>12</v>
      </c>
      <c r="D79" s="123">
        <f>SUM(D72:D78)</f>
        <v>0</v>
      </c>
      <c r="E79" s="123">
        <f>SUM(E72:E78)</f>
        <v>0</v>
      </c>
      <c r="F79" s="123">
        <f>SUM(F72:F78)</f>
        <v>0</v>
      </c>
      <c r="G79" s="149">
        <f>SUM(G72:G78)</f>
        <v>0</v>
      </c>
      <c r="H79" s="150">
        <v>0</v>
      </c>
      <c r="I79" s="151">
        <f t="shared" ref="I79:O79" si="6">SUM(I72:I78)</f>
        <v>0</v>
      </c>
      <c r="J79" s="125">
        <f t="shared" si="6"/>
        <v>0</v>
      </c>
      <c r="K79" s="125">
        <f t="shared" si="6"/>
        <v>0</v>
      </c>
      <c r="L79" s="125">
        <f t="shared" si="6"/>
        <v>0</v>
      </c>
      <c r="M79" s="125">
        <f t="shared" si="6"/>
        <v>0</v>
      </c>
      <c r="N79" s="125">
        <f t="shared" si="6"/>
        <v>0</v>
      </c>
      <c r="O79" s="126">
        <f t="shared" si="6"/>
        <v>0</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1536" t="s">
        <v>49</v>
      </c>
      <c r="B84" s="1537" t="s">
        <v>50</v>
      </c>
      <c r="C84" s="161" t="s">
        <v>8</v>
      </c>
      <c r="D84" s="1538" t="s">
        <v>51</v>
      </c>
      <c r="E84" s="163" t="s">
        <v>52</v>
      </c>
      <c r="F84" s="164" t="s">
        <v>53</v>
      </c>
      <c r="G84" s="164" t="s">
        <v>54</v>
      </c>
      <c r="H84" s="164" t="s">
        <v>55</v>
      </c>
      <c r="I84" s="164" t="s">
        <v>56</v>
      </c>
      <c r="J84" s="164" t="s">
        <v>57</v>
      </c>
      <c r="K84" s="165" t="s">
        <v>58</v>
      </c>
    </row>
    <row r="85" spans="1:16" ht="15" customHeight="1">
      <c r="A85" s="2564"/>
      <c r="B85" s="2025"/>
      <c r="C85" s="84">
        <v>2014</v>
      </c>
      <c r="D85" s="166"/>
      <c r="E85" s="167"/>
      <c r="F85" s="34"/>
      <c r="G85" s="34"/>
      <c r="H85" s="34"/>
      <c r="I85" s="34"/>
      <c r="J85" s="34"/>
      <c r="K85" s="37"/>
    </row>
    <row r="86" spans="1:16">
      <c r="A86" s="2565"/>
      <c r="B86" s="2025"/>
      <c r="C86" s="86">
        <v>2015</v>
      </c>
      <c r="D86" s="168"/>
      <c r="E86" s="118"/>
      <c r="F86" s="42"/>
      <c r="G86" s="42"/>
      <c r="H86" s="42"/>
      <c r="I86" s="42"/>
      <c r="J86" s="42"/>
      <c r="K86" s="99"/>
    </row>
    <row r="87" spans="1:16">
      <c r="A87" s="2565"/>
      <c r="B87" s="2025"/>
      <c r="C87" s="86">
        <v>2016</v>
      </c>
      <c r="D87" s="168"/>
      <c r="E87" s="118"/>
      <c r="F87" s="42"/>
      <c r="G87" s="42"/>
      <c r="H87" s="42"/>
      <c r="I87" s="42"/>
      <c r="J87" s="42"/>
      <c r="K87" s="99"/>
    </row>
    <row r="88" spans="1:16">
      <c r="A88" s="2565"/>
      <c r="B88" s="2025"/>
      <c r="C88" s="86">
        <v>2017</v>
      </c>
      <c r="D88" s="168"/>
      <c r="E88" s="118"/>
      <c r="F88" s="42"/>
      <c r="G88" s="42"/>
      <c r="H88" s="42"/>
      <c r="I88" s="42"/>
      <c r="J88" s="42"/>
      <c r="K88" s="99"/>
    </row>
    <row r="89" spans="1:16">
      <c r="A89" s="2565"/>
      <c r="B89" s="2025"/>
      <c r="C89" s="86">
        <v>2018</v>
      </c>
      <c r="D89" s="168"/>
      <c r="E89" s="118"/>
      <c r="F89" s="42"/>
      <c r="G89" s="42"/>
      <c r="H89" s="42"/>
      <c r="I89" s="42"/>
      <c r="J89" s="42"/>
      <c r="K89" s="99"/>
    </row>
    <row r="90" spans="1:16">
      <c r="A90" s="2565"/>
      <c r="B90" s="2025"/>
      <c r="C90" s="86">
        <v>2019</v>
      </c>
      <c r="D90" s="168"/>
      <c r="E90" s="118"/>
      <c r="F90" s="42"/>
      <c r="G90" s="42"/>
      <c r="H90" s="42"/>
      <c r="I90" s="42"/>
      <c r="J90" s="42"/>
      <c r="K90" s="99"/>
    </row>
    <row r="91" spans="1:16">
      <c r="A91" s="2565"/>
      <c r="B91" s="2025"/>
      <c r="C91" s="86">
        <v>2020</v>
      </c>
      <c r="D91" s="168"/>
      <c r="E91" s="118"/>
      <c r="F91" s="42"/>
      <c r="G91" s="42"/>
      <c r="H91" s="42"/>
      <c r="I91" s="42"/>
      <c r="J91" s="42"/>
      <c r="K91" s="99"/>
    </row>
    <row r="92" spans="1:16" ht="18" customHeight="1" thickBot="1">
      <c r="A92" s="2073"/>
      <c r="B92" s="2027"/>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737" t="s">
        <v>60</v>
      </c>
      <c r="B96" s="2738" t="s">
        <v>61</v>
      </c>
      <c r="C96" s="2734" t="s">
        <v>8</v>
      </c>
      <c r="D96" s="2735" t="s">
        <v>62</v>
      </c>
      <c r="E96" s="2736"/>
      <c r="F96" s="1539" t="s">
        <v>63</v>
      </c>
      <c r="G96" s="1484"/>
      <c r="H96" s="1484"/>
      <c r="I96" s="1484"/>
      <c r="J96" s="1484"/>
      <c r="K96" s="1484"/>
      <c r="L96" s="1484"/>
      <c r="M96" s="1540"/>
      <c r="N96" s="177"/>
      <c r="O96" s="177"/>
      <c r="P96" s="177"/>
    </row>
    <row r="97" spans="1:16" ht="100.5" customHeight="1">
      <c r="A97" s="2765"/>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560"/>
      <c r="B98" s="2025"/>
      <c r="C98" s="112">
        <v>2014</v>
      </c>
      <c r="D98" s="33"/>
      <c r="E98" s="34"/>
      <c r="F98" s="186"/>
      <c r="G98" s="187"/>
      <c r="H98" s="187"/>
      <c r="I98" s="187"/>
      <c r="J98" s="187"/>
      <c r="K98" s="187"/>
      <c r="L98" s="187"/>
      <c r="M98" s="188"/>
      <c r="N98" s="177"/>
      <c r="O98" s="177"/>
      <c r="P98" s="177"/>
    </row>
    <row r="99" spans="1:16" ht="16.5" customHeight="1">
      <c r="A99" s="2561"/>
      <c r="B99" s="2025"/>
      <c r="C99" s="116">
        <v>2015</v>
      </c>
      <c r="D99" s="50"/>
      <c r="E99" s="42"/>
      <c r="F99" s="189"/>
      <c r="G99" s="190"/>
      <c r="H99" s="190"/>
      <c r="I99" s="190"/>
      <c r="J99" s="190"/>
      <c r="K99" s="190"/>
      <c r="L99" s="190"/>
      <c r="M99" s="193"/>
      <c r="N99" s="177"/>
      <c r="O99" s="177"/>
      <c r="P99" s="177"/>
    </row>
    <row r="100" spans="1:16" ht="16.5" customHeight="1">
      <c r="A100" s="2561"/>
      <c r="B100" s="2025"/>
      <c r="C100" s="116">
        <v>2016</v>
      </c>
      <c r="D100" s="50"/>
      <c r="E100" s="42"/>
      <c r="F100" s="189"/>
      <c r="G100" s="190"/>
      <c r="H100" s="190"/>
      <c r="I100" s="190"/>
      <c r="J100" s="190"/>
      <c r="K100" s="190"/>
      <c r="L100" s="190"/>
      <c r="M100" s="193"/>
      <c r="N100" s="177"/>
      <c r="O100" s="177"/>
      <c r="P100" s="177"/>
    </row>
    <row r="101" spans="1:16" ht="16.5" customHeight="1">
      <c r="A101" s="2561"/>
      <c r="B101" s="2025"/>
      <c r="C101" s="116">
        <v>2017</v>
      </c>
      <c r="D101" s="50"/>
      <c r="E101" s="42"/>
      <c r="F101" s="189"/>
      <c r="G101" s="190"/>
      <c r="H101" s="190"/>
      <c r="I101" s="190"/>
      <c r="J101" s="190"/>
      <c r="K101" s="190"/>
      <c r="L101" s="190"/>
      <c r="M101" s="193"/>
      <c r="N101" s="177"/>
      <c r="O101" s="177"/>
      <c r="P101" s="177"/>
    </row>
    <row r="102" spans="1:16" ht="15.75" customHeight="1">
      <c r="A102" s="2561"/>
      <c r="B102" s="2025"/>
      <c r="C102" s="116">
        <v>2018</v>
      </c>
      <c r="D102" s="50"/>
      <c r="E102" s="42"/>
      <c r="F102" s="189"/>
      <c r="G102" s="190"/>
      <c r="H102" s="190"/>
      <c r="I102" s="190"/>
      <c r="J102" s="190"/>
      <c r="K102" s="190"/>
      <c r="L102" s="190"/>
      <c r="M102" s="193"/>
      <c r="N102" s="177"/>
      <c r="O102" s="177"/>
      <c r="P102" s="177"/>
    </row>
    <row r="103" spans="1:16" ht="14.25" customHeight="1">
      <c r="A103" s="2561"/>
      <c r="B103" s="2025"/>
      <c r="C103" s="116">
        <v>2019</v>
      </c>
      <c r="D103" s="50"/>
      <c r="E103" s="42"/>
      <c r="F103" s="189"/>
      <c r="G103" s="190"/>
      <c r="H103" s="190"/>
      <c r="I103" s="190"/>
      <c r="J103" s="190"/>
      <c r="K103" s="190"/>
      <c r="L103" s="190"/>
      <c r="M103" s="193"/>
      <c r="N103" s="177"/>
      <c r="O103" s="177"/>
      <c r="P103" s="177"/>
    </row>
    <row r="104" spans="1:16" ht="14.25" customHeight="1">
      <c r="A104" s="2561"/>
      <c r="B104" s="2025"/>
      <c r="C104" s="116">
        <v>2020</v>
      </c>
      <c r="D104" s="50"/>
      <c r="E104" s="42"/>
      <c r="F104" s="189"/>
      <c r="G104" s="190"/>
      <c r="H104" s="190"/>
      <c r="I104" s="190"/>
      <c r="J104" s="190"/>
      <c r="K104" s="190"/>
      <c r="L104" s="190"/>
      <c r="M104" s="193"/>
      <c r="N104" s="177"/>
      <c r="O104" s="177"/>
      <c r="P104" s="177"/>
    </row>
    <row r="105" spans="1:16" ht="19.5" customHeight="1" thickBot="1">
      <c r="A105" s="2046"/>
      <c r="B105" s="2027"/>
      <c r="C105" s="122" t="s">
        <v>12</v>
      </c>
      <c r="D105" s="151">
        <f>SUM(D98:D104)</f>
        <v>0</v>
      </c>
      <c r="E105" s="125">
        <f t="shared" ref="E105:K105" si="8">SUM(E98:E104)</f>
        <v>0</v>
      </c>
      <c r="F105" s="194">
        <f t="shared" si="8"/>
        <v>0</v>
      </c>
      <c r="G105" s="195">
        <f t="shared" si="8"/>
        <v>0</v>
      </c>
      <c r="H105" s="195">
        <f t="shared" si="8"/>
        <v>0</v>
      </c>
      <c r="I105" s="195">
        <f>SUM(I98:I104)</f>
        <v>0</v>
      </c>
      <c r="J105" s="195">
        <f t="shared" si="8"/>
        <v>0</v>
      </c>
      <c r="K105" s="195">
        <f t="shared" si="8"/>
        <v>0</v>
      </c>
      <c r="L105" s="195">
        <f>SUM(L98:L104)</f>
        <v>0</v>
      </c>
      <c r="M105" s="196">
        <f>SUM(M98:M104)</f>
        <v>0</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737" t="s">
        <v>69</v>
      </c>
      <c r="B107" s="2738" t="s">
        <v>61</v>
      </c>
      <c r="C107" s="2734" t="s">
        <v>8</v>
      </c>
      <c r="D107" s="2670" t="s">
        <v>70</v>
      </c>
      <c r="E107" s="1539" t="s">
        <v>71</v>
      </c>
      <c r="F107" s="1484"/>
      <c r="G107" s="1484"/>
      <c r="H107" s="1484"/>
      <c r="I107" s="1484"/>
      <c r="J107" s="1484"/>
      <c r="K107" s="1484"/>
      <c r="L107" s="1540"/>
      <c r="M107" s="199"/>
      <c r="N107" s="199"/>
    </row>
    <row r="108" spans="1:16" ht="103.5" customHeight="1">
      <c r="A108" s="2765"/>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560"/>
      <c r="B109" s="2025"/>
      <c r="C109" s="112">
        <v>2014</v>
      </c>
      <c r="D109" s="34"/>
      <c r="E109" s="186"/>
      <c r="F109" s="187"/>
      <c r="G109" s="187"/>
      <c r="H109" s="187"/>
      <c r="I109" s="187"/>
      <c r="J109" s="187"/>
      <c r="K109" s="187"/>
      <c r="L109" s="188"/>
      <c r="M109" s="199"/>
      <c r="N109" s="199"/>
    </row>
    <row r="110" spans="1:16">
      <c r="A110" s="2561"/>
      <c r="B110" s="2025"/>
      <c r="C110" s="116">
        <v>2015</v>
      </c>
      <c r="D110" s="42"/>
      <c r="E110" s="189"/>
      <c r="F110" s="190"/>
      <c r="G110" s="190"/>
      <c r="H110" s="190"/>
      <c r="I110" s="190"/>
      <c r="J110" s="190"/>
      <c r="K110" s="190"/>
      <c r="L110" s="193"/>
      <c r="M110" s="199"/>
      <c r="N110" s="199"/>
    </row>
    <row r="111" spans="1:16">
      <c r="A111" s="2561"/>
      <c r="B111" s="2025"/>
      <c r="C111" s="116">
        <v>2016</v>
      </c>
      <c r="D111" s="42"/>
      <c r="E111" s="189"/>
      <c r="F111" s="190"/>
      <c r="G111" s="190"/>
      <c r="H111" s="190"/>
      <c r="I111" s="190"/>
      <c r="J111" s="190"/>
      <c r="K111" s="190"/>
      <c r="L111" s="193"/>
      <c r="M111" s="199"/>
      <c r="N111" s="199"/>
    </row>
    <row r="112" spans="1:16">
      <c r="A112" s="2561"/>
      <c r="B112" s="2025"/>
      <c r="C112" s="116">
        <v>2017</v>
      </c>
      <c r="D112" s="42"/>
      <c r="E112" s="189"/>
      <c r="F112" s="190"/>
      <c r="G112" s="190"/>
      <c r="H112" s="190"/>
      <c r="I112" s="190"/>
      <c r="J112" s="190"/>
      <c r="K112" s="190"/>
      <c r="L112" s="193"/>
      <c r="M112" s="199"/>
      <c r="N112" s="199"/>
    </row>
    <row r="113" spans="1:14">
      <c r="A113" s="2561"/>
      <c r="B113" s="2025"/>
      <c r="C113" s="116">
        <v>2018</v>
      </c>
      <c r="D113" s="42"/>
      <c r="E113" s="189"/>
      <c r="F113" s="190"/>
      <c r="G113" s="190"/>
      <c r="H113" s="190"/>
      <c r="I113" s="190"/>
      <c r="J113" s="190"/>
      <c r="K113" s="190"/>
      <c r="L113" s="193"/>
      <c r="M113" s="199"/>
      <c r="N113" s="199"/>
    </row>
    <row r="114" spans="1:14">
      <c r="A114" s="2561"/>
      <c r="B114" s="2025"/>
      <c r="C114" s="116">
        <v>2019</v>
      </c>
      <c r="D114" s="42"/>
      <c r="E114" s="189"/>
      <c r="F114" s="190"/>
      <c r="G114" s="190"/>
      <c r="H114" s="190"/>
      <c r="I114" s="190"/>
      <c r="J114" s="190"/>
      <c r="K114" s="190"/>
      <c r="L114" s="193"/>
      <c r="M114" s="199"/>
      <c r="N114" s="199"/>
    </row>
    <row r="115" spans="1:14">
      <c r="A115" s="2561"/>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737" t="s">
        <v>72</v>
      </c>
      <c r="B118" s="2738" t="s">
        <v>61</v>
      </c>
      <c r="C118" s="2734" t="s">
        <v>8</v>
      </c>
      <c r="D118" s="2670" t="s">
        <v>73</v>
      </c>
      <c r="E118" s="1539" t="s">
        <v>71</v>
      </c>
      <c r="F118" s="1484"/>
      <c r="G118" s="1484"/>
      <c r="H118" s="1484"/>
      <c r="I118" s="1484"/>
      <c r="J118" s="1484"/>
      <c r="K118" s="1484"/>
      <c r="L118" s="1540"/>
      <c r="M118" s="199"/>
      <c r="N118" s="199"/>
    </row>
    <row r="119" spans="1:14" ht="120.75" customHeight="1">
      <c r="A119" s="2765"/>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560"/>
      <c r="B120" s="2025"/>
      <c r="C120" s="112">
        <v>2014</v>
      </c>
      <c r="D120" s="34"/>
      <c r="E120" s="186"/>
      <c r="F120" s="187"/>
      <c r="G120" s="187"/>
      <c r="H120" s="187"/>
      <c r="I120" s="187"/>
      <c r="J120" s="187"/>
      <c r="K120" s="187"/>
      <c r="L120" s="188"/>
      <c r="M120" s="199"/>
      <c r="N120" s="199"/>
    </row>
    <row r="121" spans="1:14">
      <c r="A121" s="2561"/>
      <c r="B121" s="2025"/>
      <c r="C121" s="116">
        <v>2015</v>
      </c>
      <c r="D121" s="42"/>
      <c r="E121" s="189"/>
      <c r="F121" s="190"/>
      <c r="G121" s="190"/>
      <c r="H121" s="190"/>
      <c r="I121" s="190"/>
      <c r="J121" s="190"/>
      <c r="K121" s="190"/>
      <c r="L121" s="193"/>
      <c r="M121" s="199"/>
      <c r="N121" s="199"/>
    </row>
    <row r="122" spans="1:14">
      <c r="A122" s="2561"/>
      <c r="B122" s="2025"/>
      <c r="C122" s="116">
        <v>2016</v>
      </c>
      <c r="D122" s="42"/>
      <c r="E122" s="189"/>
      <c r="F122" s="190"/>
      <c r="G122" s="190"/>
      <c r="H122" s="190"/>
      <c r="I122" s="190"/>
      <c r="J122" s="190"/>
      <c r="K122" s="190"/>
      <c r="L122" s="193"/>
      <c r="M122" s="199"/>
      <c r="N122" s="199"/>
    </row>
    <row r="123" spans="1:14">
      <c r="A123" s="2561"/>
      <c r="B123" s="2025"/>
      <c r="C123" s="116">
        <v>2017</v>
      </c>
      <c r="D123" s="42"/>
      <c r="E123" s="189"/>
      <c r="F123" s="190"/>
      <c r="G123" s="190"/>
      <c r="H123" s="190"/>
      <c r="I123" s="190"/>
      <c r="J123" s="190"/>
      <c r="K123" s="190"/>
      <c r="L123" s="193"/>
      <c r="M123" s="199"/>
      <c r="N123" s="199"/>
    </row>
    <row r="124" spans="1:14">
      <c r="A124" s="2561"/>
      <c r="B124" s="2025"/>
      <c r="C124" s="116">
        <v>2018</v>
      </c>
      <c r="D124" s="42"/>
      <c r="E124" s="189"/>
      <c r="F124" s="190"/>
      <c r="G124" s="190"/>
      <c r="H124" s="190"/>
      <c r="I124" s="190"/>
      <c r="J124" s="190"/>
      <c r="K124" s="190"/>
      <c r="L124" s="193"/>
      <c r="M124" s="199"/>
      <c r="N124" s="199"/>
    </row>
    <row r="125" spans="1:14">
      <c r="A125" s="2561"/>
      <c r="B125" s="2025"/>
      <c r="C125" s="116">
        <v>2019</v>
      </c>
      <c r="D125" s="42"/>
      <c r="E125" s="189"/>
      <c r="F125" s="190"/>
      <c r="G125" s="190"/>
      <c r="H125" s="190"/>
      <c r="I125" s="190"/>
      <c r="J125" s="190"/>
      <c r="K125" s="190"/>
      <c r="L125" s="193"/>
      <c r="M125" s="199"/>
      <c r="N125" s="199"/>
    </row>
    <row r="126" spans="1:14">
      <c r="A126" s="2561"/>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737" t="s">
        <v>74</v>
      </c>
      <c r="B129" s="2738" t="s">
        <v>61</v>
      </c>
      <c r="C129" s="1541" t="s">
        <v>8</v>
      </c>
      <c r="D129" s="1542" t="s">
        <v>75</v>
      </c>
      <c r="E129" s="1486"/>
      <c r="F129" s="1486"/>
      <c r="G129" s="1543"/>
      <c r="H129" s="199"/>
      <c r="I129" s="199"/>
      <c r="J129" s="199"/>
      <c r="K129" s="199"/>
      <c r="L129" s="199"/>
      <c r="M129" s="199"/>
      <c r="N129" s="199"/>
    </row>
    <row r="130" spans="1:16" ht="77.25" customHeight="1">
      <c r="A130" s="2765"/>
      <c r="B130" s="2043"/>
      <c r="C130" s="1472"/>
      <c r="D130" s="178" t="s">
        <v>76</v>
      </c>
      <c r="E130" s="207" t="s">
        <v>77</v>
      </c>
      <c r="F130" s="179" t="s">
        <v>78</v>
      </c>
      <c r="G130" s="208" t="s">
        <v>12</v>
      </c>
      <c r="H130" s="199"/>
      <c r="I130" s="199"/>
      <c r="J130" s="199"/>
      <c r="K130" s="199"/>
      <c r="L130" s="199"/>
      <c r="M130" s="199"/>
      <c r="N130" s="199"/>
    </row>
    <row r="131" spans="1:16" ht="15" customHeight="1">
      <c r="A131" s="2563"/>
      <c r="B131" s="1988"/>
      <c r="C131" s="340">
        <v>2015</v>
      </c>
      <c r="D131" s="557"/>
      <c r="E131" s="342"/>
      <c r="F131" s="342"/>
      <c r="G131" s="209">
        <f t="shared" ref="G131:G136" si="11">SUM(D131:F131)</f>
        <v>0</v>
      </c>
      <c r="H131" s="199"/>
      <c r="I131" s="199"/>
      <c r="J131" s="199"/>
      <c r="K131" s="199"/>
      <c r="L131" s="199"/>
      <c r="M131" s="199"/>
      <c r="N131" s="199"/>
    </row>
    <row r="132" spans="1:16">
      <c r="A132" s="2558"/>
      <c r="B132" s="1988"/>
      <c r="C132" s="116">
        <v>2016</v>
      </c>
      <c r="D132" s="50"/>
      <c r="E132" s="42"/>
      <c r="F132" s="42"/>
      <c r="G132" s="209">
        <f t="shared" si="11"/>
        <v>0</v>
      </c>
      <c r="H132" s="199"/>
      <c r="I132" s="199"/>
      <c r="J132" s="199"/>
      <c r="K132" s="199"/>
      <c r="L132" s="199"/>
      <c r="M132" s="199"/>
      <c r="N132" s="199"/>
    </row>
    <row r="133" spans="1:16">
      <c r="A133" s="2558"/>
      <c r="B133" s="1988"/>
      <c r="C133" s="116">
        <v>2017</v>
      </c>
      <c r="D133" s="50"/>
      <c r="E133" s="42"/>
      <c r="F133" s="42"/>
      <c r="G133" s="209">
        <f t="shared" si="11"/>
        <v>0</v>
      </c>
      <c r="H133" s="199"/>
      <c r="I133" s="199"/>
      <c r="J133" s="199"/>
      <c r="K133" s="199"/>
      <c r="L133" s="199"/>
      <c r="M133" s="199"/>
      <c r="N133" s="199"/>
    </row>
    <row r="134" spans="1:16">
      <c r="A134" s="2558"/>
      <c r="B134" s="1988"/>
      <c r="C134" s="116">
        <v>2018</v>
      </c>
      <c r="D134" s="50"/>
      <c r="E134" s="42"/>
      <c r="F134" s="42"/>
      <c r="G134" s="209">
        <f t="shared" si="11"/>
        <v>0</v>
      </c>
      <c r="H134" s="199"/>
      <c r="I134" s="199"/>
      <c r="J134" s="199"/>
      <c r="K134" s="199"/>
      <c r="L134" s="199"/>
      <c r="M134" s="199"/>
      <c r="N134" s="199"/>
    </row>
    <row r="135" spans="1:16">
      <c r="A135" s="2558"/>
      <c r="B135" s="1988"/>
      <c r="C135" s="116">
        <v>2019</v>
      </c>
      <c r="D135" s="50"/>
      <c r="E135" s="42"/>
      <c r="F135" s="42"/>
      <c r="G135" s="209">
        <f t="shared" si="11"/>
        <v>0</v>
      </c>
      <c r="H135" s="199"/>
      <c r="I135" s="199"/>
      <c r="J135" s="199"/>
      <c r="K135" s="199"/>
      <c r="L135" s="199"/>
      <c r="M135" s="199"/>
      <c r="N135" s="199"/>
    </row>
    <row r="136" spans="1:16">
      <c r="A136" s="2558"/>
      <c r="B136" s="1988"/>
      <c r="C136" s="116">
        <v>2020</v>
      </c>
      <c r="D136" s="50"/>
      <c r="E136" s="42"/>
      <c r="F136" s="42"/>
      <c r="G136" s="209">
        <f t="shared" si="11"/>
        <v>0</v>
      </c>
      <c r="H136" s="199"/>
      <c r="I136" s="199"/>
      <c r="J136" s="199"/>
      <c r="K136" s="199"/>
      <c r="L136" s="199"/>
      <c r="M136" s="199"/>
      <c r="N136" s="199"/>
    </row>
    <row r="137" spans="1:16" ht="17.25" customHeight="1" thickBot="1">
      <c r="A137" s="1989"/>
      <c r="B137" s="1990"/>
      <c r="C137" s="122" t="s">
        <v>12</v>
      </c>
      <c r="D137" s="151">
        <f>SUM(D131:D136)</f>
        <v>0</v>
      </c>
      <c r="E137" s="151">
        <f t="shared" ref="E137:F137" si="12">SUM(E131:E136)</f>
        <v>0</v>
      </c>
      <c r="F137" s="151">
        <f t="shared" si="12"/>
        <v>0</v>
      </c>
      <c r="G137" s="210">
        <f>SUM(G131:G136)</f>
        <v>0</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739" t="s">
        <v>80</v>
      </c>
      <c r="B142" s="2740" t="s">
        <v>61</v>
      </c>
      <c r="C142" s="2746" t="s">
        <v>8</v>
      </c>
      <c r="D142" s="1544" t="s">
        <v>81</v>
      </c>
      <c r="E142" s="1545"/>
      <c r="F142" s="1545"/>
      <c r="G142" s="1545"/>
      <c r="H142" s="1545"/>
      <c r="I142" s="1546"/>
      <c r="J142" s="2741" t="s">
        <v>82</v>
      </c>
      <c r="K142" s="2742"/>
      <c r="L142" s="2742"/>
      <c r="M142" s="2742"/>
      <c r="N142" s="2743"/>
      <c r="O142" s="177"/>
      <c r="P142" s="177"/>
    </row>
    <row r="143" spans="1:16" ht="113.25" customHeight="1">
      <c r="A143" s="2766"/>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560"/>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561"/>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561"/>
      <c r="B146" s="2025"/>
      <c r="C146" s="116">
        <v>2016</v>
      </c>
      <c r="D146" s="50"/>
      <c r="E146" s="50"/>
      <c r="F146" s="42"/>
      <c r="G146" s="190"/>
      <c r="H146" s="190"/>
      <c r="I146" s="227">
        <f t="shared" si="13"/>
        <v>0</v>
      </c>
      <c r="J146" s="231"/>
      <c r="K146" s="232"/>
      <c r="L146" s="231"/>
      <c r="M146" s="232"/>
      <c r="N146" s="233"/>
      <c r="O146" s="177"/>
      <c r="P146" s="177"/>
    </row>
    <row r="147" spans="1:16" ht="17.25" customHeight="1">
      <c r="A147" s="2561"/>
      <c r="B147" s="2025"/>
      <c r="C147" s="116">
        <v>2017</v>
      </c>
      <c r="D147" s="50"/>
      <c r="E147" s="50"/>
      <c r="F147" s="42"/>
      <c r="G147" s="190"/>
      <c r="H147" s="190"/>
      <c r="I147" s="227">
        <f t="shared" si="13"/>
        <v>0</v>
      </c>
      <c r="J147" s="231"/>
      <c r="K147" s="232"/>
      <c r="L147" s="231"/>
      <c r="M147" s="232"/>
      <c r="N147" s="233"/>
      <c r="O147" s="177"/>
      <c r="P147" s="177"/>
    </row>
    <row r="148" spans="1:16" ht="19.5" customHeight="1">
      <c r="A148" s="2561"/>
      <c r="B148" s="2025"/>
      <c r="C148" s="116">
        <v>2018</v>
      </c>
      <c r="D148" s="50"/>
      <c r="E148" s="50"/>
      <c r="F148" s="42"/>
      <c r="G148" s="190"/>
      <c r="H148" s="190"/>
      <c r="I148" s="227">
        <f t="shared" si="13"/>
        <v>0</v>
      </c>
      <c r="J148" s="231"/>
      <c r="K148" s="232"/>
      <c r="L148" s="231"/>
      <c r="M148" s="232"/>
      <c r="N148" s="233"/>
      <c r="O148" s="177"/>
      <c r="P148" s="177"/>
    </row>
    <row r="149" spans="1:16" ht="19.5" customHeight="1">
      <c r="A149" s="2561"/>
      <c r="B149" s="2025"/>
      <c r="C149" s="116">
        <v>2019</v>
      </c>
      <c r="D149" s="50"/>
      <c r="E149" s="50"/>
      <c r="F149" s="42"/>
      <c r="G149" s="190"/>
      <c r="H149" s="190"/>
      <c r="I149" s="227">
        <f t="shared" si="13"/>
        <v>0</v>
      </c>
      <c r="J149" s="231"/>
      <c r="K149" s="232"/>
      <c r="L149" s="231"/>
      <c r="M149" s="232"/>
      <c r="N149" s="233"/>
      <c r="O149" s="177"/>
      <c r="P149" s="177"/>
    </row>
    <row r="150" spans="1:16" ht="18.75" customHeight="1">
      <c r="A150" s="2561"/>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744" t="s">
        <v>93</v>
      </c>
      <c r="B153" s="2740" t="s">
        <v>61</v>
      </c>
      <c r="C153" s="2745" t="s">
        <v>8</v>
      </c>
      <c r="D153" s="1490" t="s">
        <v>94</v>
      </c>
      <c r="E153" s="1490"/>
      <c r="F153" s="1547"/>
      <c r="G153" s="1547"/>
      <c r="H153" s="1490" t="s">
        <v>95</v>
      </c>
      <c r="I153" s="1490"/>
      <c r="J153" s="1548"/>
      <c r="K153" s="31"/>
      <c r="L153" s="31"/>
      <c r="M153" s="31"/>
      <c r="N153" s="31"/>
      <c r="O153" s="177"/>
      <c r="P153" s="177"/>
    </row>
    <row r="154" spans="1:16" ht="49.5" customHeight="1">
      <c r="A154" s="2562"/>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560"/>
      <c r="B155" s="2025"/>
      <c r="C155" s="247">
        <v>2014</v>
      </c>
      <c r="D155" s="228"/>
      <c r="E155" s="187"/>
      <c r="F155" s="229"/>
      <c r="G155" s="227">
        <f>SUM(D155:F155)</f>
        <v>0</v>
      </c>
      <c r="H155" s="228"/>
      <c r="I155" s="187"/>
      <c r="J155" s="188"/>
      <c r="O155" s="177"/>
      <c r="P155" s="177"/>
    </row>
    <row r="156" spans="1:16" ht="19.5" customHeight="1">
      <c r="A156" s="2561"/>
      <c r="B156" s="2025"/>
      <c r="C156" s="248">
        <v>2015</v>
      </c>
      <c r="D156" s="231"/>
      <c r="E156" s="190"/>
      <c r="F156" s="232"/>
      <c r="G156" s="227">
        <f t="shared" ref="G156:G161" si="15">SUM(D156:F156)</f>
        <v>0</v>
      </c>
      <c r="H156" s="231"/>
      <c r="I156" s="190"/>
      <c r="J156" s="193"/>
      <c r="O156" s="177"/>
      <c r="P156" s="177"/>
    </row>
    <row r="157" spans="1:16" ht="17.25" customHeight="1">
      <c r="A157" s="2561"/>
      <c r="B157" s="2025"/>
      <c r="C157" s="248">
        <v>2016</v>
      </c>
      <c r="D157" s="231"/>
      <c r="E157" s="190"/>
      <c r="F157" s="232"/>
      <c r="G157" s="227">
        <f t="shared" si="15"/>
        <v>0</v>
      </c>
      <c r="H157" s="231"/>
      <c r="I157" s="190"/>
      <c r="J157" s="193"/>
      <c r="O157" s="177"/>
      <c r="P157" s="177"/>
    </row>
    <row r="158" spans="1:16" ht="15" customHeight="1">
      <c r="A158" s="2561"/>
      <c r="B158" s="2025"/>
      <c r="C158" s="248">
        <v>2017</v>
      </c>
      <c r="D158" s="231"/>
      <c r="E158" s="190"/>
      <c r="F158" s="232"/>
      <c r="G158" s="227">
        <f t="shared" si="15"/>
        <v>0</v>
      </c>
      <c r="H158" s="231"/>
      <c r="I158" s="190"/>
      <c r="J158" s="193"/>
      <c r="O158" s="177"/>
      <c r="P158" s="177"/>
    </row>
    <row r="159" spans="1:16" ht="19.5" customHeight="1">
      <c r="A159" s="2561"/>
      <c r="B159" s="2025"/>
      <c r="C159" s="248">
        <v>2018</v>
      </c>
      <c r="D159" s="231"/>
      <c r="E159" s="190"/>
      <c r="F159" s="232"/>
      <c r="G159" s="227">
        <f t="shared" si="15"/>
        <v>0</v>
      </c>
      <c r="H159" s="231"/>
      <c r="I159" s="190"/>
      <c r="J159" s="193"/>
      <c r="O159" s="177"/>
      <c r="P159" s="177"/>
    </row>
    <row r="160" spans="1:16" ht="15" customHeight="1">
      <c r="A160" s="2561"/>
      <c r="B160" s="2025"/>
      <c r="C160" s="248">
        <v>2019</v>
      </c>
      <c r="D160" s="231"/>
      <c r="E160" s="190"/>
      <c r="F160" s="232"/>
      <c r="G160" s="227">
        <f t="shared" si="15"/>
        <v>0</v>
      </c>
      <c r="H160" s="231"/>
      <c r="I160" s="190"/>
      <c r="J160" s="193"/>
      <c r="O160" s="177"/>
      <c r="P160" s="177"/>
    </row>
    <row r="161" spans="1:18" ht="17.25" customHeight="1">
      <c r="A161" s="2561"/>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1491"/>
      <c r="F163" s="177"/>
      <c r="G163" s="177"/>
      <c r="H163" s="177"/>
      <c r="I163" s="177"/>
      <c r="J163" s="255"/>
      <c r="K163" s="256"/>
    </row>
    <row r="164" spans="1:18" ht="95.25" customHeight="1">
      <c r="A164" s="1549" t="s">
        <v>102</v>
      </c>
      <c r="B164" s="258" t="s">
        <v>103</v>
      </c>
      <c r="C164" s="1447" t="s">
        <v>8</v>
      </c>
      <c r="D164" s="260" t="s">
        <v>104</v>
      </c>
      <c r="E164" s="260" t="s">
        <v>105</v>
      </c>
      <c r="F164" s="1492" t="s">
        <v>106</v>
      </c>
      <c r="G164" s="260" t="s">
        <v>107</v>
      </c>
      <c r="H164" s="260" t="s">
        <v>108</v>
      </c>
      <c r="I164" s="262" t="s">
        <v>109</v>
      </c>
      <c r="J164" s="1550" t="s">
        <v>110</v>
      </c>
      <c r="K164" s="1550" t="s">
        <v>111</v>
      </c>
      <c r="L164" s="1380"/>
    </row>
    <row r="165" spans="1:18" ht="15.75" customHeight="1">
      <c r="A165" s="2011"/>
      <c r="B165" s="2012"/>
      <c r="C165" s="265">
        <v>2014</v>
      </c>
      <c r="D165" s="187"/>
      <c r="E165" s="187"/>
      <c r="F165" s="187"/>
      <c r="G165" s="187"/>
      <c r="H165" s="187"/>
      <c r="I165" s="188"/>
      <c r="J165" s="1565">
        <f>SUM(D165,F165,H165)</f>
        <v>0</v>
      </c>
      <c r="K165" s="267">
        <f>SUM(E165,G165,I165)</f>
        <v>0</v>
      </c>
      <c r="L165" s="1380"/>
    </row>
    <row r="166" spans="1:18">
      <c r="A166" s="2013"/>
      <c r="B166" s="2014"/>
      <c r="C166" s="268">
        <v>2015</v>
      </c>
      <c r="D166" s="269"/>
      <c r="E166" s="269"/>
      <c r="F166" s="269"/>
      <c r="G166" s="269"/>
      <c r="H166" s="269"/>
      <c r="I166" s="270"/>
      <c r="J166" s="1566">
        <f t="shared" ref="J166:K171" si="17">SUM(D166,F166,H166)</f>
        <v>0</v>
      </c>
      <c r="K166" s="272">
        <f t="shared" si="17"/>
        <v>0</v>
      </c>
      <c r="L166" s="1380"/>
    </row>
    <row r="167" spans="1:18">
      <c r="A167" s="2013"/>
      <c r="B167" s="2014"/>
      <c r="C167" s="268">
        <v>2016</v>
      </c>
      <c r="D167" s="269"/>
      <c r="E167" s="269"/>
      <c r="F167" s="269"/>
      <c r="G167" s="269"/>
      <c r="H167" s="269"/>
      <c r="I167" s="270"/>
      <c r="J167" s="1566">
        <f t="shared" si="17"/>
        <v>0</v>
      </c>
      <c r="K167" s="272">
        <f t="shared" si="17"/>
        <v>0</v>
      </c>
    </row>
    <row r="168" spans="1:18">
      <c r="A168" s="2013"/>
      <c r="B168" s="2014"/>
      <c r="C168" s="268">
        <v>2017</v>
      </c>
      <c r="D168" s="269"/>
      <c r="E168" s="177"/>
      <c r="F168" s="269"/>
      <c r="G168" s="269"/>
      <c r="H168" s="269"/>
      <c r="I168" s="270"/>
      <c r="J168" s="1566">
        <f t="shared" si="17"/>
        <v>0</v>
      </c>
      <c r="K168" s="272">
        <f t="shared" si="17"/>
        <v>0</v>
      </c>
    </row>
    <row r="169" spans="1:18">
      <c r="A169" s="2013"/>
      <c r="B169" s="2014"/>
      <c r="C169" s="273">
        <v>2018</v>
      </c>
      <c r="D169" s="269"/>
      <c r="E169" s="269"/>
      <c r="F169" s="269"/>
      <c r="G169" s="274"/>
      <c r="H169" s="269"/>
      <c r="I169" s="270"/>
      <c r="J169" s="1566">
        <f t="shared" si="17"/>
        <v>0</v>
      </c>
      <c r="K169" s="272">
        <f t="shared" si="17"/>
        <v>0</v>
      </c>
      <c r="L169" s="1380"/>
    </row>
    <row r="170" spans="1:18">
      <c r="A170" s="2013"/>
      <c r="B170" s="2014"/>
      <c r="C170" s="268">
        <v>2019</v>
      </c>
      <c r="D170" s="177"/>
      <c r="E170" s="269"/>
      <c r="F170" s="269"/>
      <c r="G170" s="269"/>
      <c r="H170" s="274"/>
      <c r="I170" s="270"/>
      <c r="J170" s="1566">
        <f t="shared" si="17"/>
        <v>0</v>
      </c>
      <c r="K170" s="272">
        <f t="shared" si="17"/>
        <v>0</v>
      </c>
      <c r="L170" s="1380"/>
    </row>
    <row r="171" spans="1:18">
      <c r="A171" s="2013"/>
      <c r="B171" s="2014"/>
      <c r="C171" s="273">
        <v>2020</v>
      </c>
      <c r="D171" s="269"/>
      <c r="E171" s="269"/>
      <c r="F171" s="269"/>
      <c r="G171" s="269"/>
      <c r="H171" s="269"/>
      <c r="I171" s="270"/>
      <c r="J171" s="1566">
        <f t="shared" si="17"/>
        <v>0</v>
      </c>
      <c r="K171" s="272">
        <f t="shared" si="17"/>
        <v>0</v>
      </c>
      <c r="L171" s="1380"/>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1380"/>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15.75" thickBot="1">
      <c r="A176" s="2748" t="s">
        <v>113</v>
      </c>
      <c r="B176" s="2749" t="s">
        <v>114</v>
      </c>
      <c r="C176" s="2750" t="s">
        <v>8</v>
      </c>
      <c r="D176" s="1551" t="s">
        <v>115</v>
      </c>
      <c r="E176" s="1495"/>
      <c r="F176" s="1495"/>
      <c r="G176" s="1552"/>
      <c r="H176" s="1553"/>
      <c r="I176" s="2751" t="s">
        <v>116</v>
      </c>
      <c r="J176" s="2663"/>
      <c r="K176" s="2663"/>
      <c r="L176" s="2663"/>
      <c r="M176" s="2663"/>
      <c r="N176" s="2663"/>
      <c r="O176" s="2752"/>
    </row>
    <row r="177" spans="1:15" s="31" customFormat="1" ht="128.25">
      <c r="A177" s="2767"/>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561"/>
      <c r="B178" s="2025"/>
      <c r="C178" s="112">
        <v>2014</v>
      </c>
      <c r="D178" s="33"/>
      <c r="E178" s="34"/>
      <c r="F178" s="34"/>
      <c r="G178" s="293">
        <f>SUM(D178:F178)</f>
        <v>0</v>
      </c>
      <c r="H178" s="167"/>
      <c r="I178" s="167"/>
      <c r="J178" s="34"/>
      <c r="K178" s="34"/>
      <c r="L178" s="34"/>
      <c r="M178" s="34"/>
      <c r="N178" s="34"/>
      <c r="O178" s="37"/>
    </row>
    <row r="179" spans="1:15">
      <c r="A179" s="2561"/>
      <c r="B179" s="2025"/>
      <c r="C179" s="116">
        <v>2015</v>
      </c>
      <c r="D179" s="50"/>
      <c r="E179" s="42">
        <v>1</v>
      </c>
      <c r="F179" s="42"/>
      <c r="G179" s="293">
        <f t="shared" ref="G179:G184" si="19">SUM(D179:F179)</f>
        <v>1</v>
      </c>
      <c r="H179" s="294"/>
      <c r="I179" s="118"/>
      <c r="J179" s="42">
        <v>1</v>
      </c>
      <c r="K179" s="42"/>
      <c r="L179" s="42"/>
      <c r="M179" s="42"/>
      <c r="N179" s="42"/>
      <c r="O179" s="99"/>
    </row>
    <row r="180" spans="1:15">
      <c r="A180" s="2561"/>
      <c r="B180" s="2025"/>
      <c r="C180" s="116">
        <v>2016</v>
      </c>
      <c r="D180" s="50">
        <v>19</v>
      </c>
      <c r="E180" s="42">
        <v>2</v>
      </c>
      <c r="F180" s="42"/>
      <c r="G180" s="293">
        <f t="shared" si="19"/>
        <v>21</v>
      </c>
      <c r="H180" s="294">
        <v>22</v>
      </c>
      <c r="I180" s="118">
        <v>20</v>
      </c>
      <c r="J180" s="42">
        <v>1</v>
      </c>
      <c r="K180" s="42"/>
      <c r="L180" s="42"/>
      <c r="M180" s="42"/>
      <c r="N180" s="42"/>
      <c r="O180" s="99"/>
    </row>
    <row r="181" spans="1:15">
      <c r="A181" s="2561"/>
      <c r="B181" s="2025"/>
      <c r="C181" s="116">
        <v>2017</v>
      </c>
      <c r="D181" s="50"/>
      <c r="E181" s="42"/>
      <c r="F181" s="42"/>
      <c r="G181" s="293">
        <f t="shared" si="19"/>
        <v>0</v>
      </c>
      <c r="H181" s="294"/>
      <c r="I181" s="118"/>
      <c r="J181" s="42"/>
      <c r="K181" s="42"/>
      <c r="L181" s="42"/>
      <c r="M181" s="42"/>
      <c r="N181" s="42"/>
      <c r="O181" s="99"/>
    </row>
    <row r="182" spans="1:15">
      <c r="A182" s="2561"/>
      <c r="B182" s="2025"/>
      <c r="C182" s="116">
        <v>2018</v>
      </c>
      <c r="D182" s="50"/>
      <c r="E182" s="42"/>
      <c r="F182" s="42"/>
      <c r="G182" s="293">
        <f t="shared" si="19"/>
        <v>0</v>
      </c>
      <c r="H182" s="294"/>
      <c r="I182" s="118"/>
      <c r="J182" s="42"/>
      <c r="K182" s="42"/>
      <c r="L182" s="42"/>
      <c r="M182" s="42"/>
      <c r="N182" s="42"/>
      <c r="O182" s="99"/>
    </row>
    <row r="183" spans="1:15">
      <c r="A183" s="2561"/>
      <c r="B183" s="2025"/>
      <c r="C183" s="116">
        <v>2019</v>
      </c>
      <c r="D183" s="50"/>
      <c r="E183" s="42"/>
      <c r="F183" s="42"/>
      <c r="G183" s="293">
        <f t="shared" si="19"/>
        <v>0</v>
      </c>
      <c r="H183" s="294"/>
      <c r="I183" s="118"/>
      <c r="J183" s="42"/>
      <c r="K183" s="42"/>
      <c r="L183" s="42"/>
      <c r="M183" s="42"/>
      <c r="N183" s="42"/>
      <c r="O183" s="99"/>
    </row>
    <row r="184" spans="1:15">
      <c r="A184" s="2561"/>
      <c r="B184" s="2025"/>
      <c r="C184" s="116">
        <v>2020</v>
      </c>
      <c r="D184" s="50"/>
      <c r="E184" s="42"/>
      <c r="F184" s="42"/>
      <c r="G184" s="293">
        <f t="shared" si="19"/>
        <v>0</v>
      </c>
      <c r="H184" s="294"/>
      <c r="I184" s="118"/>
      <c r="J184" s="42"/>
      <c r="K184" s="42"/>
      <c r="L184" s="42"/>
      <c r="M184" s="42"/>
      <c r="N184" s="42"/>
      <c r="O184" s="99"/>
    </row>
    <row r="185" spans="1:15" ht="15.75" thickBot="1">
      <c r="A185" s="2026"/>
      <c r="B185" s="2027"/>
      <c r="C185" s="122" t="s">
        <v>12</v>
      </c>
      <c r="D185" s="151">
        <f>SUM(D178:D184)</f>
        <v>19</v>
      </c>
      <c r="E185" s="125">
        <f>SUM(E178:E184)</f>
        <v>3</v>
      </c>
      <c r="F185" s="125">
        <f>SUM(F178:F184)</f>
        <v>0</v>
      </c>
      <c r="G185" s="234">
        <f t="shared" ref="G185:O185" si="20">SUM(G178:G184)</f>
        <v>22</v>
      </c>
      <c r="H185" s="295">
        <f t="shared" si="20"/>
        <v>22</v>
      </c>
      <c r="I185" s="124">
        <f t="shared" si="20"/>
        <v>20</v>
      </c>
      <c r="J185" s="125">
        <f t="shared" si="20"/>
        <v>2</v>
      </c>
      <c r="K185" s="125">
        <f t="shared" si="20"/>
        <v>0</v>
      </c>
      <c r="L185" s="125">
        <f t="shared" si="20"/>
        <v>0</v>
      </c>
      <c r="M185" s="125">
        <f t="shared" si="20"/>
        <v>0</v>
      </c>
      <c r="N185" s="125">
        <f t="shared" si="20"/>
        <v>0</v>
      </c>
      <c r="O185" s="126">
        <f t="shared" si="20"/>
        <v>0</v>
      </c>
    </row>
    <row r="186" spans="1:15" ht="15.75" thickBot="1"/>
    <row r="187" spans="1:15">
      <c r="A187" s="2758" t="s">
        <v>122</v>
      </c>
      <c r="B187" s="2749" t="s">
        <v>114</v>
      </c>
      <c r="C187" s="1998" t="s">
        <v>8</v>
      </c>
      <c r="D187" s="2000" t="s">
        <v>123</v>
      </c>
      <c r="E187" s="2652"/>
      <c r="F187" s="2652"/>
      <c r="G187" s="2759"/>
      <c r="H187" s="2747"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111" t="s">
        <v>457</v>
      </c>
      <c r="B189" s="2112"/>
      <c r="C189" s="392">
        <v>2014</v>
      </c>
      <c r="D189" s="142"/>
      <c r="E189" s="115"/>
      <c r="F189" s="115"/>
      <c r="G189" s="301">
        <f>SUM(D189:F189)</f>
        <v>0</v>
      </c>
      <c r="H189" s="114"/>
      <c r="I189" s="115"/>
      <c r="J189" s="115"/>
      <c r="K189" s="115"/>
      <c r="L189" s="143"/>
    </row>
    <row r="190" spans="1:15">
      <c r="A190" s="2559"/>
      <c r="B190" s="1988"/>
      <c r="C190" s="86">
        <v>2015</v>
      </c>
      <c r="D190" s="50"/>
      <c r="E190" s="42">
        <v>28</v>
      </c>
      <c r="F190" s="42"/>
      <c r="G190" s="301">
        <f t="shared" ref="G190:G195" si="21">SUM(D190:F190)</f>
        <v>28</v>
      </c>
      <c r="H190" s="118"/>
      <c r="I190" s="42">
        <v>2</v>
      </c>
      <c r="J190" s="42">
        <v>11</v>
      </c>
      <c r="K190" s="42">
        <v>0</v>
      </c>
      <c r="L190" s="99">
        <v>15</v>
      </c>
    </row>
    <row r="191" spans="1:15">
      <c r="A191" s="2559"/>
      <c r="B191" s="1988"/>
      <c r="C191" s="86">
        <v>2016</v>
      </c>
      <c r="D191" s="50">
        <v>226</v>
      </c>
      <c r="E191" s="42">
        <v>98</v>
      </c>
      <c r="F191" s="42"/>
      <c r="G191" s="301">
        <f t="shared" si="21"/>
        <v>324</v>
      </c>
      <c r="H191" s="118"/>
      <c r="I191" s="42">
        <v>7</v>
      </c>
      <c r="J191" s="42">
        <v>92</v>
      </c>
      <c r="K191" s="42">
        <v>39</v>
      </c>
      <c r="L191" s="99">
        <v>186</v>
      </c>
    </row>
    <row r="192" spans="1:15">
      <c r="A192" s="2559"/>
      <c r="B192" s="1988"/>
      <c r="C192" s="86">
        <v>2017</v>
      </c>
      <c r="D192" s="50"/>
      <c r="E192" s="42"/>
      <c r="F192" s="42"/>
      <c r="G192" s="301">
        <f t="shared" si="21"/>
        <v>0</v>
      </c>
      <c r="H192" s="118"/>
      <c r="I192" s="42"/>
      <c r="J192" s="42"/>
      <c r="K192" s="42"/>
      <c r="L192" s="99"/>
    </row>
    <row r="193" spans="1:14">
      <c r="A193" s="2559"/>
      <c r="B193" s="1988"/>
      <c r="C193" s="86">
        <v>2018</v>
      </c>
      <c r="D193" s="50"/>
      <c r="E193" s="42"/>
      <c r="F193" s="42"/>
      <c r="G193" s="301">
        <f t="shared" si="21"/>
        <v>0</v>
      </c>
      <c r="H193" s="118"/>
      <c r="I193" s="42"/>
      <c r="J193" s="42"/>
      <c r="K193" s="42"/>
      <c r="L193" s="99"/>
    </row>
    <row r="194" spans="1:14">
      <c r="A194" s="2559"/>
      <c r="B194" s="1988"/>
      <c r="C194" s="86">
        <v>2019</v>
      </c>
      <c r="D194" s="50"/>
      <c r="E194" s="42"/>
      <c r="F194" s="42"/>
      <c r="G194" s="301">
        <f t="shared" si="21"/>
        <v>0</v>
      </c>
      <c r="H194" s="118"/>
      <c r="I194" s="42"/>
      <c r="J194" s="42"/>
      <c r="K194" s="42"/>
      <c r="L194" s="99"/>
    </row>
    <row r="195" spans="1:14">
      <c r="A195" s="2559"/>
      <c r="B195" s="1988"/>
      <c r="C195" s="86">
        <v>2020</v>
      </c>
      <c r="D195" s="50"/>
      <c r="E195" s="42"/>
      <c r="F195" s="42"/>
      <c r="G195" s="301">
        <f t="shared" si="21"/>
        <v>0</v>
      </c>
      <c r="H195" s="118"/>
      <c r="I195" s="42"/>
      <c r="J195" s="42"/>
      <c r="K195" s="42"/>
      <c r="L195" s="99"/>
    </row>
    <row r="196" spans="1:14" ht="15.75" thickBot="1">
      <c r="A196" s="2114"/>
      <c r="B196" s="1990"/>
      <c r="C196" s="148" t="s">
        <v>12</v>
      </c>
      <c r="D196" s="151">
        <f t="shared" ref="D196:L196" si="22">SUM(D189:D195)</f>
        <v>226</v>
      </c>
      <c r="E196" s="125">
        <f t="shared" si="22"/>
        <v>126</v>
      </c>
      <c r="F196" s="125">
        <f t="shared" si="22"/>
        <v>0</v>
      </c>
      <c r="G196" s="304">
        <f t="shared" si="22"/>
        <v>352</v>
      </c>
      <c r="H196" s="124">
        <f t="shared" si="22"/>
        <v>0</v>
      </c>
      <c r="I196" s="125">
        <f t="shared" si="22"/>
        <v>9</v>
      </c>
      <c r="J196" s="125">
        <f t="shared" si="22"/>
        <v>103</v>
      </c>
      <c r="K196" s="125">
        <f t="shared" si="22"/>
        <v>39</v>
      </c>
      <c r="L196" s="126">
        <f t="shared" si="22"/>
        <v>201</v>
      </c>
    </row>
    <row r="199" spans="1:14" ht="21">
      <c r="A199" s="305" t="s">
        <v>134</v>
      </c>
      <c r="B199" s="305"/>
      <c r="C199" s="306"/>
      <c r="D199" s="306"/>
      <c r="E199" s="306"/>
      <c r="F199" s="306"/>
      <c r="G199" s="306"/>
      <c r="H199" s="306"/>
      <c r="I199" s="306"/>
      <c r="J199" s="306"/>
      <c r="K199" s="306"/>
      <c r="L199" s="306"/>
      <c r="M199" s="77"/>
      <c r="N199" s="77"/>
    </row>
    <row r="200" spans="1:14" ht="15.75" thickBot="1">
      <c r="A200" s="307"/>
      <c r="B200" s="307"/>
      <c r="C200" s="306"/>
      <c r="D200" s="306"/>
      <c r="E200" s="306"/>
      <c r="F200" s="306"/>
      <c r="G200" s="306"/>
      <c r="H200" s="306"/>
      <c r="I200" s="306"/>
      <c r="J200" s="306"/>
      <c r="K200" s="306"/>
      <c r="L200" s="306"/>
    </row>
    <row r="201" spans="1:14" s="31" customFormat="1" ht="78">
      <c r="A201" s="1554" t="s">
        <v>135</v>
      </c>
      <c r="B201" s="309" t="s">
        <v>114</v>
      </c>
      <c r="C201" s="310" t="s">
        <v>8</v>
      </c>
      <c r="D201" s="1555" t="s">
        <v>136</v>
      </c>
      <c r="E201" s="312" t="s">
        <v>137</v>
      </c>
      <c r="F201" s="312" t="s">
        <v>138</v>
      </c>
      <c r="G201" s="310" t="s">
        <v>139</v>
      </c>
      <c r="H201" s="1500" t="s">
        <v>140</v>
      </c>
      <c r="I201" s="1556" t="s">
        <v>141</v>
      </c>
      <c r="J201" s="1557" t="s">
        <v>142</v>
      </c>
      <c r="K201" s="312" t="s">
        <v>143</v>
      </c>
      <c r="L201" s="316" t="s">
        <v>144</v>
      </c>
    </row>
    <row r="202" spans="1:14" ht="15" customHeight="1">
      <c r="A202" s="2558"/>
      <c r="B202" s="1988"/>
      <c r="C202" s="84">
        <v>2014</v>
      </c>
      <c r="D202" s="33"/>
      <c r="E202" s="34"/>
      <c r="F202" s="34"/>
      <c r="G202" s="32"/>
      <c r="H202" s="317"/>
      <c r="I202" s="318"/>
      <c r="J202" s="319"/>
      <c r="K202" s="34"/>
      <c r="L202" s="37"/>
    </row>
    <row r="203" spans="1:14">
      <c r="A203" s="2558"/>
      <c r="B203" s="1988"/>
      <c r="C203" s="86">
        <v>2015</v>
      </c>
      <c r="D203" s="50"/>
      <c r="E203" s="42"/>
      <c r="F203" s="42"/>
      <c r="G203" s="39"/>
      <c r="H203" s="320"/>
      <c r="I203" s="321"/>
      <c r="J203" s="322"/>
      <c r="K203" s="42"/>
      <c r="L203" s="99"/>
    </row>
    <row r="204" spans="1:14">
      <c r="A204" s="2558"/>
      <c r="B204" s="1988"/>
      <c r="C204" s="86">
        <v>2016</v>
      </c>
      <c r="D204" s="50"/>
      <c r="E204" s="42"/>
      <c r="F204" s="42"/>
      <c r="G204" s="39"/>
      <c r="H204" s="320"/>
      <c r="I204" s="321"/>
      <c r="J204" s="322"/>
      <c r="K204" s="42"/>
      <c r="L204" s="99"/>
    </row>
    <row r="205" spans="1:14">
      <c r="A205" s="2558"/>
      <c r="B205" s="1988"/>
      <c r="C205" s="86">
        <v>2017</v>
      </c>
      <c r="D205" s="50"/>
      <c r="E205" s="42"/>
      <c r="F205" s="42"/>
      <c r="G205" s="39"/>
      <c r="H205" s="320"/>
      <c r="I205" s="321"/>
      <c r="J205" s="322"/>
      <c r="K205" s="42"/>
      <c r="L205" s="99"/>
    </row>
    <row r="206" spans="1:14">
      <c r="A206" s="2558"/>
      <c r="B206" s="1988"/>
      <c r="C206" s="86">
        <v>2018</v>
      </c>
      <c r="D206" s="50"/>
      <c r="E206" s="42"/>
      <c r="F206" s="42"/>
      <c r="G206" s="39"/>
      <c r="H206" s="320"/>
      <c r="I206" s="321"/>
      <c r="J206" s="322"/>
      <c r="K206" s="42"/>
      <c r="L206" s="99"/>
    </row>
    <row r="207" spans="1:14">
      <c r="A207" s="2558"/>
      <c r="B207" s="1988"/>
      <c r="C207" s="86">
        <v>2019</v>
      </c>
      <c r="D207" s="50"/>
      <c r="E207" s="42"/>
      <c r="F207" s="42"/>
      <c r="G207" s="39"/>
      <c r="H207" s="320"/>
      <c r="I207" s="321"/>
      <c r="J207" s="322"/>
      <c r="K207" s="42"/>
      <c r="L207" s="99"/>
    </row>
    <row r="208" spans="1:14">
      <c r="A208" s="2558"/>
      <c r="B208" s="1988"/>
      <c r="C208" s="86">
        <v>2020</v>
      </c>
      <c r="D208" s="1474"/>
      <c r="E208" s="324"/>
      <c r="F208" s="324"/>
      <c r="G208" s="325"/>
      <c r="H208" s="326"/>
      <c r="I208" s="327"/>
      <c r="J208" s="328"/>
      <c r="K208" s="324"/>
      <c r="L208" s="329"/>
    </row>
    <row r="209" spans="1:12" ht="15.75" thickBot="1">
      <c r="A209" s="1989"/>
      <c r="B209" s="1990"/>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1558" t="s">
        <v>145</v>
      </c>
      <c r="B212" s="331" t="s">
        <v>146</v>
      </c>
      <c r="C212" s="332">
        <v>2014</v>
      </c>
      <c r="D212" s="333">
        <v>2015</v>
      </c>
      <c r="E212" s="333">
        <v>2016</v>
      </c>
      <c r="F212" s="333">
        <v>2017</v>
      </c>
      <c r="G212" s="333">
        <v>2018</v>
      </c>
      <c r="H212" s="333">
        <v>2019</v>
      </c>
      <c r="I212" s="334">
        <v>2020</v>
      </c>
    </row>
    <row r="213" spans="1:12" ht="15" customHeight="1">
      <c r="A213" t="s">
        <v>147</v>
      </c>
      <c r="B213" s="2196" t="s">
        <v>458</v>
      </c>
      <c r="C213" s="84"/>
      <c r="D213" s="147">
        <v>8960.01</v>
      </c>
      <c r="E213" s="147">
        <v>73629.61</v>
      </c>
      <c r="F213" s="147"/>
      <c r="G213" s="147"/>
      <c r="H213" s="147"/>
      <c r="I213" s="335"/>
    </row>
    <row r="214" spans="1:12">
      <c r="A214" t="s">
        <v>149</v>
      </c>
      <c r="B214" s="2168"/>
      <c r="C214" s="84"/>
      <c r="D214" s="147">
        <v>8960.01</v>
      </c>
      <c r="E214" s="147">
        <v>73629.61</v>
      </c>
      <c r="F214" s="147"/>
      <c r="G214" s="147"/>
      <c r="H214" s="147"/>
      <c r="I214" s="335"/>
    </row>
    <row r="215" spans="1:12">
      <c r="A215" t="s">
        <v>150</v>
      </c>
      <c r="B215" s="2168"/>
      <c r="C215" s="84"/>
      <c r="D215" s="147"/>
      <c r="E215" s="147"/>
      <c r="F215" s="147"/>
      <c r="G215" s="147"/>
      <c r="H215" s="147"/>
      <c r="I215" s="335"/>
    </row>
    <row r="216" spans="1:12">
      <c r="A216" t="s">
        <v>151</v>
      </c>
      <c r="B216" s="2168"/>
      <c r="C216" s="84"/>
      <c r="D216" s="147"/>
      <c r="E216" s="147"/>
      <c r="F216" s="147"/>
      <c r="G216" s="147"/>
      <c r="H216" s="147"/>
      <c r="I216" s="335"/>
    </row>
    <row r="217" spans="1:12">
      <c r="A217" t="s">
        <v>152</v>
      </c>
      <c r="B217" s="2168"/>
      <c r="C217" s="84"/>
      <c r="D217" s="147"/>
      <c r="E217" s="147"/>
      <c r="F217" s="147"/>
      <c r="G217" s="147"/>
      <c r="H217" s="147"/>
      <c r="I217" s="335"/>
    </row>
    <row r="218" spans="1:12" ht="30">
      <c r="A218" s="31" t="s">
        <v>153</v>
      </c>
      <c r="B218" s="2168"/>
      <c r="C218" s="84"/>
      <c r="D218" s="147">
        <v>95116.93</v>
      </c>
      <c r="E218" s="147">
        <v>70535.520000000004</v>
      </c>
      <c r="F218" s="147"/>
      <c r="G218" s="147"/>
      <c r="H218" s="147"/>
      <c r="I218" s="335"/>
    </row>
    <row r="219" spans="1:12" ht="15.75" thickBot="1">
      <c r="A219" s="1473"/>
      <c r="B219" s="2169"/>
      <c r="C219" s="54" t="s">
        <v>12</v>
      </c>
      <c r="D219" s="337">
        <f>SUM(D214:D218)</f>
        <v>104076.93999999999</v>
      </c>
      <c r="E219" s="337">
        <f t="shared" ref="E219:I219" si="24">SUM(E214:E218)</f>
        <v>144165.13</v>
      </c>
      <c r="F219" s="337">
        <f t="shared" si="24"/>
        <v>0</v>
      </c>
      <c r="G219" s="337">
        <f t="shared" si="24"/>
        <v>0</v>
      </c>
      <c r="H219" s="337">
        <f t="shared" si="24"/>
        <v>0</v>
      </c>
      <c r="I219" s="337">
        <f t="shared" si="24"/>
        <v>0</v>
      </c>
    </row>
    <row r="227" spans="1:1">
      <c r="A227" s="31"/>
    </row>
  </sheetData>
  <mergeCells count="55">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7"/>
  <dimension ref="A1:Y227"/>
  <sheetViews>
    <sheetView topLeftCell="A202" workbookViewId="0">
      <selection activeCell="E213" sqref="E213"/>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459</v>
      </c>
      <c r="C1" s="2077"/>
      <c r="D1" s="2077"/>
      <c r="E1" s="2077"/>
      <c r="F1" s="2077"/>
    </row>
    <row r="2" spans="1:25" s="2" customFormat="1" ht="20.100000000000001" customHeight="1" thickBot="1"/>
    <row r="3" spans="1:25" s="5" customFormat="1" ht="20.100000000000001" customHeight="1">
      <c r="A3" s="1571" t="s">
        <v>1</v>
      </c>
      <c r="B3" s="1572"/>
      <c r="C3" s="1572"/>
      <c r="D3" s="1572"/>
      <c r="E3" s="1572"/>
      <c r="F3" s="2768"/>
      <c r="G3" s="2768"/>
      <c r="H3" s="2768"/>
      <c r="I3" s="2768"/>
      <c r="J3" s="2768"/>
      <c r="K3" s="2768"/>
      <c r="L3" s="2768"/>
      <c r="M3" s="2768"/>
      <c r="N3" s="2768"/>
      <c r="O3" s="2769"/>
    </row>
    <row r="4" spans="1:25" s="5" customFormat="1" ht="20.100000000000001" customHeight="1">
      <c r="A4" s="2566" t="s">
        <v>2</v>
      </c>
      <c r="B4" s="2081"/>
      <c r="C4" s="2081"/>
      <c r="D4" s="2081"/>
      <c r="E4" s="2081"/>
      <c r="F4" s="2081"/>
      <c r="G4" s="2081"/>
      <c r="H4" s="2081"/>
      <c r="I4" s="2081"/>
      <c r="J4" s="2081"/>
      <c r="K4" s="2081"/>
      <c r="L4" s="2081"/>
      <c r="M4" s="2081"/>
      <c r="N4" s="2081"/>
      <c r="O4" s="2082"/>
    </row>
    <row r="5" spans="1:25" s="5" customFormat="1" ht="20.100000000000001" customHeight="1">
      <c r="A5" s="2566"/>
      <c r="B5" s="2081"/>
      <c r="C5" s="2081"/>
      <c r="D5" s="2081"/>
      <c r="E5" s="2081"/>
      <c r="F5" s="2081"/>
      <c r="G5" s="2081"/>
      <c r="H5" s="2081"/>
      <c r="I5" s="2081"/>
      <c r="J5" s="2081"/>
      <c r="K5" s="2081"/>
      <c r="L5" s="2081"/>
      <c r="M5" s="2081"/>
      <c r="N5" s="2081"/>
      <c r="O5" s="2082"/>
    </row>
    <row r="6" spans="1:25" s="5" customFormat="1" ht="20.100000000000001" customHeight="1">
      <c r="A6" s="2566"/>
      <c r="B6" s="2081"/>
      <c r="C6" s="2081"/>
      <c r="D6" s="2081"/>
      <c r="E6" s="2081"/>
      <c r="F6" s="2081"/>
      <c r="G6" s="2081"/>
      <c r="H6" s="2081"/>
      <c r="I6" s="2081"/>
      <c r="J6" s="2081"/>
      <c r="K6" s="2081"/>
      <c r="L6" s="2081"/>
      <c r="M6" s="2081"/>
      <c r="N6" s="2081"/>
      <c r="O6" s="2082"/>
    </row>
    <row r="7" spans="1:25" s="5" customFormat="1" ht="20.100000000000001" customHeight="1">
      <c r="A7" s="2566"/>
      <c r="B7" s="2081"/>
      <c r="C7" s="2081"/>
      <c r="D7" s="2081"/>
      <c r="E7" s="2081"/>
      <c r="F7" s="2081"/>
      <c r="G7" s="2081"/>
      <c r="H7" s="2081"/>
      <c r="I7" s="2081"/>
      <c r="J7" s="2081"/>
      <c r="K7" s="2081"/>
      <c r="L7" s="2081"/>
      <c r="M7" s="2081"/>
      <c r="N7" s="2081"/>
      <c r="O7" s="2082"/>
    </row>
    <row r="8" spans="1:25" s="5" customFormat="1" ht="20.100000000000001" customHeight="1">
      <c r="A8" s="2566"/>
      <c r="B8" s="2081"/>
      <c r="C8" s="2081"/>
      <c r="D8" s="2081"/>
      <c r="E8" s="2081"/>
      <c r="F8" s="2081"/>
      <c r="G8" s="2081"/>
      <c r="H8" s="2081"/>
      <c r="I8" s="2081"/>
      <c r="J8" s="2081"/>
      <c r="K8" s="2081"/>
      <c r="L8" s="2081"/>
      <c r="M8" s="2081"/>
      <c r="N8" s="2081"/>
      <c r="O8" s="2082"/>
    </row>
    <row r="9" spans="1:25" s="5" customFormat="1" ht="20.100000000000001" customHeight="1">
      <c r="A9" s="2566"/>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1573"/>
      <c r="B15" s="1574"/>
      <c r="C15" s="11"/>
      <c r="D15" s="2718" t="s">
        <v>4</v>
      </c>
      <c r="E15" s="2770"/>
      <c r="F15" s="2770"/>
      <c r="G15" s="2770"/>
      <c r="H15" s="1520"/>
      <c r="I15" s="13" t="s">
        <v>5</v>
      </c>
      <c r="J15" s="14"/>
      <c r="K15" s="14"/>
      <c r="L15" s="14"/>
      <c r="M15" s="14"/>
      <c r="N15" s="14"/>
      <c r="O15" s="15"/>
      <c r="P15" s="16"/>
      <c r="Q15" s="17"/>
      <c r="R15" s="18"/>
      <c r="S15" s="18"/>
      <c r="T15" s="18"/>
      <c r="U15" s="18"/>
      <c r="V15" s="18"/>
      <c r="W15" s="16"/>
      <c r="X15" s="16"/>
      <c r="Y15" s="17"/>
    </row>
    <row r="16" spans="1:25" s="31" customFormat="1" ht="129" customHeight="1">
      <c r="A16" s="1567"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771"/>
      <c r="B17" s="2249" t="s">
        <v>460</v>
      </c>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771"/>
      <c r="B18" s="2249"/>
      <c r="C18" s="39">
        <v>2015</v>
      </c>
      <c r="D18" s="578"/>
      <c r="E18" s="42">
        <v>2</v>
      </c>
      <c r="F18" s="42"/>
      <c r="G18" s="35">
        <f>SUM(D18:F18)</f>
        <v>2</v>
      </c>
      <c r="H18" s="51">
        <v>2</v>
      </c>
      <c r="I18" s="42"/>
      <c r="J18" s="42"/>
      <c r="K18" s="42"/>
      <c r="L18" s="42"/>
      <c r="M18" s="42"/>
      <c r="N18" s="42"/>
      <c r="O18" s="52"/>
      <c r="P18" s="38"/>
      <c r="Q18" s="38"/>
      <c r="R18" s="38"/>
      <c r="S18" s="38"/>
      <c r="T18" s="38"/>
      <c r="U18" s="38"/>
      <c r="V18" s="38"/>
      <c r="W18" s="38"/>
      <c r="X18" s="38"/>
      <c r="Y18" s="38"/>
    </row>
    <row r="19" spans="1:25">
      <c r="A19" s="2771"/>
      <c r="B19" s="2249"/>
      <c r="C19" s="39">
        <v>2016</v>
      </c>
      <c r="D19" s="50"/>
      <c r="E19" s="42">
        <v>2</v>
      </c>
      <c r="F19" s="42"/>
      <c r="G19" s="35">
        <f>D19+2</f>
        <v>2</v>
      </c>
      <c r="H19" s="51">
        <v>2</v>
      </c>
      <c r="I19" s="42"/>
      <c r="J19" s="42"/>
      <c r="K19" s="42"/>
      <c r="L19" s="42"/>
      <c r="M19" s="42"/>
      <c r="N19" s="42"/>
      <c r="O19" s="52"/>
      <c r="P19" s="38"/>
      <c r="Q19" s="38"/>
      <c r="R19" s="38"/>
      <c r="S19" s="38"/>
      <c r="T19" s="38"/>
      <c r="U19" s="38"/>
      <c r="V19" s="38"/>
      <c r="W19" s="38"/>
      <c r="X19" s="38"/>
      <c r="Y19" s="38"/>
    </row>
    <row r="20" spans="1:25">
      <c r="A20" s="2771"/>
      <c r="B20" s="2249"/>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2771"/>
      <c r="B21" s="2249"/>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2771"/>
      <c r="B22" s="2249"/>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2771"/>
      <c r="B23" s="2249"/>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101.25" customHeight="1" thickBot="1">
      <c r="A24" s="2262"/>
      <c r="B24" s="2250"/>
      <c r="C24" s="54" t="s">
        <v>12</v>
      </c>
      <c r="D24" s="55">
        <f>SUM(D17:D23)</f>
        <v>0</v>
      </c>
      <c r="E24" s="56">
        <v>2</v>
      </c>
      <c r="F24" s="56">
        <f>SUM(F17:F23)</f>
        <v>0</v>
      </c>
      <c r="G24" s="57">
        <f>SUM(D24:F24)</f>
        <v>2</v>
      </c>
      <c r="H24" s="58">
        <f>SUM(H17:H23)</f>
        <v>4</v>
      </c>
      <c r="I24" s="59">
        <f>SUM(I17:I23)</f>
        <v>0</v>
      </c>
      <c r="J24" s="59">
        <f t="shared" ref="J24:N24" si="1">SUM(J17:J23)</f>
        <v>0</v>
      </c>
      <c r="K24" s="59">
        <f t="shared" si="1"/>
        <v>0</v>
      </c>
      <c r="L24" s="59">
        <f t="shared" si="1"/>
        <v>0</v>
      </c>
      <c r="M24" s="59">
        <f t="shared" si="1"/>
        <v>0</v>
      </c>
      <c r="N24" s="59">
        <f t="shared" si="1"/>
        <v>0</v>
      </c>
      <c r="O24" s="60">
        <f>SUM(O17:O23)</f>
        <v>0</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1573"/>
      <c r="B26" s="1574"/>
      <c r="C26" s="63"/>
      <c r="D26" s="2723" t="s">
        <v>4</v>
      </c>
      <c r="E26" s="2772"/>
      <c r="F26" s="2772"/>
      <c r="G26" s="2773"/>
      <c r="H26" s="16"/>
      <c r="I26" s="17"/>
      <c r="J26" s="18"/>
      <c r="K26" s="18"/>
      <c r="L26" s="18"/>
      <c r="M26" s="18"/>
      <c r="N26" s="18"/>
      <c r="O26" s="16"/>
      <c r="P26" s="16"/>
    </row>
    <row r="27" spans="1:25" s="31" customFormat="1" ht="93" customHeight="1">
      <c r="A27" s="1377"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771"/>
      <c r="B28" s="2249" t="s">
        <v>461</v>
      </c>
      <c r="C28" s="68">
        <v>2014</v>
      </c>
      <c r="D28" s="36"/>
      <c r="E28" s="34"/>
      <c r="F28" s="34"/>
      <c r="G28" s="69">
        <f>SUM(D28:F28)</f>
        <v>0</v>
      </c>
      <c r="H28" s="38"/>
      <c r="I28" s="38"/>
      <c r="J28" s="38"/>
      <c r="K28" s="38"/>
      <c r="L28" s="38"/>
      <c r="M28" s="38"/>
      <c r="N28" s="38"/>
      <c r="O28" s="38"/>
      <c r="P28" s="38"/>
      <c r="Q28" s="8"/>
    </row>
    <row r="29" spans="1:25">
      <c r="A29" s="2771"/>
      <c r="B29" s="2249"/>
      <c r="C29" s="70">
        <v>2015</v>
      </c>
      <c r="D29" s="51"/>
      <c r="E29" s="42">
        <v>200</v>
      </c>
      <c r="F29" s="42"/>
      <c r="G29" s="69">
        <f t="shared" ref="G29:G35" si="2">SUM(D29:F29)</f>
        <v>200</v>
      </c>
      <c r="H29" s="38"/>
      <c r="I29" s="38"/>
      <c r="J29" s="38"/>
      <c r="K29" s="38"/>
      <c r="L29" s="38"/>
      <c r="M29" s="38"/>
      <c r="N29" s="38"/>
      <c r="O29" s="38"/>
      <c r="P29" s="38"/>
      <c r="Q29" s="8"/>
    </row>
    <row r="30" spans="1:25">
      <c r="A30" s="2771"/>
      <c r="B30" s="2249"/>
      <c r="C30" s="70">
        <v>2016</v>
      </c>
      <c r="D30" s="51"/>
      <c r="E30" s="42">
        <v>250</v>
      </c>
      <c r="F30" s="42"/>
      <c r="G30" s="69">
        <f t="shared" si="2"/>
        <v>250</v>
      </c>
      <c r="H30" s="38"/>
      <c r="I30" s="38"/>
      <c r="J30" s="38"/>
      <c r="K30" s="38"/>
      <c r="L30" s="38"/>
      <c r="M30" s="38"/>
      <c r="N30" s="38"/>
      <c r="O30" s="38"/>
      <c r="P30" s="38"/>
      <c r="Q30" s="8"/>
    </row>
    <row r="31" spans="1:25">
      <c r="A31" s="2771"/>
      <c r="B31" s="2249"/>
      <c r="C31" s="70">
        <v>2017</v>
      </c>
      <c r="D31" s="51"/>
      <c r="E31" s="42"/>
      <c r="F31" s="42"/>
      <c r="G31" s="69">
        <f t="shared" si="2"/>
        <v>0</v>
      </c>
      <c r="H31" s="38"/>
      <c r="I31" s="38"/>
      <c r="J31" s="38"/>
      <c r="K31" s="38"/>
      <c r="L31" s="38"/>
      <c r="M31" s="38"/>
      <c r="N31" s="38"/>
      <c r="O31" s="38"/>
      <c r="P31" s="38"/>
      <c r="Q31" s="8"/>
    </row>
    <row r="32" spans="1:25">
      <c r="A32" s="2771"/>
      <c r="B32" s="2249"/>
      <c r="C32" s="70">
        <v>2018</v>
      </c>
      <c r="D32" s="51"/>
      <c r="E32" s="42"/>
      <c r="F32" s="42"/>
      <c r="G32" s="69">
        <f>SUM(D32:F32)</f>
        <v>0</v>
      </c>
      <c r="H32" s="38"/>
      <c r="I32" s="38"/>
      <c r="J32" s="38"/>
      <c r="K32" s="38"/>
      <c r="L32" s="38"/>
      <c r="M32" s="38"/>
      <c r="N32" s="38"/>
      <c r="O32" s="38"/>
      <c r="P32" s="38"/>
      <c r="Q32" s="8"/>
    </row>
    <row r="33" spans="1:17">
      <c r="A33" s="2771"/>
      <c r="B33" s="2249"/>
      <c r="C33" s="72">
        <v>2019</v>
      </c>
      <c r="D33" s="51"/>
      <c r="E33" s="42"/>
      <c r="F33" s="42"/>
      <c r="G33" s="69">
        <f t="shared" si="2"/>
        <v>0</v>
      </c>
      <c r="H33" s="38"/>
      <c r="I33" s="38"/>
      <c r="J33" s="38"/>
      <c r="K33" s="38"/>
      <c r="L33" s="38"/>
      <c r="M33" s="38"/>
      <c r="N33" s="38"/>
      <c r="O33" s="38"/>
      <c r="P33" s="38"/>
      <c r="Q33" s="8"/>
    </row>
    <row r="34" spans="1:17">
      <c r="A34" s="2771"/>
      <c r="B34" s="2249"/>
      <c r="C34" s="70">
        <v>2020</v>
      </c>
      <c r="D34" s="51"/>
      <c r="E34" s="42"/>
      <c r="F34" s="42"/>
      <c r="G34" s="69">
        <f t="shared" si="2"/>
        <v>0</v>
      </c>
      <c r="H34" s="38"/>
      <c r="I34" s="38"/>
      <c r="J34" s="38"/>
      <c r="K34" s="38"/>
      <c r="L34" s="38"/>
      <c r="M34" s="38"/>
      <c r="N34" s="38"/>
      <c r="O34" s="38"/>
      <c r="P34" s="38"/>
      <c r="Q34" s="8"/>
    </row>
    <row r="35" spans="1:17" ht="195" customHeight="1" thickBot="1">
      <c r="A35" s="2262"/>
      <c r="B35" s="2250"/>
      <c r="C35" s="73" t="s">
        <v>12</v>
      </c>
      <c r="D35" s="58">
        <f>SUM(D28:D34)</f>
        <v>0</v>
      </c>
      <c r="E35" s="56">
        <f>SUM(E28:E34)</f>
        <v>450</v>
      </c>
      <c r="F35" s="56">
        <f>SUM(F28:F34)</f>
        <v>0</v>
      </c>
      <c r="G35" s="60">
        <f t="shared" si="2"/>
        <v>450</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1575" t="s">
        <v>25</v>
      </c>
      <c r="B39" s="1576" t="s">
        <v>7</v>
      </c>
      <c r="C39" s="80" t="s">
        <v>8</v>
      </c>
      <c r="D39" s="1523" t="s">
        <v>26</v>
      </c>
      <c r="E39" s="352" t="s">
        <v>27</v>
      </c>
      <c r="F39" s="353"/>
      <c r="G39" s="30"/>
      <c r="H39" s="30"/>
    </row>
    <row r="40" spans="1:17">
      <c r="A40" s="2771"/>
      <c r="B40" s="2249"/>
      <c r="C40" s="84">
        <v>2014</v>
      </c>
      <c r="D40" s="33"/>
      <c r="E40" s="32"/>
      <c r="F40" s="8"/>
      <c r="G40" s="38"/>
      <c r="H40" s="38"/>
    </row>
    <row r="41" spans="1:17">
      <c r="A41" s="2771"/>
      <c r="B41" s="2249"/>
      <c r="C41" s="86">
        <v>2015</v>
      </c>
      <c r="D41" s="50">
        <v>2417</v>
      </c>
      <c r="E41" s="39"/>
      <c r="F41" s="8"/>
      <c r="G41" s="38"/>
      <c r="H41" s="38"/>
    </row>
    <row r="42" spans="1:17">
      <c r="A42" s="2771"/>
      <c r="B42" s="2249"/>
      <c r="C42" s="86">
        <v>2016</v>
      </c>
      <c r="D42" s="1568">
        <v>9715</v>
      </c>
      <c r="E42" s="39"/>
      <c r="F42" s="8"/>
      <c r="G42" s="38"/>
      <c r="H42" s="38"/>
    </row>
    <row r="43" spans="1:17">
      <c r="A43" s="2771"/>
      <c r="B43" s="2249"/>
      <c r="C43" s="86">
        <v>2017</v>
      </c>
      <c r="D43" s="50"/>
      <c r="E43" s="39"/>
      <c r="F43" s="8"/>
      <c r="G43" s="38"/>
      <c r="H43" s="38"/>
    </row>
    <row r="44" spans="1:17">
      <c r="A44" s="2771"/>
      <c r="B44" s="2249"/>
      <c r="C44" s="86">
        <v>2018</v>
      </c>
      <c r="D44" s="50"/>
      <c r="E44" s="39"/>
      <c r="F44" s="8"/>
      <c r="G44" s="38"/>
      <c r="H44" s="38"/>
    </row>
    <row r="45" spans="1:17">
      <c r="A45" s="2771"/>
      <c r="B45" s="2249"/>
      <c r="C45" s="86">
        <v>2019</v>
      </c>
      <c r="D45" s="50"/>
      <c r="E45" s="39"/>
      <c r="F45" s="8"/>
      <c r="G45" s="38"/>
      <c r="H45" s="38"/>
    </row>
    <row r="46" spans="1:17">
      <c r="A46" s="2771"/>
      <c r="B46" s="2249"/>
      <c r="C46" s="86">
        <v>2020</v>
      </c>
      <c r="D46" s="50"/>
      <c r="E46" s="39"/>
      <c r="F46" s="8"/>
      <c r="G46" s="38"/>
      <c r="H46" s="38"/>
    </row>
    <row r="47" spans="1:17" ht="15.75" thickBot="1">
      <c r="A47" s="2262"/>
      <c r="B47" s="2250"/>
      <c r="C47" s="54" t="s">
        <v>12</v>
      </c>
      <c r="D47" s="55">
        <f>SUM(D40:D46)</f>
        <v>12132</v>
      </c>
      <c r="E47" s="419">
        <f>SUM(E40:E46)</f>
        <v>0</v>
      </c>
      <c r="F47" s="121"/>
      <c r="G47" s="38"/>
      <c r="H47" s="38"/>
    </row>
    <row r="48" spans="1:17" s="38" customFormat="1" ht="15.75" thickBot="1">
      <c r="A48" s="1577"/>
      <c r="B48" s="92"/>
      <c r="C48" s="93"/>
    </row>
    <row r="49" spans="1:15" ht="83.25" customHeight="1">
      <c r="A49" s="1527" t="s">
        <v>29</v>
      </c>
      <c r="B49" s="1576" t="s">
        <v>7</v>
      </c>
      <c r="C49" s="95" t="s">
        <v>8</v>
      </c>
      <c r="D49" s="1523" t="s">
        <v>30</v>
      </c>
      <c r="E49" s="96" t="s">
        <v>31</v>
      </c>
      <c r="F49" s="96" t="s">
        <v>32</v>
      </c>
      <c r="G49" s="96" t="s">
        <v>33</v>
      </c>
      <c r="H49" s="96" t="s">
        <v>34</v>
      </c>
      <c r="I49" s="96" t="s">
        <v>35</v>
      </c>
      <c r="J49" s="96" t="s">
        <v>36</v>
      </c>
      <c r="K49" s="97" t="s">
        <v>37</v>
      </c>
    </row>
    <row r="50" spans="1:15" ht="17.25" customHeight="1">
      <c r="A50" s="2005"/>
      <c r="B50" s="2012"/>
      <c r="C50" s="98" t="s">
        <v>38</v>
      </c>
      <c r="D50" s="33"/>
      <c r="E50" s="34"/>
      <c r="F50" s="34"/>
      <c r="G50" s="34"/>
      <c r="H50" s="34"/>
      <c r="I50" s="34"/>
      <c r="J50" s="34"/>
      <c r="K50" s="37"/>
    </row>
    <row r="51" spans="1:15" ht="15" customHeight="1">
      <c r="A51" s="2563"/>
      <c r="B51" s="2014"/>
      <c r="C51" s="86">
        <v>2014</v>
      </c>
      <c r="D51" s="50"/>
      <c r="E51" s="42"/>
      <c r="F51" s="42"/>
      <c r="G51" s="42"/>
      <c r="H51" s="42"/>
      <c r="I51" s="42"/>
      <c r="J51" s="42"/>
      <c r="K51" s="99"/>
    </row>
    <row r="52" spans="1:15">
      <c r="A52" s="2563"/>
      <c r="B52" s="2014"/>
      <c r="C52" s="86">
        <v>2015</v>
      </c>
      <c r="D52" s="50"/>
      <c r="E52" s="42"/>
      <c r="F52" s="42"/>
      <c r="G52" s="42"/>
      <c r="H52" s="42"/>
      <c r="I52" s="42"/>
      <c r="J52" s="42"/>
      <c r="K52" s="99"/>
    </row>
    <row r="53" spans="1:15">
      <c r="A53" s="2563"/>
      <c r="B53" s="2014"/>
      <c r="C53" s="86">
        <v>2016</v>
      </c>
      <c r="D53" s="50"/>
      <c r="E53" s="42"/>
      <c r="F53" s="42"/>
      <c r="G53" s="42"/>
      <c r="H53" s="42"/>
      <c r="I53" s="42"/>
      <c r="J53" s="42"/>
      <c r="K53" s="99"/>
    </row>
    <row r="54" spans="1:15">
      <c r="A54" s="2563"/>
      <c r="B54" s="2014"/>
      <c r="C54" s="86">
        <v>2017</v>
      </c>
      <c r="D54" s="50"/>
      <c r="E54" s="42"/>
      <c r="F54" s="42"/>
      <c r="G54" s="42"/>
      <c r="H54" s="42"/>
      <c r="I54" s="42"/>
      <c r="J54" s="42"/>
      <c r="K54" s="99"/>
    </row>
    <row r="55" spans="1:15">
      <c r="A55" s="2563"/>
      <c r="B55" s="2014"/>
      <c r="C55" s="86">
        <v>2018</v>
      </c>
      <c r="D55" s="50"/>
      <c r="E55" s="42"/>
      <c r="F55" s="42"/>
      <c r="G55" s="42"/>
      <c r="H55" s="42"/>
      <c r="I55" s="42"/>
      <c r="J55" s="42"/>
      <c r="K55" s="99"/>
    </row>
    <row r="56" spans="1:15">
      <c r="A56" s="2563"/>
      <c r="B56" s="2014"/>
      <c r="C56" s="86">
        <v>2019</v>
      </c>
      <c r="D56" s="50"/>
      <c r="E56" s="42"/>
      <c r="F56" s="42"/>
      <c r="G56" s="42"/>
      <c r="H56" s="42"/>
      <c r="I56" s="42"/>
      <c r="J56" s="42"/>
      <c r="K56" s="99"/>
    </row>
    <row r="57" spans="1:15">
      <c r="A57" s="2563"/>
      <c r="B57" s="2014"/>
      <c r="C57" s="86">
        <v>2020</v>
      </c>
      <c r="D57" s="50"/>
      <c r="E57" s="42"/>
      <c r="F57" s="42"/>
      <c r="G57" s="42"/>
      <c r="H57" s="42"/>
      <c r="I57" s="42"/>
      <c r="J57" s="42"/>
      <c r="K57" s="100"/>
    </row>
    <row r="58" spans="1:15" ht="20.25" customHeight="1" thickBot="1">
      <c r="A58" s="2009"/>
      <c r="B58" s="2016"/>
      <c r="C58" s="54" t="s">
        <v>12</v>
      </c>
      <c r="D58" s="55">
        <f>SUM(D51:D57)</f>
        <v>0</v>
      </c>
      <c r="E58" s="56">
        <f>SUM(E51:E57)</f>
        <v>0</v>
      </c>
      <c r="F58" s="56">
        <f>SUM(F51:F57)</f>
        <v>0</v>
      </c>
      <c r="G58" s="56">
        <f>SUM(G51:G57)</f>
        <v>0</v>
      </c>
      <c r="H58" s="56">
        <f>SUM(H51:H57)</f>
        <v>0</v>
      </c>
      <c r="I58" s="56">
        <f t="shared" ref="I58" si="3">SUM(I51:I57)</f>
        <v>0</v>
      </c>
      <c r="J58" s="56">
        <f>SUM(J51:J57)</f>
        <v>0</v>
      </c>
      <c r="K58" s="60">
        <f>SUM(K50:K56)</f>
        <v>0</v>
      </c>
    </row>
    <row r="59" spans="1:15" ht="15.75" thickBot="1"/>
    <row r="60" spans="1:15" ht="21" customHeight="1">
      <c r="A60" s="2774" t="s">
        <v>39</v>
      </c>
      <c r="B60" s="1578"/>
      <c r="C60" s="2776" t="s">
        <v>8</v>
      </c>
      <c r="D60" s="2671" t="s">
        <v>40</v>
      </c>
      <c r="E60" s="1477" t="s">
        <v>5</v>
      </c>
      <c r="F60" s="1579"/>
      <c r="G60" s="1579"/>
      <c r="H60" s="1579"/>
      <c r="I60" s="1579"/>
      <c r="J60" s="1579"/>
      <c r="K60" s="1579"/>
      <c r="L60" s="1580"/>
    </row>
    <row r="61" spans="1:15" ht="115.5" customHeight="1">
      <c r="A61" s="2775"/>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560"/>
      <c r="B62" s="2025"/>
      <c r="C62" s="112">
        <v>2014</v>
      </c>
      <c r="D62" s="113"/>
      <c r="E62" s="114"/>
      <c r="F62" s="115"/>
      <c r="G62" s="115"/>
      <c r="H62" s="115"/>
      <c r="I62" s="115"/>
      <c r="J62" s="115"/>
      <c r="K62" s="115"/>
      <c r="L62" s="37"/>
      <c r="M62" s="8"/>
      <c r="N62" s="8"/>
      <c r="O62" s="8"/>
    </row>
    <row r="63" spans="1:15">
      <c r="A63" s="2561"/>
      <c r="B63" s="2025"/>
      <c r="C63" s="116">
        <v>2015</v>
      </c>
      <c r="D63" s="117">
        <v>1</v>
      </c>
      <c r="E63" s="118">
        <v>1</v>
      </c>
      <c r="F63" s="42"/>
      <c r="G63" s="42"/>
      <c r="H63" s="42"/>
      <c r="I63" s="42"/>
      <c r="J63" s="42"/>
      <c r="K63" s="42"/>
      <c r="L63" s="99"/>
      <c r="M63" s="8"/>
      <c r="N63" s="8"/>
      <c r="O63" s="8"/>
    </row>
    <row r="64" spans="1:15">
      <c r="A64" s="2561"/>
      <c r="B64" s="2025"/>
      <c r="C64" s="116">
        <v>2016</v>
      </c>
      <c r="D64" s="117">
        <v>3</v>
      </c>
      <c r="E64" s="118">
        <v>3</v>
      </c>
      <c r="F64" s="42"/>
      <c r="G64" s="42"/>
      <c r="H64" s="42"/>
      <c r="I64" s="42"/>
      <c r="J64" s="42"/>
      <c r="K64" s="42"/>
      <c r="L64" s="99"/>
      <c r="M64" s="8"/>
      <c r="N64" s="8"/>
      <c r="O64" s="8"/>
    </row>
    <row r="65" spans="1:20">
      <c r="A65" s="2561"/>
      <c r="B65" s="2025"/>
      <c r="C65" s="116">
        <v>2017</v>
      </c>
      <c r="D65" s="117"/>
      <c r="E65" s="118"/>
      <c r="F65" s="42"/>
      <c r="G65" s="42"/>
      <c r="H65" s="42"/>
      <c r="I65" s="42"/>
      <c r="J65" s="42"/>
      <c r="K65" s="42"/>
      <c r="L65" s="99"/>
      <c r="M65" s="8"/>
      <c r="N65" s="8"/>
      <c r="O65" s="8"/>
    </row>
    <row r="66" spans="1:20">
      <c r="A66" s="2561"/>
      <c r="B66" s="2025"/>
      <c r="C66" s="116">
        <v>2018</v>
      </c>
      <c r="D66" s="117"/>
      <c r="E66" s="118"/>
      <c r="F66" s="42"/>
      <c r="G66" s="42"/>
      <c r="H66" s="42"/>
      <c r="I66" s="42"/>
      <c r="J66" s="42"/>
      <c r="K66" s="42"/>
      <c r="L66" s="99"/>
      <c r="M66" s="8"/>
      <c r="N66" s="8"/>
      <c r="O66" s="8"/>
    </row>
    <row r="67" spans="1:20" ht="17.25" customHeight="1">
      <c r="A67" s="2561"/>
      <c r="B67" s="2025"/>
      <c r="C67" s="116">
        <v>2019</v>
      </c>
      <c r="D67" s="117"/>
      <c r="E67" s="118"/>
      <c r="F67" s="42"/>
      <c r="G67" s="42"/>
      <c r="H67" s="42"/>
      <c r="I67" s="42"/>
      <c r="J67" s="42"/>
      <c r="K67" s="42"/>
      <c r="L67" s="99"/>
      <c r="M67" s="8"/>
      <c r="N67" s="8"/>
      <c r="O67" s="8"/>
    </row>
    <row r="68" spans="1:20" ht="16.5" customHeight="1">
      <c r="A68" s="2561"/>
      <c r="B68" s="2025"/>
      <c r="C68" s="116">
        <v>2020</v>
      </c>
      <c r="D68" s="117"/>
      <c r="E68" s="118"/>
      <c r="F68" s="42"/>
      <c r="G68" s="42"/>
      <c r="H68" s="42"/>
      <c r="I68" s="42"/>
      <c r="J68" s="42"/>
      <c r="K68" s="42"/>
      <c r="L68" s="99"/>
      <c r="M68" s="121"/>
      <c r="N68" s="121"/>
      <c r="O68" s="121"/>
    </row>
    <row r="69" spans="1:20" ht="18" customHeight="1" thickBot="1">
      <c r="A69" s="2134"/>
      <c r="B69" s="2027"/>
      <c r="C69" s="122" t="s">
        <v>12</v>
      </c>
      <c r="D69" s="123">
        <f>SUM(D62:D68)</f>
        <v>4</v>
      </c>
      <c r="E69" s="124">
        <f>SUM(E62:E68)</f>
        <v>4</v>
      </c>
      <c r="F69" s="125">
        <f t="shared" ref="F69:I69" si="4">SUM(F62:F68)</f>
        <v>0</v>
      </c>
      <c r="G69" s="125">
        <f t="shared" si="4"/>
        <v>0</v>
      </c>
      <c r="H69" s="125">
        <f t="shared" si="4"/>
        <v>0</v>
      </c>
      <c r="I69" s="125">
        <f t="shared" si="4"/>
        <v>0</v>
      </c>
      <c r="J69" s="125"/>
      <c r="K69" s="125">
        <f>SUM(K62:K68)</f>
        <v>0</v>
      </c>
      <c r="L69" s="126">
        <f>SUM(L62:L68)</f>
        <v>0</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1575" t="s">
        <v>42</v>
      </c>
      <c r="B71" s="1576" t="s">
        <v>7</v>
      </c>
      <c r="C71" s="80" t="s">
        <v>8</v>
      </c>
      <c r="D71" s="132" t="s">
        <v>43</v>
      </c>
      <c r="E71" s="132" t="s">
        <v>44</v>
      </c>
      <c r="F71" s="133" t="s">
        <v>45</v>
      </c>
      <c r="G71" s="1532" t="s">
        <v>46</v>
      </c>
      <c r="H71" s="135" t="s">
        <v>13</v>
      </c>
      <c r="I71" s="136" t="s">
        <v>14</v>
      </c>
      <c r="J71" s="137" t="s">
        <v>15</v>
      </c>
      <c r="K71" s="136" t="s">
        <v>16</v>
      </c>
      <c r="L71" s="136" t="s">
        <v>17</v>
      </c>
      <c r="M71" s="138" t="s">
        <v>18</v>
      </c>
      <c r="N71" s="137" t="s">
        <v>19</v>
      </c>
      <c r="O71" s="139" t="s">
        <v>20</v>
      </c>
    </row>
    <row r="72" spans="1:20" ht="15" customHeight="1">
      <c r="A72" s="2771"/>
      <c r="B72" s="2060" t="s">
        <v>462</v>
      </c>
      <c r="C72" s="84">
        <v>2014</v>
      </c>
      <c r="D72" s="140"/>
      <c r="E72" s="140"/>
      <c r="F72" s="140"/>
      <c r="G72" s="141">
        <f>SUM(D72:F72)</f>
        <v>0</v>
      </c>
      <c r="H72" s="33"/>
      <c r="I72" s="142"/>
      <c r="J72" s="115"/>
      <c r="K72" s="115"/>
      <c r="L72" s="115"/>
      <c r="M72" s="115"/>
      <c r="N72" s="115"/>
      <c r="O72" s="143"/>
    </row>
    <row r="73" spans="1:20">
      <c r="A73" s="2771"/>
      <c r="B73" s="2060"/>
      <c r="C73" s="86">
        <v>2015</v>
      </c>
      <c r="D73" s="147"/>
      <c r="E73" s="147"/>
      <c r="F73" s="147"/>
      <c r="G73" s="141">
        <f t="shared" ref="G73:G78" si="5">SUM(D73:F73)</f>
        <v>0</v>
      </c>
      <c r="H73" s="50"/>
      <c r="I73" s="50"/>
      <c r="J73" s="42"/>
      <c r="K73" s="42"/>
      <c r="L73" s="42"/>
      <c r="M73" s="42"/>
      <c r="N73" s="42"/>
      <c r="O73" s="99"/>
    </row>
    <row r="74" spans="1:20">
      <c r="A74" s="2771"/>
      <c r="B74" s="2060"/>
      <c r="C74" s="86">
        <v>2016</v>
      </c>
      <c r="D74" s="147"/>
      <c r="E74" s="147"/>
      <c r="F74" s="147"/>
      <c r="G74" s="141">
        <f t="shared" si="5"/>
        <v>0</v>
      </c>
      <c r="H74" s="50"/>
      <c r="I74" s="50"/>
      <c r="J74" s="42"/>
      <c r="K74" s="42"/>
      <c r="L74" s="42"/>
      <c r="M74" s="42"/>
      <c r="N74" s="42"/>
      <c r="O74" s="99"/>
    </row>
    <row r="75" spans="1:20">
      <c r="A75" s="2771"/>
      <c r="B75" s="2060"/>
      <c r="C75" s="86">
        <v>2017</v>
      </c>
      <c r="D75" s="147"/>
      <c r="E75" s="147"/>
      <c r="F75" s="147"/>
      <c r="G75" s="141">
        <f t="shared" si="5"/>
        <v>0</v>
      </c>
      <c r="H75" s="50"/>
      <c r="I75" s="50"/>
      <c r="J75" s="42"/>
      <c r="K75" s="42"/>
      <c r="L75" s="42"/>
      <c r="M75" s="42"/>
      <c r="N75" s="42"/>
      <c r="O75" s="99"/>
    </row>
    <row r="76" spans="1:20">
      <c r="A76" s="2771"/>
      <c r="B76" s="2060"/>
      <c r="C76" s="86">
        <v>2018</v>
      </c>
      <c r="D76" s="147"/>
      <c r="E76" s="147"/>
      <c r="F76" s="147"/>
      <c r="G76" s="141">
        <f t="shared" si="5"/>
        <v>0</v>
      </c>
      <c r="H76" s="50"/>
      <c r="I76" s="50"/>
      <c r="J76" s="42"/>
      <c r="K76" s="42"/>
      <c r="L76" s="42"/>
      <c r="M76" s="42"/>
      <c r="N76" s="42"/>
      <c r="O76" s="99"/>
    </row>
    <row r="77" spans="1:20" ht="15.75" customHeight="1">
      <c r="A77" s="2771"/>
      <c r="B77" s="2060"/>
      <c r="C77" s="86">
        <v>2019</v>
      </c>
      <c r="D77" s="147"/>
      <c r="E77" s="147"/>
      <c r="F77" s="147"/>
      <c r="G77" s="141">
        <f t="shared" si="5"/>
        <v>0</v>
      </c>
      <c r="H77" s="50"/>
      <c r="I77" s="50"/>
      <c r="J77" s="42"/>
      <c r="K77" s="42"/>
      <c r="L77" s="42"/>
      <c r="M77" s="42"/>
      <c r="N77" s="42"/>
      <c r="O77" s="99"/>
    </row>
    <row r="78" spans="1:20" ht="17.25" customHeight="1">
      <c r="A78" s="2771"/>
      <c r="B78" s="2060"/>
      <c r="C78" s="86">
        <v>2020</v>
      </c>
      <c r="D78" s="147"/>
      <c r="E78" s="147"/>
      <c r="F78" s="147"/>
      <c r="G78" s="141">
        <f t="shared" si="5"/>
        <v>0</v>
      </c>
      <c r="H78" s="50"/>
      <c r="I78" s="50"/>
      <c r="J78" s="42"/>
      <c r="K78" s="42"/>
      <c r="L78" s="42"/>
      <c r="M78" s="42"/>
      <c r="N78" s="42"/>
      <c r="O78" s="99"/>
    </row>
    <row r="79" spans="1:20" ht="20.25" customHeight="1" thickBot="1">
      <c r="A79" s="2262"/>
      <c r="B79" s="2063"/>
      <c r="C79" s="148" t="s">
        <v>12</v>
      </c>
      <c r="D79" s="123">
        <f>SUM(D72:D78)</f>
        <v>0</v>
      </c>
      <c r="E79" s="123">
        <f>SUM(E72:E78)</f>
        <v>0</v>
      </c>
      <c r="F79" s="123">
        <f>SUM(F72:F78)</f>
        <v>0</v>
      </c>
      <c r="G79" s="149">
        <f>SUM(G72:G78)</f>
        <v>0</v>
      </c>
      <c r="H79" s="150">
        <f>SUM(H72:H78)</f>
        <v>0</v>
      </c>
      <c r="I79" s="151">
        <f t="shared" ref="I79:O79" si="6">SUM(I72:I78)</f>
        <v>0</v>
      </c>
      <c r="J79" s="125">
        <f t="shared" si="6"/>
        <v>0</v>
      </c>
      <c r="K79" s="125">
        <f t="shared" si="6"/>
        <v>0</v>
      </c>
      <c r="L79" s="125">
        <f t="shared" si="6"/>
        <v>0</v>
      </c>
      <c r="M79" s="125">
        <f t="shared" si="6"/>
        <v>0</v>
      </c>
      <c r="N79" s="125">
        <f t="shared" si="6"/>
        <v>0</v>
      </c>
      <c r="O79" s="126">
        <f t="shared" si="6"/>
        <v>0</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1581" t="s">
        <v>49</v>
      </c>
      <c r="B84" s="1582" t="s">
        <v>50</v>
      </c>
      <c r="C84" s="161" t="s">
        <v>8</v>
      </c>
      <c r="D84" s="1538" t="s">
        <v>51</v>
      </c>
      <c r="E84" s="163" t="s">
        <v>52</v>
      </c>
      <c r="F84" s="164" t="s">
        <v>53</v>
      </c>
      <c r="G84" s="164" t="s">
        <v>54</v>
      </c>
      <c r="H84" s="164" t="s">
        <v>55</v>
      </c>
      <c r="I84" s="164" t="s">
        <v>56</v>
      </c>
      <c r="J84" s="164" t="s">
        <v>57</v>
      </c>
      <c r="K84" s="165" t="s">
        <v>58</v>
      </c>
    </row>
    <row r="85" spans="1:16" ht="15" customHeight="1">
      <c r="A85" s="2564"/>
      <c r="B85" s="2025"/>
      <c r="C85" s="84">
        <v>2014</v>
      </c>
      <c r="D85" s="166"/>
      <c r="E85" s="167"/>
      <c r="F85" s="34"/>
      <c r="G85" s="34"/>
      <c r="H85" s="34"/>
      <c r="I85" s="34"/>
      <c r="J85" s="34"/>
      <c r="K85" s="37"/>
    </row>
    <row r="86" spans="1:16">
      <c r="A86" s="2565"/>
      <c r="B86" s="2025"/>
      <c r="C86" s="86">
        <v>2015</v>
      </c>
      <c r="D86" s="168"/>
      <c r="E86" s="118"/>
      <c r="F86" s="42"/>
      <c r="G86" s="42"/>
      <c r="H86" s="42"/>
      <c r="I86" s="42"/>
      <c r="J86" s="42"/>
      <c r="K86" s="99"/>
    </row>
    <row r="87" spans="1:16">
      <c r="A87" s="2565"/>
      <c r="B87" s="2025"/>
      <c r="C87" s="86">
        <v>2016</v>
      </c>
      <c r="D87" s="168"/>
      <c r="E87" s="118"/>
      <c r="F87" s="42"/>
      <c r="G87" s="42"/>
      <c r="H87" s="42"/>
      <c r="I87" s="42"/>
      <c r="J87" s="42"/>
      <c r="K87" s="99"/>
    </row>
    <row r="88" spans="1:16">
      <c r="A88" s="2565"/>
      <c r="B88" s="2025"/>
      <c r="C88" s="86">
        <v>2017</v>
      </c>
      <c r="D88" s="168"/>
      <c r="E88" s="118"/>
      <c r="F88" s="42"/>
      <c r="G88" s="42"/>
      <c r="H88" s="42"/>
      <c r="I88" s="42"/>
      <c r="J88" s="42"/>
      <c r="K88" s="99"/>
    </row>
    <row r="89" spans="1:16">
      <c r="A89" s="2565"/>
      <c r="B89" s="2025"/>
      <c r="C89" s="86">
        <v>2018</v>
      </c>
      <c r="D89" s="168"/>
      <c r="E89" s="118"/>
      <c r="F89" s="42"/>
      <c r="G89" s="42"/>
      <c r="H89" s="42"/>
      <c r="I89" s="42"/>
      <c r="J89" s="42"/>
      <c r="K89" s="99"/>
    </row>
    <row r="90" spans="1:16">
      <c r="A90" s="2565"/>
      <c r="B90" s="2025"/>
      <c r="C90" s="86">
        <v>2019</v>
      </c>
      <c r="D90" s="168"/>
      <c r="E90" s="118"/>
      <c r="F90" s="42"/>
      <c r="G90" s="42"/>
      <c r="H90" s="42"/>
      <c r="I90" s="42"/>
      <c r="J90" s="42"/>
      <c r="K90" s="99"/>
    </row>
    <row r="91" spans="1:16">
      <c r="A91" s="2565"/>
      <c r="B91" s="2025"/>
      <c r="C91" s="86">
        <v>2020</v>
      </c>
      <c r="D91" s="168"/>
      <c r="E91" s="118"/>
      <c r="F91" s="42"/>
      <c r="G91" s="42"/>
      <c r="H91" s="42"/>
      <c r="I91" s="42"/>
      <c r="J91" s="42"/>
      <c r="K91" s="99"/>
    </row>
    <row r="92" spans="1:16" ht="18" customHeight="1" thickBot="1">
      <c r="A92" s="2073"/>
      <c r="B92" s="2027"/>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777" t="s">
        <v>60</v>
      </c>
      <c r="B96" s="2779" t="s">
        <v>61</v>
      </c>
      <c r="C96" s="2780" t="s">
        <v>8</v>
      </c>
      <c r="D96" s="2735" t="s">
        <v>62</v>
      </c>
      <c r="E96" s="2736"/>
      <c r="F96" s="1539" t="s">
        <v>63</v>
      </c>
      <c r="G96" s="1583"/>
      <c r="H96" s="1583"/>
      <c r="I96" s="1583"/>
      <c r="J96" s="1583"/>
      <c r="K96" s="1583"/>
      <c r="L96" s="1583"/>
      <c r="M96" s="1584"/>
      <c r="N96" s="177"/>
      <c r="O96" s="177"/>
      <c r="P96" s="177"/>
    </row>
    <row r="97" spans="1:16" ht="100.5" customHeight="1">
      <c r="A97" s="2778"/>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560"/>
      <c r="B98" s="2025"/>
      <c r="C98" s="112">
        <v>2014</v>
      </c>
      <c r="D98" s="33"/>
      <c r="E98" s="34"/>
      <c r="F98" s="186"/>
      <c r="G98" s="187"/>
      <c r="H98" s="187"/>
      <c r="I98" s="187"/>
      <c r="J98" s="187"/>
      <c r="K98" s="187"/>
      <c r="L98" s="187"/>
      <c r="M98" s="188"/>
      <c r="N98" s="177"/>
      <c r="O98" s="177"/>
      <c r="P98" s="177"/>
    </row>
    <row r="99" spans="1:16" ht="16.5" customHeight="1">
      <c r="A99" s="2561"/>
      <c r="B99" s="2025"/>
      <c r="C99" s="116">
        <v>2015</v>
      </c>
      <c r="D99" s="50"/>
      <c r="E99" s="42"/>
      <c r="F99" s="189"/>
      <c r="G99" s="190"/>
      <c r="H99" s="190"/>
      <c r="I99" s="190"/>
      <c r="J99" s="190"/>
      <c r="K99" s="190"/>
      <c r="L99" s="190"/>
      <c r="M99" s="193"/>
      <c r="N99" s="177"/>
      <c r="O99" s="177"/>
      <c r="P99" s="177"/>
    </row>
    <row r="100" spans="1:16" ht="16.5" customHeight="1">
      <c r="A100" s="2561"/>
      <c r="B100" s="2025"/>
      <c r="C100" s="116">
        <v>2016</v>
      </c>
      <c r="D100" s="50"/>
      <c r="E100" s="42"/>
      <c r="F100" s="189"/>
      <c r="G100" s="190"/>
      <c r="H100" s="190"/>
      <c r="I100" s="190"/>
      <c r="J100" s="190"/>
      <c r="K100" s="190"/>
      <c r="L100" s="190"/>
      <c r="M100" s="193"/>
      <c r="N100" s="177"/>
      <c r="O100" s="177"/>
      <c r="P100" s="177"/>
    </row>
    <row r="101" spans="1:16" ht="16.5" customHeight="1">
      <c r="A101" s="2561"/>
      <c r="B101" s="2025"/>
      <c r="C101" s="116">
        <v>2017</v>
      </c>
      <c r="D101" s="50"/>
      <c r="E101" s="42"/>
      <c r="F101" s="189"/>
      <c r="G101" s="190"/>
      <c r="H101" s="190"/>
      <c r="I101" s="190"/>
      <c r="J101" s="190"/>
      <c r="K101" s="190"/>
      <c r="L101" s="190"/>
      <c r="M101" s="193"/>
      <c r="N101" s="177"/>
      <c r="O101" s="177"/>
      <c r="P101" s="177"/>
    </row>
    <row r="102" spans="1:16" ht="15.75" customHeight="1">
      <c r="A102" s="2561"/>
      <c r="B102" s="2025"/>
      <c r="C102" s="116">
        <v>2018</v>
      </c>
      <c r="D102" s="50"/>
      <c r="E102" s="42"/>
      <c r="F102" s="189"/>
      <c r="G102" s="190"/>
      <c r="H102" s="190"/>
      <c r="I102" s="190"/>
      <c r="J102" s="190"/>
      <c r="K102" s="190"/>
      <c r="L102" s="190"/>
      <c r="M102" s="193"/>
      <c r="N102" s="177"/>
      <c r="O102" s="177"/>
      <c r="P102" s="177"/>
    </row>
    <row r="103" spans="1:16" ht="14.25" customHeight="1">
      <c r="A103" s="2561"/>
      <c r="B103" s="2025"/>
      <c r="C103" s="116">
        <v>2019</v>
      </c>
      <c r="D103" s="50"/>
      <c r="E103" s="42"/>
      <c r="F103" s="189"/>
      <c r="G103" s="190"/>
      <c r="H103" s="190"/>
      <c r="I103" s="190"/>
      <c r="J103" s="190"/>
      <c r="K103" s="190"/>
      <c r="L103" s="190"/>
      <c r="M103" s="193"/>
      <c r="N103" s="177"/>
      <c r="O103" s="177"/>
      <c r="P103" s="177"/>
    </row>
    <row r="104" spans="1:16" ht="14.25" customHeight="1">
      <c r="A104" s="2561"/>
      <c r="B104" s="2025"/>
      <c r="C104" s="116">
        <v>2020</v>
      </c>
      <c r="D104" s="50"/>
      <c r="E104" s="42"/>
      <c r="F104" s="189"/>
      <c r="G104" s="190"/>
      <c r="H104" s="190"/>
      <c r="I104" s="190"/>
      <c r="J104" s="190"/>
      <c r="K104" s="190"/>
      <c r="L104" s="190"/>
      <c r="M104" s="193"/>
      <c r="N104" s="177"/>
      <c r="O104" s="177"/>
      <c r="P104" s="177"/>
    </row>
    <row r="105" spans="1:16" ht="19.5" customHeight="1" thickBot="1">
      <c r="A105" s="2046"/>
      <c r="B105" s="2027"/>
      <c r="C105" s="122" t="s">
        <v>12</v>
      </c>
      <c r="D105" s="151">
        <f>SUM(D98:D104)</f>
        <v>0</v>
      </c>
      <c r="E105" s="125">
        <f t="shared" ref="E105:K105" si="8">SUM(E98:E104)</f>
        <v>0</v>
      </c>
      <c r="F105" s="194">
        <f t="shared" si="8"/>
        <v>0</v>
      </c>
      <c r="G105" s="195">
        <f t="shared" si="8"/>
        <v>0</v>
      </c>
      <c r="H105" s="195">
        <f t="shared" si="8"/>
        <v>0</v>
      </c>
      <c r="I105" s="195">
        <f>SUM(I98:I104)</f>
        <v>0</v>
      </c>
      <c r="J105" s="195">
        <f t="shared" si="8"/>
        <v>0</v>
      </c>
      <c r="K105" s="195">
        <f t="shared" si="8"/>
        <v>0</v>
      </c>
      <c r="L105" s="195">
        <f>SUM(L98:L104)</f>
        <v>0</v>
      </c>
      <c r="M105" s="196">
        <f>SUM(M98:M104)</f>
        <v>0</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777" t="s">
        <v>69</v>
      </c>
      <c r="B107" s="2779" t="s">
        <v>61</v>
      </c>
      <c r="C107" s="2780" t="s">
        <v>8</v>
      </c>
      <c r="D107" s="2670" t="s">
        <v>70</v>
      </c>
      <c r="E107" s="1539" t="s">
        <v>71</v>
      </c>
      <c r="F107" s="1583"/>
      <c r="G107" s="1583"/>
      <c r="H107" s="1583"/>
      <c r="I107" s="1583"/>
      <c r="J107" s="1583"/>
      <c r="K107" s="1583"/>
      <c r="L107" s="1584"/>
      <c r="M107" s="199"/>
      <c r="N107" s="199"/>
    </row>
    <row r="108" spans="1:16" ht="103.5" customHeight="1">
      <c r="A108" s="2778"/>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560"/>
      <c r="B109" s="2025"/>
      <c r="C109" s="112">
        <v>2014</v>
      </c>
      <c r="D109" s="34"/>
      <c r="E109" s="186"/>
      <c r="F109" s="187"/>
      <c r="G109" s="187"/>
      <c r="H109" s="187"/>
      <c r="I109" s="187"/>
      <c r="J109" s="187"/>
      <c r="K109" s="187"/>
      <c r="L109" s="188"/>
      <c r="M109" s="199"/>
      <c r="N109" s="199"/>
    </row>
    <row r="110" spans="1:16">
      <c r="A110" s="2561"/>
      <c r="B110" s="2025"/>
      <c r="C110" s="116">
        <v>2015</v>
      </c>
      <c r="D110" s="42"/>
      <c r="E110" s="189"/>
      <c r="F110" s="190"/>
      <c r="G110" s="190"/>
      <c r="H110" s="190"/>
      <c r="I110" s="190"/>
      <c r="J110" s="190"/>
      <c r="K110" s="190"/>
      <c r="L110" s="193"/>
      <c r="M110" s="199"/>
      <c r="N110" s="199"/>
    </row>
    <row r="111" spans="1:16">
      <c r="A111" s="2561"/>
      <c r="B111" s="2025"/>
      <c r="C111" s="116">
        <v>2016</v>
      </c>
      <c r="D111" s="42"/>
      <c r="E111" s="189"/>
      <c r="F111" s="190"/>
      <c r="G111" s="190"/>
      <c r="H111" s="190"/>
      <c r="I111" s="190"/>
      <c r="J111" s="190"/>
      <c r="K111" s="190"/>
      <c r="L111" s="193"/>
      <c r="M111" s="199"/>
      <c r="N111" s="199"/>
    </row>
    <row r="112" spans="1:16">
      <c r="A112" s="2561"/>
      <c r="B112" s="2025"/>
      <c r="C112" s="116">
        <v>2017</v>
      </c>
      <c r="D112" s="42"/>
      <c r="E112" s="189"/>
      <c r="F112" s="190"/>
      <c r="G112" s="190"/>
      <c r="H112" s="190"/>
      <c r="I112" s="190"/>
      <c r="J112" s="190"/>
      <c r="K112" s="190"/>
      <c r="L112" s="193"/>
      <c r="M112" s="199"/>
      <c r="N112" s="199"/>
    </row>
    <row r="113" spans="1:14">
      <c r="A113" s="2561"/>
      <c r="B113" s="2025"/>
      <c r="C113" s="116">
        <v>2018</v>
      </c>
      <c r="D113" s="42"/>
      <c r="E113" s="189"/>
      <c r="F113" s="190"/>
      <c r="G113" s="190"/>
      <c r="H113" s="190"/>
      <c r="I113" s="190"/>
      <c r="J113" s="190"/>
      <c r="K113" s="190"/>
      <c r="L113" s="193"/>
      <c r="M113" s="199"/>
      <c r="N113" s="199"/>
    </row>
    <row r="114" spans="1:14">
      <c r="A114" s="2561"/>
      <c r="B114" s="2025"/>
      <c r="C114" s="116">
        <v>2019</v>
      </c>
      <c r="D114" s="42"/>
      <c r="E114" s="189"/>
      <c r="F114" s="190"/>
      <c r="G114" s="190"/>
      <c r="H114" s="190"/>
      <c r="I114" s="190"/>
      <c r="J114" s="190"/>
      <c r="K114" s="190"/>
      <c r="L114" s="193"/>
      <c r="M114" s="199"/>
      <c r="N114" s="199"/>
    </row>
    <row r="115" spans="1:14">
      <c r="A115" s="2561"/>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777" t="s">
        <v>72</v>
      </c>
      <c r="B118" s="2779" t="s">
        <v>61</v>
      </c>
      <c r="C118" s="2780" t="s">
        <v>8</v>
      </c>
      <c r="D118" s="2670" t="s">
        <v>73</v>
      </c>
      <c r="E118" s="1539" t="s">
        <v>71</v>
      </c>
      <c r="F118" s="1583"/>
      <c r="G118" s="1583"/>
      <c r="H118" s="1583"/>
      <c r="I118" s="1583"/>
      <c r="J118" s="1583"/>
      <c r="K118" s="1583"/>
      <c r="L118" s="1584"/>
      <c r="M118" s="199"/>
      <c r="N118" s="199"/>
    </row>
    <row r="119" spans="1:14" ht="120.75" customHeight="1">
      <c r="A119" s="2778"/>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560"/>
      <c r="B120" s="2025"/>
      <c r="C120" s="112">
        <v>2014</v>
      </c>
      <c r="D120" s="34"/>
      <c r="E120" s="186"/>
      <c r="F120" s="187"/>
      <c r="G120" s="187"/>
      <c r="H120" s="187"/>
      <c r="I120" s="187"/>
      <c r="J120" s="187"/>
      <c r="K120" s="187"/>
      <c r="L120" s="188"/>
      <c r="M120" s="199"/>
      <c r="N120" s="199"/>
    </row>
    <row r="121" spans="1:14">
      <c r="A121" s="2561"/>
      <c r="B121" s="2025"/>
      <c r="C121" s="116">
        <v>2015</v>
      </c>
      <c r="D121" s="42"/>
      <c r="E121" s="189"/>
      <c r="F121" s="190"/>
      <c r="G121" s="190"/>
      <c r="H121" s="190"/>
      <c r="I121" s="190"/>
      <c r="J121" s="190"/>
      <c r="K121" s="190"/>
      <c r="L121" s="193"/>
      <c r="M121" s="199"/>
      <c r="N121" s="199"/>
    </row>
    <row r="122" spans="1:14">
      <c r="A122" s="2561"/>
      <c r="B122" s="2025"/>
      <c r="C122" s="116">
        <v>2016</v>
      </c>
      <c r="D122" s="42"/>
      <c r="E122" s="189"/>
      <c r="F122" s="190"/>
      <c r="G122" s="190"/>
      <c r="H122" s="190"/>
      <c r="I122" s="190"/>
      <c r="J122" s="190"/>
      <c r="K122" s="190"/>
      <c r="L122" s="193"/>
      <c r="M122" s="199"/>
      <c r="N122" s="199"/>
    </row>
    <row r="123" spans="1:14">
      <c r="A123" s="2561"/>
      <c r="B123" s="2025"/>
      <c r="C123" s="116">
        <v>2017</v>
      </c>
      <c r="D123" s="42"/>
      <c r="E123" s="189"/>
      <c r="F123" s="190"/>
      <c r="G123" s="190"/>
      <c r="H123" s="190"/>
      <c r="I123" s="190"/>
      <c r="J123" s="190"/>
      <c r="K123" s="190"/>
      <c r="L123" s="193"/>
      <c r="M123" s="199"/>
      <c r="N123" s="199"/>
    </row>
    <row r="124" spans="1:14">
      <c r="A124" s="2561"/>
      <c r="B124" s="2025"/>
      <c r="C124" s="116">
        <v>2018</v>
      </c>
      <c r="D124" s="42"/>
      <c r="E124" s="189"/>
      <c r="F124" s="190"/>
      <c r="G124" s="190"/>
      <c r="H124" s="190"/>
      <c r="I124" s="190"/>
      <c r="J124" s="190"/>
      <c r="K124" s="190"/>
      <c r="L124" s="193"/>
      <c r="M124" s="199"/>
      <c r="N124" s="199"/>
    </row>
    <row r="125" spans="1:14">
      <c r="A125" s="2561"/>
      <c r="B125" s="2025"/>
      <c r="C125" s="116">
        <v>2019</v>
      </c>
      <c r="D125" s="42"/>
      <c r="E125" s="189"/>
      <c r="F125" s="190"/>
      <c r="G125" s="190"/>
      <c r="H125" s="190"/>
      <c r="I125" s="190"/>
      <c r="J125" s="190"/>
      <c r="K125" s="190"/>
      <c r="L125" s="193"/>
      <c r="M125" s="199"/>
      <c r="N125" s="199"/>
    </row>
    <row r="126" spans="1:14">
      <c r="A126" s="2561"/>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777" t="s">
        <v>74</v>
      </c>
      <c r="B129" s="2779" t="s">
        <v>61</v>
      </c>
      <c r="C129" s="1585" t="s">
        <v>8</v>
      </c>
      <c r="D129" s="1542" t="s">
        <v>75</v>
      </c>
      <c r="E129" s="1586"/>
      <c r="F129" s="1586"/>
      <c r="G129" s="1543"/>
      <c r="H129" s="199"/>
      <c r="I129" s="199"/>
      <c r="J129" s="199"/>
      <c r="K129" s="199"/>
      <c r="L129" s="199"/>
      <c r="M129" s="199"/>
      <c r="N129" s="199"/>
    </row>
    <row r="130" spans="1:16" ht="77.25" customHeight="1">
      <c r="A130" s="2778"/>
      <c r="B130" s="2043"/>
      <c r="C130" s="1472"/>
      <c r="D130" s="178" t="s">
        <v>76</v>
      </c>
      <c r="E130" s="207" t="s">
        <v>77</v>
      </c>
      <c r="F130" s="179" t="s">
        <v>78</v>
      </c>
      <c r="G130" s="208" t="s">
        <v>12</v>
      </c>
      <c r="H130" s="199"/>
      <c r="I130" s="199"/>
      <c r="J130" s="199"/>
      <c r="K130" s="199"/>
      <c r="L130" s="199"/>
      <c r="M130" s="199"/>
      <c r="N130" s="199"/>
    </row>
    <row r="131" spans="1:16" ht="15" customHeight="1">
      <c r="A131" s="2563"/>
      <c r="B131" s="1988"/>
      <c r="C131" s="340">
        <v>2015</v>
      </c>
      <c r="D131" s="557"/>
      <c r="E131" s="342"/>
      <c r="F131" s="342"/>
      <c r="G131" s="209">
        <f t="shared" ref="G131:G136" si="11">SUM(D131:F131)</f>
        <v>0</v>
      </c>
      <c r="H131" s="199"/>
      <c r="I131" s="199"/>
      <c r="J131" s="199"/>
      <c r="K131" s="199"/>
      <c r="L131" s="199"/>
      <c r="M131" s="199"/>
      <c r="N131" s="199"/>
    </row>
    <row r="132" spans="1:16">
      <c r="A132" s="2558"/>
      <c r="B132" s="1988"/>
      <c r="C132" s="116">
        <v>2016</v>
      </c>
      <c r="D132" s="50"/>
      <c r="E132" s="42"/>
      <c r="F132" s="42"/>
      <c r="G132" s="209">
        <f t="shared" si="11"/>
        <v>0</v>
      </c>
      <c r="H132" s="199"/>
      <c r="I132" s="199"/>
      <c r="J132" s="199"/>
      <c r="K132" s="199"/>
      <c r="L132" s="199"/>
      <c r="M132" s="199"/>
      <c r="N132" s="199"/>
    </row>
    <row r="133" spans="1:16">
      <c r="A133" s="2558"/>
      <c r="B133" s="1988"/>
      <c r="C133" s="116">
        <v>2017</v>
      </c>
      <c r="D133" s="50"/>
      <c r="E133" s="42"/>
      <c r="F133" s="42"/>
      <c r="G133" s="209">
        <f t="shared" si="11"/>
        <v>0</v>
      </c>
      <c r="H133" s="199"/>
      <c r="I133" s="199"/>
      <c r="J133" s="199"/>
      <c r="K133" s="199"/>
      <c r="L133" s="199"/>
      <c r="M133" s="199"/>
      <c r="N133" s="199"/>
    </row>
    <row r="134" spans="1:16">
      <c r="A134" s="2558"/>
      <c r="B134" s="1988"/>
      <c r="C134" s="116">
        <v>2018</v>
      </c>
      <c r="D134" s="50"/>
      <c r="E134" s="42"/>
      <c r="F134" s="42"/>
      <c r="G134" s="209">
        <f t="shared" si="11"/>
        <v>0</v>
      </c>
      <c r="H134" s="199"/>
      <c r="I134" s="199"/>
      <c r="J134" s="199"/>
      <c r="K134" s="199"/>
      <c r="L134" s="199"/>
      <c r="M134" s="199"/>
      <c r="N134" s="199"/>
    </row>
    <row r="135" spans="1:16">
      <c r="A135" s="2558"/>
      <c r="B135" s="1988"/>
      <c r="C135" s="116">
        <v>2019</v>
      </c>
      <c r="D135" s="50"/>
      <c r="E135" s="42"/>
      <c r="F135" s="42"/>
      <c r="G135" s="209">
        <f t="shared" si="11"/>
        <v>0</v>
      </c>
      <c r="H135" s="199"/>
      <c r="I135" s="199"/>
      <c r="J135" s="199"/>
      <c r="K135" s="199"/>
      <c r="L135" s="199"/>
      <c r="M135" s="199"/>
      <c r="N135" s="199"/>
    </row>
    <row r="136" spans="1:16">
      <c r="A136" s="2558"/>
      <c r="B136" s="1988"/>
      <c r="C136" s="116">
        <v>2020</v>
      </c>
      <c r="D136" s="50"/>
      <c r="E136" s="42"/>
      <c r="F136" s="42"/>
      <c r="G136" s="209">
        <f t="shared" si="11"/>
        <v>0</v>
      </c>
      <c r="H136" s="199"/>
      <c r="I136" s="199"/>
      <c r="J136" s="199"/>
      <c r="K136" s="199"/>
      <c r="L136" s="199"/>
      <c r="M136" s="199"/>
      <c r="N136" s="199"/>
    </row>
    <row r="137" spans="1:16" ht="17.25" customHeight="1" thickBot="1">
      <c r="A137" s="1989"/>
      <c r="B137" s="1990"/>
      <c r="C137" s="122" t="s">
        <v>12</v>
      </c>
      <c r="D137" s="151">
        <f>SUM(D131:D136)</f>
        <v>0</v>
      </c>
      <c r="E137" s="151">
        <f t="shared" ref="E137:F137" si="12">SUM(E131:E136)</f>
        <v>0</v>
      </c>
      <c r="F137" s="151">
        <f t="shared" si="12"/>
        <v>0</v>
      </c>
      <c r="G137" s="210">
        <f>SUM(G131:G136)</f>
        <v>0</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781" t="s">
        <v>80</v>
      </c>
      <c r="B142" s="2783" t="s">
        <v>61</v>
      </c>
      <c r="C142" s="2786" t="s">
        <v>8</v>
      </c>
      <c r="D142" s="1587" t="s">
        <v>81</v>
      </c>
      <c r="E142" s="1588"/>
      <c r="F142" s="1588"/>
      <c r="G142" s="1588"/>
      <c r="H142" s="1588"/>
      <c r="I142" s="1589"/>
      <c r="J142" s="2787" t="s">
        <v>82</v>
      </c>
      <c r="K142" s="2788"/>
      <c r="L142" s="2788"/>
      <c r="M142" s="2788"/>
      <c r="N142" s="2789"/>
      <c r="O142" s="177"/>
      <c r="P142" s="177"/>
    </row>
    <row r="143" spans="1:16" ht="113.25" customHeight="1">
      <c r="A143" s="2782"/>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560"/>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561"/>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561"/>
      <c r="B146" s="2025"/>
      <c r="C146" s="116">
        <v>2016</v>
      </c>
      <c r="D146" s="50"/>
      <c r="E146" s="50"/>
      <c r="F146" s="42"/>
      <c r="G146" s="190"/>
      <c r="H146" s="190"/>
      <c r="I146" s="227">
        <f t="shared" si="13"/>
        <v>0</v>
      </c>
      <c r="J146" s="231"/>
      <c r="K146" s="232"/>
      <c r="L146" s="231"/>
      <c r="M146" s="232"/>
      <c r="N146" s="233"/>
      <c r="O146" s="177"/>
      <c r="P146" s="177"/>
    </row>
    <row r="147" spans="1:16" ht="17.25" customHeight="1">
      <c r="A147" s="2561"/>
      <c r="B147" s="2025"/>
      <c r="C147" s="116">
        <v>2017</v>
      </c>
      <c r="D147" s="50"/>
      <c r="E147" s="50"/>
      <c r="F147" s="42"/>
      <c r="G147" s="190"/>
      <c r="H147" s="190"/>
      <c r="I147" s="227">
        <f t="shared" si="13"/>
        <v>0</v>
      </c>
      <c r="J147" s="231"/>
      <c r="K147" s="232"/>
      <c r="L147" s="231"/>
      <c r="M147" s="232"/>
      <c r="N147" s="233"/>
      <c r="O147" s="177"/>
      <c r="P147" s="177"/>
    </row>
    <row r="148" spans="1:16" ht="19.5" customHeight="1">
      <c r="A148" s="2561"/>
      <c r="B148" s="2025"/>
      <c r="C148" s="116">
        <v>2018</v>
      </c>
      <c r="D148" s="50"/>
      <c r="E148" s="50"/>
      <c r="F148" s="42"/>
      <c r="G148" s="190"/>
      <c r="H148" s="190"/>
      <c r="I148" s="227">
        <f t="shared" si="13"/>
        <v>0</v>
      </c>
      <c r="J148" s="231"/>
      <c r="K148" s="232"/>
      <c r="L148" s="231"/>
      <c r="M148" s="232"/>
      <c r="N148" s="233"/>
      <c r="O148" s="177"/>
      <c r="P148" s="177"/>
    </row>
    <row r="149" spans="1:16" ht="19.5" customHeight="1">
      <c r="A149" s="2561"/>
      <c r="B149" s="2025"/>
      <c r="C149" s="116">
        <v>2019</v>
      </c>
      <c r="D149" s="50"/>
      <c r="E149" s="50"/>
      <c r="F149" s="42"/>
      <c r="G149" s="190"/>
      <c r="H149" s="190"/>
      <c r="I149" s="227">
        <f t="shared" si="13"/>
        <v>0</v>
      </c>
      <c r="J149" s="231"/>
      <c r="K149" s="232"/>
      <c r="L149" s="231"/>
      <c r="M149" s="232"/>
      <c r="N149" s="233"/>
      <c r="O149" s="177"/>
      <c r="P149" s="177"/>
    </row>
    <row r="150" spans="1:16" ht="18.75" customHeight="1">
      <c r="A150" s="2561"/>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790" t="s">
        <v>93</v>
      </c>
      <c r="B153" s="2783" t="s">
        <v>61</v>
      </c>
      <c r="C153" s="2791" t="s">
        <v>8</v>
      </c>
      <c r="D153" s="1590" t="s">
        <v>94</v>
      </c>
      <c r="E153" s="1590"/>
      <c r="F153" s="1591"/>
      <c r="G153" s="1591"/>
      <c r="H153" s="1590" t="s">
        <v>95</v>
      </c>
      <c r="I153" s="1590"/>
      <c r="J153" s="1592"/>
      <c r="K153" s="31"/>
      <c r="L153" s="31"/>
      <c r="M153" s="31"/>
      <c r="N153" s="31"/>
      <c r="O153" s="177"/>
      <c r="P153" s="177"/>
    </row>
    <row r="154" spans="1:16" ht="49.5" customHeight="1">
      <c r="A154" s="2562"/>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560"/>
      <c r="B155" s="2025"/>
      <c r="C155" s="247">
        <v>2014</v>
      </c>
      <c r="D155" s="228"/>
      <c r="E155" s="187"/>
      <c r="F155" s="229"/>
      <c r="G155" s="227">
        <f>SUM(D155:F155)</f>
        <v>0</v>
      </c>
      <c r="H155" s="228"/>
      <c r="I155" s="187"/>
      <c r="J155" s="188"/>
      <c r="O155" s="177"/>
      <c r="P155" s="177"/>
    </row>
    <row r="156" spans="1:16" ht="19.5" customHeight="1">
      <c r="A156" s="2561"/>
      <c r="B156" s="2025"/>
      <c r="C156" s="248">
        <v>2015</v>
      </c>
      <c r="D156" s="231"/>
      <c r="E156" s="190"/>
      <c r="F156" s="232"/>
      <c r="G156" s="227">
        <f t="shared" ref="G156:G161" si="15">SUM(D156:F156)</f>
        <v>0</v>
      </c>
      <c r="H156" s="231"/>
      <c r="I156" s="190"/>
      <c r="J156" s="193"/>
      <c r="O156" s="177"/>
      <c r="P156" s="177"/>
    </row>
    <row r="157" spans="1:16" ht="17.25" customHeight="1">
      <c r="A157" s="2561"/>
      <c r="B157" s="2025"/>
      <c r="C157" s="248">
        <v>2016</v>
      </c>
      <c r="D157" s="231"/>
      <c r="E157" s="190"/>
      <c r="F157" s="232"/>
      <c r="G157" s="227">
        <f t="shared" si="15"/>
        <v>0</v>
      </c>
      <c r="H157" s="231"/>
      <c r="I157" s="190"/>
      <c r="J157" s="193"/>
      <c r="O157" s="177"/>
      <c r="P157" s="177"/>
    </row>
    <row r="158" spans="1:16" ht="15" customHeight="1">
      <c r="A158" s="2561"/>
      <c r="B158" s="2025"/>
      <c r="C158" s="248">
        <v>2017</v>
      </c>
      <c r="D158" s="231"/>
      <c r="E158" s="190"/>
      <c r="F158" s="232"/>
      <c r="G158" s="227">
        <f t="shared" si="15"/>
        <v>0</v>
      </c>
      <c r="H158" s="231"/>
      <c r="I158" s="190"/>
      <c r="J158" s="193"/>
      <c r="O158" s="177"/>
      <c r="P158" s="177"/>
    </row>
    <row r="159" spans="1:16" ht="19.5" customHeight="1">
      <c r="A159" s="2561"/>
      <c r="B159" s="2025"/>
      <c r="C159" s="248">
        <v>2018</v>
      </c>
      <c r="D159" s="231"/>
      <c r="E159" s="190"/>
      <c r="F159" s="232"/>
      <c r="G159" s="227">
        <f t="shared" si="15"/>
        <v>0</v>
      </c>
      <c r="H159" s="231"/>
      <c r="I159" s="190"/>
      <c r="J159" s="193"/>
      <c r="O159" s="177"/>
      <c r="P159" s="177"/>
    </row>
    <row r="160" spans="1:16" ht="15" customHeight="1">
      <c r="A160" s="2561"/>
      <c r="B160" s="2025"/>
      <c r="C160" s="248">
        <v>2019</v>
      </c>
      <c r="D160" s="231"/>
      <c r="E160" s="190"/>
      <c r="F160" s="232"/>
      <c r="G160" s="227">
        <f t="shared" si="15"/>
        <v>0</v>
      </c>
      <c r="H160" s="231"/>
      <c r="I160" s="190"/>
      <c r="J160" s="193"/>
      <c r="O160" s="177"/>
      <c r="P160" s="177"/>
    </row>
    <row r="161" spans="1:18" ht="17.25" customHeight="1">
      <c r="A161" s="2561"/>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1593"/>
      <c r="F163" s="177"/>
      <c r="G163" s="177"/>
      <c r="H163" s="177"/>
      <c r="I163" s="177"/>
      <c r="J163" s="255"/>
      <c r="K163" s="256"/>
    </row>
    <row r="164" spans="1:18" ht="95.25" customHeight="1">
      <c r="A164" s="1549" t="s">
        <v>102</v>
      </c>
      <c r="B164" s="258" t="s">
        <v>103</v>
      </c>
      <c r="C164" s="1447" t="s">
        <v>8</v>
      </c>
      <c r="D164" s="260" t="s">
        <v>104</v>
      </c>
      <c r="E164" s="260" t="s">
        <v>105</v>
      </c>
      <c r="F164" s="1594" t="s">
        <v>106</v>
      </c>
      <c r="G164" s="260" t="s">
        <v>107</v>
      </c>
      <c r="H164" s="260" t="s">
        <v>108</v>
      </c>
      <c r="I164" s="262" t="s">
        <v>109</v>
      </c>
      <c r="J164" s="1550" t="s">
        <v>110</v>
      </c>
      <c r="K164" s="1550" t="s">
        <v>111</v>
      </c>
      <c r="L164" s="1380"/>
    </row>
    <row r="165" spans="1:18" ht="15.75" customHeight="1">
      <c r="A165" s="2011"/>
      <c r="B165" s="2012"/>
      <c r="C165" s="265">
        <v>2014</v>
      </c>
      <c r="D165" s="187"/>
      <c r="E165" s="187"/>
      <c r="F165" s="187"/>
      <c r="G165" s="187"/>
      <c r="H165" s="187"/>
      <c r="I165" s="188"/>
      <c r="J165" s="1569">
        <f>SUM(D165,F165,H165)</f>
        <v>0</v>
      </c>
      <c r="K165" s="267">
        <f>SUM(E165,G165,I165)</f>
        <v>0</v>
      </c>
      <c r="L165" s="1380"/>
    </row>
    <row r="166" spans="1:18">
      <c r="A166" s="2013"/>
      <c r="B166" s="2014"/>
      <c r="C166" s="268">
        <v>2015</v>
      </c>
      <c r="D166" s="269"/>
      <c r="E166" s="269"/>
      <c r="F166" s="269"/>
      <c r="G166" s="269"/>
      <c r="H166" s="269"/>
      <c r="I166" s="270"/>
      <c r="J166" s="1570">
        <f t="shared" ref="J166:K171" si="17">SUM(D166,F166,H166)</f>
        <v>0</v>
      </c>
      <c r="K166" s="272">
        <f t="shared" si="17"/>
        <v>0</v>
      </c>
      <c r="L166" s="1380"/>
    </row>
    <row r="167" spans="1:18">
      <c r="A167" s="2013"/>
      <c r="B167" s="2014"/>
      <c r="C167" s="268">
        <v>2016</v>
      </c>
      <c r="D167" s="269"/>
      <c r="E167" s="269"/>
      <c r="F167" s="269"/>
      <c r="G167" s="269"/>
      <c r="H167" s="269"/>
      <c r="I167" s="270"/>
      <c r="J167" s="1570">
        <f t="shared" si="17"/>
        <v>0</v>
      </c>
      <c r="K167" s="272">
        <f t="shared" si="17"/>
        <v>0</v>
      </c>
    </row>
    <row r="168" spans="1:18">
      <c r="A168" s="2013"/>
      <c r="B168" s="2014"/>
      <c r="C168" s="268">
        <v>2017</v>
      </c>
      <c r="D168" s="269"/>
      <c r="E168" s="177"/>
      <c r="F168" s="269"/>
      <c r="G168" s="269"/>
      <c r="H168" s="269"/>
      <c r="I168" s="270"/>
      <c r="J168" s="1570">
        <f t="shared" si="17"/>
        <v>0</v>
      </c>
      <c r="K168" s="272">
        <f t="shared" si="17"/>
        <v>0</v>
      </c>
    </row>
    <row r="169" spans="1:18">
      <c r="A169" s="2013"/>
      <c r="B169" s="2014"/>
      <c r="C169" s="273">
        <v>2018</v>
      </c>
      <c r="D169" s="269"/>
      <c r="E169" s="269"/>
      <c r="F169" s="269"/>
      <c r="G169" s="274"/>
      <c r="H169" s="269"/>
      <c r="I169" s="270"/>
      <c r="J169" s="1570">
        <f t="shared" si="17"/>
        <v>0</v>
      </c>
      <c r="K169" s="272">
        <f t="shared" si="17"/>
        <v>0</v>
      </c>
      <c r="L169" s="1380"/>
    </row>
    <row r="170" spans="1:18">
      <c r="A170" s="2013"/>
      <c r="B170" s="2014"/>
      <c r="C170" s="268">
        <v>2019</v>
      </c>
      <c r="D170" s="177"/>
      <c r="E170" s="269"/>
      <c r="F170" s="269"/>
      <c r="G170" s="269"/>
      <c r="H170" s="274"/>
      <c r="I170" s="270"/>
      <c r="J170" s="1570">
        <f t="shared" si="17"/>
        <v>0</v>
      </c>
      <c r="K170" s="272">
        <f t="shared" si="17"/>
        <v>0</v>
      </c>
      <c r="L170" s="1380"/>
    </row>
    <row r="171" spans="1:18">
      <c r="A171" s="2013"/>
      <c r="B171" s="2014"/>
      <c r="C171" s="273">
        <v>2020</v>
      </c>
      <c r="D171" s="269"/>
      <c r="E171" s="269"/>
      <c r="F171" s="269"/>
      <c r="G171" s="269"/>
      <c r="H171" s="269"/>
      <c r="I171" s="270"/>
      <c r="J171" s="1570">
        <f t="shared" si="17"/>
        <v>0</v>
      </c>
      <c r="K171" s="272">
        <f t="shared" si="17"/>
        <v>0</v>
      </c>
      <c r="L171" s="1380"/>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1380"/>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792" t="s">
        <v>113</v>
      </c>
      <c r="B176" s="2794" t="s">
        <v>114</v>
      </c>
      <c r="C176" s="2795" t="s">
        <v>8</v>
      </c>
      <c r="D176" s="1551" t="s">
        <v>115</v>
      </c>
      <c r="E176" s="1595"/>
      <c r="F176" s="1595"/>
      <c r="G176" s="1596"/>
      <c r="H176" s="1553"/>
      <c r="I176" s="2751" t="s">
        <v>116</v>
      </c>
      <c r="J176" s="2784"/>
      <c r="K176" s="2784"/>
      <c r="L176" s="2784"/>
      <c r="M176" s="2784"/>
      <c r="N176" s="2784"/>
      <c r="O176" s="2785"/>
    </row>
    <row r="177" spans="1:15" s="31" customFormat="1" ht="129.75" customHeight="1">
      <c r="A177" s="2793"/>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796"/>
      <c r="B178" s="2797" t="s">
        <v>463</v>
      </c>
      <c r="C178" s="112">
        <v>2014</v>
      </c>
      <c r="D178" s="33"/>
      <c r="E178" s="34"/>
      <c r="F178" s="34"/>
      <c r="G178" s="293">
        <f>SUM(D178:F178)</f>
        <v>0</v>
      </c>
      <c r="H178" s="167"/>
      <c r="I178" s="167"/>
      <c r="J178" s="34"/>
      <c r="K178" s="34"/>
      <c r="L178" s="34"/>
      <c r="M178" s="34"/>
      <c r="N178" s="34"/>
      <c r="O178" s="37"/>
    </row>
    <row r="179" spans="1:15">
      <c r="A179" s="2796"/>
      <c r="B179" s="2798"/>
      <c r="C179" s="116">
        <v>2015</v>
      </c>
      <c r="D179" s="50">
        <v>2</v>
      </c>
      <c r="E179" s="42"/>
      <c r="F179" s="42"/>
      <c r="G179" s="293">
        <f t="shared" ref="G179:G184" si="19">SUM(D179:F179)</f>
        <v>2</v>
      </c>
      <c r="H179" s="294">
        <v>2</v>
      </c>
      <c r="I179" s="118">
        <v>1</v>
      </c>
      <c r="J179" s="42">
        <v>1</v>
      </c>
      <c r="K179" s="42"/>
      <c r="L179" s="42"/>
      <c r="M179" s="42"/>
      <c r="N179" s="42"/>
      <c r="O179" s="99"/>
    </row>
    <row r="180" spans="1:15">
      <c r="A180" s="2796"/>
      <c r="B180" s="2798"/>
      <c r="C180" s="116">
        <v>2016</v>
      </c>
      <c r="D180" s="50">
        <v>7</v>
      </c>
      <c r="E180" s="42">
        <v>1</v>
      </c>
      <c r="F180" s="42">
        <v>6</v>
      </c>
      <c r="G180" s="293">
        <f t="shared" si="19"/>
        <v>14</v>
      </c>
      <c r="H180" s="294">
        <v>17</v>
      </c>
      <c r="I180" s="118">
        <v>7</v>
      </c>
      <c r="J180" s="42">
        <v>1</v>
      </c>
      <c r="K180" s="42">
        <v>6</v>
      </c>
      <c r="L180" s="42"/>
      <c r="M180" s="42"/>
      <c r="N180" s="42"/>
      <c r="O180" s="99"/>
    </row>
    <row r="181" spans="1:15">
      <c r="A181" s="2796"/>
      <c r="B181" s="2798"/>
      <c r="C181" s="116">
        <v>2017</v>
      </c>
      <c r="D181" s="50"/>
      <c r="E181" s="42"/>
      <c r="F181" s="42"/>
      <c r="G181" s="293">
        <f t="shared" si="19"/>
        <v>0</v>
      </c>
      <c r="H181" s="294"/>
      <c r="I181" s="118"/>
      <c r="J181" s="42"/>
      <c r="K181" s="42"/>
      <c r="L181" s="42"/>
      <c r="M181" s="42"/>
      <c r="N181" s="42"/>
      <c r="O181" s="99"/>
    </row>
    <row r="182" spans="1:15">
      <c r="A182" s="2796"/>
      <c r="B182" s="2798"/>
      <c r="C182" s="116">
        <v>2018</v>
      </c>
      <c r="D182" s="50"/>
      <c r="E182" s="42"/>
      <c r="F182" s="42"/>
      <c r="G182" s="293">
        <f t="shared" si="19"/>
        <v>0</v>
      </c>
      <c r="H182" s="294"/>
      <c r="I182" s="118"/>
      <c r="J182" s="42"/>
      <c r="K182" s="42"/>
      <c r="L182" s="42"/>
      <c r="M182" s="42"/>
      <c r="N182" s="42"/>
      <c r="O182" s="99"/>
    </row>
    <row r="183" spans="1:15">
      <c r="A183" s="2796"/>
      <c r="B183" s="2798"/>
      <c r="C183" s="116">
        <v>2019</v>
      </c>
      <c r="D183" s="50"/>
      <c r="E183" s="42"/>
      <c r="F183" s="42"/>
      <c r="G183" s="293">
        <f t="shared" si="19"/>
        <v>0</v>
      </c>
      <c r="H183" s="294"/>
      <c r="I183" s="118"/>
      <c r="J183" s="42"/>
      <c r="K183" s="42"/>
      <c r="L183" s="42"/>
      <c r="M183" s="42"/>
      <c r="N183" s="42"/>
      <c r="O183" s="99"/>
    </row>
    <row r="184" spans="1:15">
      <c r="A184" s="2796"/>
      <c r="B184" s="2798"/>
      <c r="C184" s="116">
        <v>2020</v>
      </c>
      <c r="D184" s="50"/>
      <c r="E184" s="42"/>
      <c r="F184" s="42"/>
      <c r="G184" s="293">
        <f t="shared" si="19"/>
        <v>0</v>
      </c>
      <c r="H184" s="294"/>
      <c r="I184" s="118"/>
      <c r="J184" s="42"/>
      <c r="K184" s="42"/>
      <c r="L184" s="42"/>
      <c r="M184" s="42"/>
      <c r="N184" s="42"/>
      <c r="O184" s="99"/>
    </row>
    <row r="185" spans="1:15" ht="271.5" customHeight="1" thickBot="1">
      <c r="A185" s="2754"/>
      <c r="B185" s="2799"/>
      <c r="C185" s="122" t="s">
        <v>12</v>
      </c>
      <c r="D185" s="151">
        <f>SUM(D178:D184)</f>
        <v>9</v>
      </c>
      <c r="E185" s="125">
        <f>SUM(E178:E184)</f>
        <v>1</v>
      </c>
      <c r="F185" s="125">
        <f>SUM(F178:F184)</f>
        <v>6</v>
      </c>
      <c r="G185" s="234">
        <f t="shared" ref="G185:O185" si="20">SUM(G178:G184)</f>
        <v>16</v>
      </c>
      <c r="H185" s="295">
        <f t="shared" si="20"/>
        <v>19</v>
      </c>
      <c r="I185" s="124">
        <f t="shared" si="20"/>
        <v>8</v>
      </c>
      <c r="J185" s="125">
        <f t="shared" si="20"/>
        <v>2</v>
      </c>
      <c r="K185" s="125">
        <f t="shared" si="20"/>
        <v>6</v>
      </c>
      <c r="L185" s="125">
        <f t="shared" si="20"/>
        <v>0</v>
      </c>
      <c r="M185" s="125">
        <f t="shared" si="20"/>
        <v>0</v>
      </c>
      <c r="N185" s="125">
        <f t="shared" si="20"/>
        <v>0</v>
      </c>
      <c r="O185" s="126">
        <f t="shared" si="20"/>
        <v>0</v>
      </c>
    </row>
    <row r="186" spans="1:15" ht="33" customHeight="1" thickBot="1"/>
    <row r="187" spans="1:15" ht="19.5" customHeight="1">
      <c r="A187" s="2758" t="s">
        <v>122</v>
      </c>
      <c r="B187" s="2794" t="s">
        <v>114</v>
      </c>
      <c r="C187" s="1998" t="s">
        <v>8</v>
      </c>
      <c r="D187" s="2000" t="s">
        <v>123</v>
      </c>
      <c r="E187" s="2803"/>
      <c r="F187" s="2803"/>
      <c r="G187" s="2759"/>
      <c r="H187" s="2747"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800"/>
      <c r="B189" s="2797" t="s">
        <v>464</v>
      </c>
      <c r="C189" s="392">
        <v>2014</v>
      </c>
      <c r="D189" s="142"/>
      <c r="E189" s="115"/>
      <c r="F189" s="115"/>
      <c r="G189" s="301">
        <f>SUM(D189:F189)</f>
        <v>0</v>
      </c>
      <c r="H189" s="114"/>
      <c r="I189" s="115"/>
      <c r="J189" s="115"/>
      <c r="K189" s="115"/>
      <c r="L189" s="143"/>
    </row>
    <row r="190" spans="1:15">
      <c r="A190" s="2801"/>
      <c r="B190" s="2798"/>
      <c r="C190" s="86">
        <v>2015</v>
      </c>
      <c r="D190" s="50">
        <v>100</v>
      </c>
      <c r="E190" s="42"/>
      <c r="F190" s="42"/>
      <c r="G190" s="301">
        <f t="shared" ref="G190:G195" si="21">SUM(D190:F190)</f>
        <v>100</v>
      </c>
      <c r="H190" s="118"/>
      <c r="I190" s="42"/>
      <c r="J190" s="42">
        <v>22</v>
      </c>
      <c r="K190" s="42"/>
      <c r="L190" s="99">
        <v>78</v>
      </c>
    </row>
    <row r="191" spans="1:15">
      <c r="A191" s="2801"/>
      <c r="B191" s="2798"/>
      <c r="C191" s="86">
        <v>2016</v>
      </c>
      <c r="D191" s="50">
        <v>690</v>
      </c>
      <c r="E191" s="42">
        <v>50</v>
      </c>
      <c r="F191" s="42">
        <f>180+150+25+100</f>
        <v>455</v>
      </c>
      <c r="G191" s="301">
        <f>SUM(D191:F191)</f>
        <v>1195</v>
      </c>
      <c r="H191" s="118"/>
      <c r="I191" s="42">
        <v>3</v>
      </c>
      <c r="J191" s="42">
        <v>850</v>
      </c>
      <c r="K191" s="42"/>
      <c r="L191" s="99">
        <v>342</v>
      </c>
    </row>
    <row r="192" spans="1:15">
      <c r="A192" s="2801"/>
      <c r="B192" s="2798"/>
      <c r="C192" s="86">
        <v>2017</v>
      </c>
      <c r="D192" s="50"/>
      <c r="E192" s="42"/>
      <c r="F192" s="42"/>
      <c r="G192" s="301">
        <f t="shared" si="21"/>
        <v>0</v>
      </c>
      <c r="H192" s="118"/>
      <c r="I192" s="42"/>
      <c r="J192" s="42"/>
      <c r="K192" s="42"/>
      <c r="L192" s="99"/>
    </row>
    <row r="193" spans="1:14">
      <c r="A193" s="2801"/>
      <c r="B193" s="2798"/>
      <c r="C193" s="86">
        <v>2018</v>
      </c>
      <c r="D193" s="50"/>
      <c r="E193" s="42"/>
      <c r="F193" s="42"/>
      <c r="G193" s="301">
        <f t="shared" si="21"/>
        <v>0</v>
      </c>
      <c r="H193" s="118"/>
      <c r="I193" s="42"/>
      <c r="J193" s="42"/>
      <c r="K193" s="42"/>
      <c r="L193" s="99"/>
    </row>
    <row r="194" spans="1:14">
      <c r="A194" s="2801"/>
      <c r="B194" s="2798"/>
      <c r="C194" s="86">
        <v>2019</v>
      </c>
      <c r="D194" s="50"/>
      <c r="E194" s="42"/>
      <c r="F194" s="42"/>
      <c r="G194" s="301">
        <f t="shared" si="21"/>
        <v>0</v>
      </c>
      <c r="H194" s="118"/>
      <c r="I194" s="42"/>
      <c r="J194" s="42"/>
      <c r="K194" s="42"/>
      <c r="L194" s="99"/>
    </row>
    <row r="195" spans="1:14">
      <c r="A195" s="2801"/>
      <c r="B195" s="2798"/>
      <c r="C195" s="86">
        <v>2020</v>
      </c>
      <c r="D195" s="50"/>
      <c r="E195" s="42"/>
      <c r="F195" s="42"/>
      <c r="G195" s="301">
        <f t="shared" si="21"/>
        <v>0</v>
      </c>
      <c r="H195" s="118"/>
      <c r="I195" s="42"/>
      <c r="J195" s="42"/>
      <c r="K195" s="42"/>
      <c r="L195" s="99"/>
    </row>
    <row r="196" spans="1:14" ht="201.75" customHeight="1" thickBot="1">
      <c r="A196" s="2802"/>
      <c r="B196" s="2799"/>
      <c r="C196" s="148" t="s">
        <v>12</v>
      </c>
      <c r="D196" s="151">
        <f t="shared" ref="D196:K196" si="22">SUM(D189:D195)</f>
        <v>790</v>
      </c>
      <c r="E196" s="125">
        <f t="shared" si="22"/>
        <v>50</v>
      </c>
      <c r="F196" s="125">
        <v>345</v>
      </c>
      <c r="G196" s="304">
        <f t="shared" si="22"/>
        <v>1295</v>
      </c>
      <c r="H196" s="124">
        <f t="shared" si="22"/>
        <v>0</v>
      </c>
      <c r="I196" s="125">
        <f t="shared" si="22"/>
        <v>3</v>
      </c>
      <c r="J196" s="125">
        <f t="shared" si="22"/>
        <v>872</v>
      </c>
      <c r="K196" s="125">
        <f t="shared" si="22"/>
        <v>0</v>
      </c>
      <c r="L196" s="126">
        <f>SUM(L190:L195)</f>
        <v>420</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1597" t="s">
        <v>135</v>
      </c>
      <c r="B201" s="309" t="s">
        <v>114</v>
      </c>
      <c r="C201" s="310" t="s">
        <v>8</v>
      </c>
      <c r="D201" s="1555" t="s">
        <v>136</v>
      </c>
      <c r="E201" s="312" t="s">
        <v>137</v>
      </c>
      <c r="F201" s="312" t="s">
        <v>138</v>
      </c>
      <c r="G201" s="310" t="s">
        <v>139</v>
      </c>
      <c r="H201" s="1598" t="s">
        <v>140</v>
      </c>
      <c r="I201" s="1556" t="s">
        <v>141</v>
      </c>
      <c r="J201" s="1557" t="s">
        <v>142</v>
      </c>
      <c r="K201" s="312" t="s">
        <v>143</v>
      </c>
      <c r="L201" s="316" t="s">
        <v>144</v>
      </c>
    </row>
    <row r="202" spans="1:14" ht="15" customHeight="1">
      <c r="A202" s="2558"/>
      <c r="B202" s="1988"/>
      <c r="C202" s="84">
        <v>2014</v>
      </c>
      <c r="D202" s="33"/>
      <c r="E202" s="34"/>
      <c r="F202" s="34"/>
      <c r="G202" s="32"/>
      <c r="H202" s="317"/>
      <c r="I202" s="318"/>
      <c r="J202" s="319"/>
      <c r="K202" s="34"/>
      <c r="L202" s="37"/>
    </row>
    <row r="203" spans="1:14">
      <c r="A203" s="2558"/>
      <c r="B203" s="1988"/>
      <c r="C203" s="86">
        <v>2015</v>
      </c>
      <c r="D203" s="50"/>
      <c r="E203" s="42"/>
      <c r="F203" s="42"/>
      <c r="G203" s="39"/>
      <c r="H203" s="320"/>
      <c r="I203" s="321"/>
      <c r="J203" s="322"/>
      <c r="K203" s="42"/>
      <c r="L203" s="99"/>
    </row>
    <row r="204" spans="1:14">
      <c r="A204" s="2558"/>
      <c r="B204" s="1988"/>
      <c r="C204" s="86">
        <v>2016</v>
      </c>
      <c r="D204" s="50">
        <v>3</v>
      </c>
      <c r="E204" s="42">
        <v>32</v>
      </c>
      <c r="F204" s="42"/>
      <c r="G204" s="39"/>
      <c r="H204" s="320">
        <v>464</v>
      </c>
      <c r="I204" s="321"/>
      <c r="J204" s="322"/>
      <c r="K204" s="42"/>
      <c r="L204" s="99"/>
    </row>
    <row r="205" spans="1:14">
      <c r="A205" s="2558"/>
      <c r="B205" s="1988"/>
      <c r="C205" s="86">
        <v>2017</v>
      </c>
      <c r="D205" s="50"/>
      <c r="E205" s="42"/>
      <c r="F205" s="42"/>
      <c r="G205" s="39"/>
      <c r="H205" s="320"/>
      <c r="I205" s="321"/>
      <c r="J205" s="322"/>
      <c r="K205" s="42"/>
      <c r="L205" s="99"/>
    </row>
    <row r="206" spans="1:14">
      <c r="A206" s="2558"/>
      <c r="B206" s="1988"/>
      <c r="C206" s="86">
        <v>2018</v>
      </c>
      <c r="D206" s="50"/>
      <c r="E206" s="42"/>
      <c r="F206" s="42"/>
      <c r="G206" s="39"/>
      <c r="H206" s="320"/>
      <c r="I206" s="321"/>
      <c r="J206" s="322"/>
      <c r="K206" s="42"/>
      <c r="L206" s="99"/>
    </row>
    <row r="207" spans="1:14">
      <c r="A207" s="2558"/>
      <c r="B207" s="1988"/>
      <c r="C207" s="86">
        <v>2019</v>
      </c>
      <c r="D207" s="50"/>
      <c r="E207" s="42"/>
      <c r="F207" s="42"/>
      <c r="G207" s="39"/>
      <c r="H207" s="320"/>
      <c r="I207" s="321"/>
      <c r="J207" s="322"/>
      <c r="K207" s="42"/>
      <c r="L207" s="99"/>
    </row>
    <row r="208" spans="1:14">
      <c r="A208" s="2558"/>
      <c r="B208" s="1988"/>
      <c r="C208" s="86">
        <v>2020</v>
      </c>
      <c r="D208" s="1474"/>
      <c r="E208" s="324"/>
      <c r="F208" s="324"/>
      <c r="G208" s="325"/>
      <c r="H208" s="326"/>
      <c r="I208" s="327"/>
      <c r="J208" s="328"/>
      <c r="K208" s="324"/>
      <c r="L208" s="329"/>
    </row>
    <row r="209" spans="1:12" ht="20.25" customHeight="1" thickBot="1">
      <c r="A209" s="1989"/>
      <c r="B209" s="1990"/>
      <c r="C209" s="148" t="s">
        <v>12</v>
      </c>
      <c r="D209" s="151">
        <f>SUM(D202:D208)</f>
        <v>3</v>
      </c>
      <c r="E209" s="151">
        <f t="shared" ref="E209:L209" si="23">SUM(E202:E208)</f>
        <v>32</v>
      </c>
      <c r="F209" s="151">
        <f t="shared" si="23"/>
        <v>0</v>
      </c>
      <c r="G209" s="151">
        <f t="shared" si="23"/>
        <v>0</v>
      </c>
      <c r="H209" s="151">
        <f t="shared" si="23"/>
        <v>464</v>
      </c>
      <c r="I209" s="151">
        <f t="shared" si="23"/>
        <v>0</v>
      </c>
      <c r="J209" s="151">
        <f t="shared" si="23"/>
        <v>0</v>
      </c>
      <c r="K209" s="151">
        <f t="shared" si="23"/>
        <v>0</v>
      </c>
      <c r="L209" s="151">
        <f t="shared" si="23"/>
        <v>0</v>
      </c>
    </row>
    <row r="211" spans="1:12" ht="15.75" thickBot="1"/>
    <row r="212" spans="1:12" ht="29.25">
      <c r="A212" s="1599" t="s">
        <v>145</v>
      </c>
      <c r="B212" s="331" t="s">
        <v>146</v>
      </c>
      <c r="C212" s="332">
        <v>2014</v>
      </c>
      <c r="D212" s="333">
        <v>2015</v>
      </c>
      <c r="E212" s="333">
        <v>2016</v>
      </c>
      <c r="F212" s="333">
        <v>2017</v>
      </c>
      <c r="G212" s="333">
        <v>2018</v>
      </c>
      <c r="H212" s="333">
        <v>2019</v>
      </c>
      <c r="I212" s="334">
        <v>2020</v>
      </c>
    </row>
    <row r="213" spans="1:12" ht="15" customHeight="1">
      <c r="A213" t="s">
        <v>147</v>
      </c>
      <c r="B213" s="2196" t="s">
        <v>465</v>
      </c>
      <c r="C213" s="84"/>
      <c r="D213" s="147">
        <v>9892.7099999999991</v>
      </c>
      <c r="E213" s="144">
        <v>244564.83</v>
      </c>
      <c r="F213" s="147"/>
      <c r="G213" s="147"/>
      <c r="H213" s="147"/>
      <c r="I213" s="335"/>
    </row>
    <row r="214" spans="1:12">
      <c r="A214" t="s">
        <v>149</v>
      </c>
      <c r="B214" s="2168"/>
      <c r="C214" s="84"/>
      <c r="D214" s="403">
        <v>0</v>
      </c>
      <c r="E214" s="403">
        <v>0</v>
      </c>
      <c r="F214" s="147"/>
      <c r="G214" s="147"/>
      <c r="H214" s="147"/>
      <c r="I214" s="335"/>
    </row>
    <row r="215" spans="1:12">
      <c r="A215" t="s">
        <v>150</v>
      </c>
      <c r="B215" s="2168"/>
      <c r="C215" s="84"/>
      <c r="D215" s="403">
        <v>0</v>
      </c>
      <c r="E215" s="403">
        <v>0</v>
      </c>
      <c r="F215" s="147"/>
      <c r="G215" s="147"/>
      <c r="H215" s="147"/>
      <c r="I215" s="335"/>
    </row>
    <row r="216" spans="1:12">
      <c r="A216" t="s">
        <v>151</v>
      </c>
      <c r="B216" s="2168"/>
      <c r="C216" s="84"/>
      <c r="D216" s="403">
        <v>0</v>
      </c>
      <c r="E216" s="403">
        <v>0</v>
      </c>
      <c r="F216" s="147"/>
      <c r="G216" s="147"/>
      <c r="H216" s="147"/>
      <c r="I216" s="335"/>
    </row>
    <row r="217" spans="1:12">
      <c r="A217" t="s">
        <v>152</v>
      </c>
      <c r="B217" s="2168"/>
      <c r="C217" s="84"/>
      <c r="D217" s="403">
        <v>9892.7099999999991</v>
      </c>
      <c r="E217" s="403">
        <v>244564.83</v>
      </c>
      <c r="F217" s="147"/>
      <c r="G217" s="147"/>
      <c r="H217" s="147"/>
      <c r="I217" s="335"/>
    </row>
    <row r="218" spans="1:12" ht="30">
      <c r="A218" s="31" t="s">
        <v>153</v>
      </c>
      <c r="B218" s="2168"/>
      <c r="C218" s="84"/>
      <c r="D218" s="618">
        <v>100000</v>
      </c>
      <c r="E218" s="618">
        <v>41109.379999999997</v>
      </c>
      <c r="F218" s="147"/>
      <c r="G218" s="147"/>
      <c r="H218" s="147"/>
      <c r="I218" s="335"/>
    </row>
    <row r="219" spans="1:12" ht="155.25" customHeight="1" thickBot="1">
      <c r="A219" s="1473"/>
      <c r="B219" s="2169"/>
      <c r="C219" s="54" t="s">
        <v>12</v>
      </c>
      <c r="D219" s="405">
        <f>SUM(D214:D218)</f>
        <v>109892.70999999999</v>
      </c>
      <c r="E219" s="405">
        <f>SUM(E214:E218)</f>
        <v>285674.20999999996</v>
      </c>
      <c r="F219" s="337">
        <f t="shared" ref="F219:I219" si="24">SUM(F214:F218)</f>
        <v>0</v>
      </c>
      <c r="G219" s="337">
        <f t="shared" si="24"/>
        <v>0</v>
      </c>
      <c r="H219" s="337">
        <f t="shared" si="24"/>
        <v>0</v>
      </c>
      <c r="I219" s="337">
        <f t="shared" si="24"/>
        <v>0</v>
      </c>
    </row>
    <row r="227" spans="1:1">
      <c r="A227" s="31"/>
    </row>
  </sheetData>
  <mergeCells count="62">
    <mergeCell ref="H187:L187"/>
    <mergeCell ref="A189:A196"/>
    <mergeCell ref="B189:B196"/>
    <mergeCell ref="A202:B209"/>
    <mergeCell ref="B213:B219"/>
    <mergeCell ref="D187:G187"/>
    <mergeCell ref="A178:A185"/>
    <mergeCell ref="B178:B185"/>
    <mergeCell ref="A187:A188"/>
    <mergeCell ref="B187:B188"/>
    <mergeCell ref="C187:C188"/>
    <mergeCell ref="I176:O176"/>
    <mergeCell ref="C142:C143"/>
    <mergeCell ref="J142:N142"/>
    <mergeCell ref="A144:B151"/>
    <mergeCell ref="A153:A154"/>
    <mergeCell ref="B153:B154"/>
    <mergeCell ref="C153:C154"/>
    <mergeCell ref="A155:B162"/>
    <mergeCell ref="A165:B172"/>
    <mergeCell ref="A176:A177"/>
    <mergeCell ref="B176:B177"/>
    <mergeCell ref="C176:C177"/>
    <mergeCell ref="A120:B127"/>
    <mergeCell ref="A129:A130"/>
    <mergeCell ref="B129:B130"/>
    <mergeCell ref="A131:B137"/>
    <mergeCell ref="A142:A143"/>
    <mergeCell ref="B142:B143"/>
    <mergeCell ref="A118:A119"/>
    <mergeCell ref="B118:B119"/>
    <mergeCell ref="C118:C119"/>
    <mergeCell ref="D118:D119"/>
    <mergeCell ref="A85:B92"/>
    <mergeCell ref="A96:A97"/>
    <mergeCell ref="B96:B97"/>
    <mergeCell ref="C96:C97"/>
    <mergeCell ref="D96:E96"/>
    <mergeCell ref="A98:B105"/>
    <mergeCell ref="A107:A108"/>
    <mergeCell ref="B107:B108"/>
    <mergeCell ref="C107:C108"/>
    <mergeCell ref="D107:D108"/>
    <mergeCell ref="A109:B116"/>
    <mergeCell ref="A60:A61"/>
    <mergeCell ref="C60:C61"/>
    <mergeCell ref="D60:D61"/>
    <mergeCell ref="A62:B69"/>
    <mergeCell ref="A72:A79"/>
    <mergeCell ref="B72:B79"/>
    <mergeCell ref="A50:B58"/>
    <mergeCell ref="B1:F1"/>
    <mergeCell ref="F3:O3"/>
    <mergeCell ref="A4:O10"/>
    <mergeCell ref="D15:G15"/>
    <mergeCell ref="A17:A24"/>
    <mergeCell ref="B17:B24"/>
    <mergeCell ref="D26:G26"/>
    <mergeCell ref="A28:A35"/>
    <mergeCell ref="B28:B35"/>
    <mergeCell ref="A40:A47"/>
    <mergeCell ref="B40:B4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8"/>
  <dimension ref="A1:Y227"/>
  <sheetViews>
    <sheetView topLeftCell="A202" workbookViewId="0">
      <selection activeCell="E219" sqref="E219"/>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466</v>
      </c>
      <c r="C1" s="2077"/>
      <c r="D1" s="2077"/>
      <c r="E1" s="2077"/>
      <c r="F1" s="2077"/>
    </row>
    <row r="2" spans="1:25" s="2" customFormat="1" ht="20.100000000000001" customHeight="1" thickBot="1"/>
    <row r="3" spans="1:25" s="5" customFormat="1" ht="20.100000000000001" customHeight="1">
      <c r="A3" s="1503" t="s">
        <v>1</v>
      </c>
      <c r="B3" s="1504"/>
      <c r="C3" s="1504"/>
      <c r="D3" s="1504"/>
      <c r="E3" s="1504"/>
      <c r="F3" s="2707"/>
      <c r="G3" s="2707"/>
      <c r="H3" s="2707"/>
      <c r="I3" s="2707"/>
      <c r="J3" s="2707"/>
      <c r="K3" s="2707"/>
      <c r="L3" s="2707"/>
      <c r="M3" s="2707"/>
      <c r="N3" s="2707"/>
      <c r="O3" s="2708"/>
    </row>
    <row r="4" spans="1:25" s="5" customFormat="1" ht="20.100000000000001" customHeight="1">
      <c r="A4" s="2566" t="s">
        <v>2</v>
      </c>
      <c r="B4" s="2081"/>
      <c r="C4" s="2081"/>
      <c r="D4" s="2081"/>
      <c r="E4" s="2081"/>
      <c r="F4" s="2081"/>
      <c r="G4" s="2081"/>
      <c r="H4" s="2081"/>
      <c r="I4" s="2081"/>
      <c r="J4" s="2081"/>
      <c r="K4" s="2081"/>
      <c r="L4" s="2081"/>
      <c r="M4" s="2081"/>
      <c r="N4" s="2081"/>
      <c r="O4" s="2082"/>
    </row>
    <row r="5" spans="1:25" s="5" customFormat="1" ht="20.100000000000001" customHeight="1">
      <c r="A5" s="2566"/>
      <c r="B5" s="2081"/>
      <c r="C5" s="2081"/>
      <c r="D5" s="2081"/>
      <c r="E5" s="2081"/>
      <c r="F5" s="2081"/>
      <c r="G5" s="2081"/>
      <c r="H5" s="2081"/>
      <c r="I5" s="2081"/>
      <c r="J5" s="2081"/>
      <c r="K5" s="2081"/>
      <c r="L5" s="2081"/>
      <c r="M5" s="2081"/>
      <c r="N5" s="2081"/>
      <c r="O5" s="2082"/>
    </row>
    <row r="6" spans="1:25" s="5" customFormat="1" ht="20.100000000000001" customHeight="1">
      <c r="A6" s="2566"/>
      <c r="B6" s="2081"/>
      <c r="C6" s="2081"/>
      <c r="D6" s="2081"/>
      <c r="E6" s="2081"/>
      <c r="F6" s="2081"/>
      <c r="G6" s="2081"/>
      <c r="H6" s="2081"/>
      <c r="I6" s="2081"/>
      <c r="J6" s="2081"/>
      <c r="K6" s="2081"/>
      <c r="L6" s="2081"/>
      <c r="M6" s="2081"/>
      <c r="N6" s="2081"/>
      <c r="O6" s="2082"/>
    </row>
    <row r="7" spans="1:25" s="5" customFormat="1" ht="20.100000000000001" customHeight="1">
      <c r="A7" s="2566"/>
      <c r="B7" s="2081"/>
      <c r="C7" s="2081"/>
      <c r="D7" s="2081"/>
      <c r="E7" s="2081"/>
      <c r="F7" s="2081"/>
      <c r="G7" s="2081"/>
      <c r="H7" s="2081"/>
      <c r="I7" s="2081"/>
      <c r="J7" s="2081"/>
      <c r="K7" s="2081"/>
      <c r="L7" s="2081"/>
      <c r="M7" s="2081"/>
      <c r="N7" s="2081"/>
      <c r="O7" s="2082"/>
    </row>
    <row r="8" spans="1:25" s="5" customFormat="1" ht="20.100000000000001" customHeight="1">
      <c r="A8" s="2566"/>
      <c r="B8" s="2081"/>
      <c r="C8" s="2081"/>
      <c r="D8" s="2081"/>
      <c r="E8" s="2081"/>
      <c r="F8" s="2081"/>
      <c r="G8" s="2081"/>
      <c r="H8" s="2081"/>
      <c r="I8" s="2081"/>
      <c r="J8" s="2081"/>
      <c r="K8" s="2081"/>
      <c r="L8" s="2081"/>
      <c r="M8" s="2081"/>
      <c r="N8" s="2081"/>
      <c r="O8" s="2082"/>
    </row>
    <row r="9" spans="1:25" s="5" customFormat="1" ht="20.100000000000001" customHeight="1">
      <c r="A9" s="2566"/>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1518"/>
      <c r="B15" s="1519"/>
      <c r="C15" s="11"/>
      <c r="D15" s="2718" t="s">
        <v>4</v>
      </c>
      <c r="E15" s="2709"/>
      <c r="F15" s="2709"/>
      <c r="G15" s="2709"/>
      <c r="H15" s="1520"/>
      <c r="I15" s="13" t="s">
        <v>5</v>
      </c>
      <c r="J15" s="14"/>
      <c r="K15" s="14"/>
      <c r="L15" s="14"/>
      <c r="M15" s="14"/>
      <c r="N15" s="14"/>
      <c r="O15" s="15"/>
      <c r="P15" s="16"/>
      <c r="Q15" s="17"/>
      <c r="R15" s="18"/>
      <c r="S15" s="18"/>
      <c r="T15" s="18"/>
      <c r="U15" s="18"/>
      <c r="V15" s="18"/>
      <c r="W15" s="16"/>
      <c r="X15" s="16"/>
      <c r="Y15" s="17"/>
    </row>
    <row r="16" spans="1:25" s="31" customFormat="1" ht="139.9" customHeight="1">
      <c r="A16" s="1564"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563" t="s">
        <v>467</v>
      </c>
      <c r="B17" s="19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558"/>
      <c r="B18" s="1988"/>
      <c r="C18" s="39">
        <v>2015</v>
      </c>
      <c r="D18" s="50">
        <v>1</v>
      </c>
      <c r="E18" s="42"/>
      <c r="F18" s="42"/>
      <c r="G18" s="35">
        <f>SUM(D18:F18)</f>
        <v>1</v>
      </c>
      <c r="H18" s="51">
        <v>1</v>
      </c>
      <c r="I18" s="42"/>
      <c r="J18" s="42"/>
      <c r="K18" s="42"/>
      <c r="L18" s="42"/>
      <c r="M18" s="42"/>
      <c r="N18" s="42"/>
      <c r="O18" s="52"/>
      <c r="P18" s="38"/>
      <c r="Q18" s="38"/>
      <c r="R18" s="38"/>
      <c r="S18" s="38"/>
      <c r="T18" s="38"/>
      <c r="U18" s="38"/>
      <c r="V18" s="38"/>
      <c r="W18" s="38"/>
      <c r="X18" s="38"/>
      <c r="Y18" s="38"/>
    </row>
    <row r="19" spans="1:25">
      <c r="A19" s="2558"/>
      <c r="B19" s="1988"/>
      <c r="C19" s="39">
        <v>2016</v>
      </c>
      <c r="D19" s="50">
        <v>6</v>
      </c>
      <c r="E19" s="42"/>
      <c r="F19" s="42"/>
      <c r="G19" s="35">
        <f t="shared" si="0"/>
        <v>6</v>
      </c>
      <c r="H19" s="51">
        <v>2</v>
      </c>
      <c r="I19" s="42"/>
      <c r="J19" s="42"/>
      <c r="K19" s="42"/>
      <c r="L19" s="42"/>
      <c r="M19" s="42"/>
      <c r="N19" s="42"/>
      <c r="O19" s="52">
        <v>4</v>
      </c>
      <c r="P19" s="38"/>
      <c r="Q19" s="38"/>
      <c r="R19" s="38"/>
      <c r="S19" s="38"/>
      <c r="T19" s="38"/>
      <c r="U19" s="38"/>
      <c r="V19" s="38"/>
      <c r="W19" s="38"/>
      <c r="X19" s="38"/>
      <c r="Y19" s="38"/>
    </row>
    <row r="20" spans="1:25">
      <c r="A20" s="2558"/>
      <c r="B20" s="1988"/>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2558"/>
      <c r="B21" s="1988"/>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2558"/>
      <c r="B22" s="1988"/>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2558"/>
      <c r="B23" s="1988"/>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63" customHeight="1" thickBot="1">
      <c r="A24" s="1989"/>
      <c r="B24" s="1990"/>
      <c r="C24" s="54" t="s">
        <v>12</v>
      </c>
      <c r="D24" s="55">
        <f>SUM(D17:D23)</f>
        <v>7</v>
      </c>
      <c r="E24" s="56">
        <f>SUM(E17:E23)</f>
        <v>0</v>
      </c>
      <c r="F24" s="56">
        <f>SUM(F17:F23)</f>
        <v>0</v>
      </c>
      <c r="G24" s="57">
        <f>SUM(D24:F24)</f>
        <v>7</v>
      </c>
      <c r="H24" s="58">
        <f>SUM(H17:H23)</f>
        <v>3</v>
      </c>
      <c r="I24" s="59">
        <f>SUM(I17:I23)</f>
        <v>0</v>
      </c>
      <c r="J24" s="59">
        <f t="shared" ref="J24:N24" si="1">SUM(J17:J23)</f>
        <v>0</v>
      </c>
      <c r="K24" s="59">
        <f t="shared" si="1"/>
        <v>0</v>
      </c>
      <c r="L24" s="59">
        <f t="shared" si="1"/>
        <v>0</v>
      </c>
      <c r="M24" s="59">
        <f t="shared" si="1"/>
        <v>0</v>
      </c>
      <c r="N24" s="59">
        <f t="shared" si="1"/>
        <v>0</v>
      </c>
      <c r="O24" s="60">
        <f>SUM(O17:O23)</f>
        <v>4</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1518"/>
      <c r="B26" s="1519"/>
      <c r="C26" s="63"/>
      <c r="D26" s="2723" t="s">
        <v>4</v>
      </c>
      <c r="E26" s="2713"/>
      <c r="F26" s="2713"/>
      <c r="G26" s="2724"/>
      <c r="H26" s="16"/>
      <c r="I26" s="17"/>
      <c r="J26" s="18"/>
      <c r="K26" s="18"/>
      <c r="L26" s="18"/>
      <c r="M26" s="18"/>
      <c r="N26" s="18"/>
      <c r="O26" s="16"/>
      <c r="P26" s="16"/>
    </row>
    <row r="27" spans="1:25" s="31" customFormat="1" ht="93" customHeight="1">
      <c r="A27" s="1377"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563" t="s">
        <v>468</v>
      </c>
      <c r="B28" s="1988"/>
      <c r="C28" s="68">
        <v>2014</v>
      </c>
      <c r="D28" s="36"/>
      <c r="E28" s="34"/>
      <c r="F28" s="34"/>
      <c r="G28" s="69">
        <f>SUM(D28:F28)</f>
        <v>0</v>
      </c>
      <c r="H28" s="38"/>
      <c r="I28" s="38"/>
      <c r="J28" s="38"/>
      <c r="K28" s="38"/>
      <c r="L28" s="38"/>
      <c r="M28" s="38"/>
      <c r="N28" s="38"/>
      <c r="O28" s="38"/>
      <c r="P28" s="38"/>
      <c r="Q28" s="8"/>
    </row>
    <row r="29" spans="1:25">
      <c r="A29" s="2558"/>
      <c r="B29" s="1988"/>
      <c r="C29" s="70">
        <v>2015</v>
      </c>
      <c r="D29" s="51">
        <v>80</v>
      </c>
      <c r="E29" s="42"/>
      <c r="F29" s="42"/>
      <c r="G29" s="69">
        <f t="shared" ref="G29:G35" si="2">SUM(D29:F29)</f>
        <v>80</v>
      </c>
      <c r="H29" s="38"/>
      <c r="I29" s="38"/>
      <c r="J29" s="38"/>
      <c r="K29" s="38"/>
      <c r="L29" s="38"/>
      <c r="M29" s="38"/>
      <c r="N29" s="38"/>
      <c r="O29" s="38"/>
      <c r="P29" s="38"/>
      <c r="Q29" s="8"/>
    </row>
    <row r="30" spans="1:25">
      <c r="A30" s="2558"/>
      <c r="B30" s="1988"/>
      <c r="C30" s="70">
        <v>2016</v>
      </c>
      <c r="D30" s="51">
        <v>728</v>
      </c>
      <c r="E30" s="42"/>
      <c r="F30" s="42"/>
      <c r="G30" s="69">
        <f t="shared" si="2"/>
        <v>728</v>
      </c>
      <c r="H30" s="38"/>
      <c r="I30" s="38"/>
      <c r="J30" s="38"/>
      <c r="K30" s="38"/>
      <c r="L30" s="38"/>
      <c r="M30" s="38"/>
      <c r="N30" s="38"/>
      <c r="O30" s="38"/>
      <c r="P30" s="38"/>
      <c r="Q30" s="8"/>
    </row>
    <row r="31" spans="1:25">
      <c r="A31" s="2558"/>
      <c r="B31" s="1988"/>
      <c r="C31" s="70">
        <v>2017</v>
      </c>
      <c r="D31" s="51"/>
      <c r="E31" s="42"/>
      <c r="F31" s="42"/>
      <c r="G31" s="69">
        <f t="shared" si="2"/>
        <v>0</v>
      </c>
      <c r="H31" s="38"/>
      <c r="I31" s="38"/>
      <c r="J31" s="38"/>
      <c r="K31" s="38"/>
      <c r="L31" s="38"/>
      <c r="M31" s="38"/>
      <c r="N31" s="38"/>
      <c r="O31" s="38"/>
      <c r="P31" s="38"/>
      <c r="Q31" s="8"/>
    </row>
    <row r="32" spans="1:25">
      <c r="A32" s="2558"/>
      <c r="B32" s="1988"/>
      <c r="C32" s="70">
        <v>2018</v>
      </c>
      <c r="D32" s="51"/>
      <c r="E32" s="42"/>
      <c r="F32" s="42"/>
      <c r="G32" s="69">
        <f>SUM(D32:F32)</f>
        <v>0</v>
      </c>
      <c r="H32" s="38"/>
      <c r="I32" s="38"/>
      <c r="J32" s="38"/>
      <c r="K32" s="38"/>
      <c r="L32" s="38"/>
      <c r="M32" s="38"/>
      <c r="N32" s="38"/>
      <c r="O32" s="38"/>
      <c r="P32" s="38"/>
      <c r="Q32" s="8"/>
    </row>
    <row r="33" spans="1:17">
      <c r="A33" s="2558"/>
      <c r="B33" s="1988"/>
      <c r="C33" s="72">
        <v>2019</v>
      </c>
      <c r="D33" s="51"/>
      <c r="E33" s="42"/>
      <c r="F33" s="42"/>
      <c r="G33" s="69">
        <f t="shared" si="2"/>
        <v>0</v>
      </c>
      <c r="H33" s="38"/>
      <c r="I33" s="38"/>
      <c r="J33" s="38"/>
      <c r="K33" s="38"/>
      <c r="L33" s="38"/>
      <c r="M33" s="38"/>
      <c r="N33" s="38"/>
      <c r="O33" s="38"/>
      <c r="P33" s="38"/>
      <c r="Q33" s="8"/>
    </row>
    <row r="34" spans="1:17">
      <c r="A34" s="2558"/>
      <c r="B34" s="1988"/>
      <c r="C34" s="70">
        <v>2020</v>
      </c>
      <c r="D34" s="51"/>
      <c r="E34" s="42"/>
      <c r="F34" s="42"/>
      <c r="G34" s="69">
        <f t="shared" si="2"/>
        <v>0</v>
      </c>
      <c r="H34" s="38"/>
      <c r="I34" s="38"/>
      <c r="J34" s="38"/>
      <c r="K34" s="38"/>
      <c r="L34" s="38"/>
      <c r="M34" s="38"/>
      <c r="N34" s="38"/>
      <c r="O34" s="38"/>
      <c r="P34" s="38"/>
      <c r="Q34" s="8"/>
    </row>
    <row r="35" spans="1:17" ht="20.25" customHeight="1" thickBot="1">
      <c r="A35" s="1989"/>
      <c r="B35" s="1990"/>
      <c r="C35" s="73" t="s">
        <v>12</v>
      </c>
      <c r="D35" s="58">
        <f>SUM(D28:D34)</f>
        <v>808</v>
      </c>
      <c r="E35" s="56">
        <f>SUM(E28:E34)</f>
        <v>0</v>
      </c>
      <c r="F35" s="56">
        <f>SUM(F28:F34)</f>
        <v>0</v>
      </c>
      <c r="G35" s="60">
        <f t="shared" si="2"/>
        <v>808</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1521" t="s">
        <v>25</v>
      </c>
      <c r="B39" s="1522" t="s">
        <v>7</v>
      </c>
      <c r="C39" s="80" t="s">
        <v>8</v>
      </c>
      <c r="D39" s="1523" t="s">
        <v>26</v>
      </c>
      <c r="E39" s="352" t="s">
        <v>27</v>
      </c>
      <c r="F39" s="353"/>
      <c r="G39" s="30"/>
      <c r="H39" s="30"/>
    </row>
    <row r="40" spans="1:17">
      <c r="A40" s="2563" t="s">
        <v>469</v>
      </c>
      <c r="B40" s="1988"/>
      <c r="C40" s="84">
        <v>2014</v>
      </c>
      <c r="D40" s="33"/>
      <c r="E40" s="32"/>
      <c r="F40" s="8"/>
      <c r="G40" s="38"/>
      <c r="H40" s="38"/>
    </row>
    <row r="41" spans="1:17">
      <c r="A41" s="2558"/>
      <c r="B41" s="1988"/>
      <c r="C41" s="86">
        <v>2015</v>
      </c>
      <c r="D41" s="354">
        <v>44093</v>
      </c>
      <c r="E41" s="39"/>
      <c r="F41" s="8"/>
      <c r="G41" s="38"/>
      <c r="H41" s="38"/>
    </row>
    <row r="42" spans="1:17">
      <c r="A42" s="2558"/>
      <c r="B42" s="1988"/>
      <c r="C42" s="86">
        <v>2016</v>
      </c>
      <c r="D42" s="354">
        <v>358614</v>
      </c>
      <c r="E42" s="39"/>
      <c r="F42" s="8"/>
      <c r="G42" s="38"/>
      <c r="H42" s="38"/>
    </row>
    <row r="43" spans="1:17">
      <c r="A43" s="2558"/>
      <c r="B43" s="1988"/>
      <c r="C43" s="86">
        <v>2017</v>
      </c>
      <c r="D43" s="50"/>
      <c r="E43" s="39"/>
      <c r="F43" s="8"/>
      <c r="G43" s="38"/>
      <c r="H43" s="38"/>
    </row>
    <row r="44" spans="1:17">
      <c r="A44" s="2558"/>
      <c r="B44" s="1988"/>
      <c r="C44" s="86">
        <v>2018</v>
      </c>
      <c r="D44" s="50"/>
      <c r="E44" s="39"/>
      <c r="F44" s="8"/>
      <c r="G44" s="38"/>
      <c r="H44" s="38"/>
    </row>
    <row r="45" spans="1:17">
      <c r="A45" s="2558"/>
      <c r="B45" s="1988"/>
      <c r="C45" s="86">
        <v>2019</v>
      </c>
      <c r="D45" s="50"/>
      <c r="E45" s="39"/>
      <c r="F45" s="8"/>
      <c r="G45" s="38"/>
      <c r="H45" s="38"/>
    </row>
    <row r="46" spans="1:17">
      <c r="A46" s="2558"/>
      <c r="B46" s="1988"/>
      <c r="C46" s="86">
        <v>2020</v>
      </c>
      <c r="D46" s="50"/>
      <c r="E46" s="39"/>
      <c r="F46" s="8"/>
      <c r="G46" s="38"/>
      <c r="H46" s="38"/>
    </row>
    <row r="47" spans="1:17" ht="15.75" thickBot="1">
      <c r="A47" s="1989"/>
      <c r="B47" s="1990"/>
      <c r="C47" s="54" t="s">
        <v>12</v>
      </c>
      <c r="D47" s="55">
        <f>SUM(D40:D46)</f>
        <v>402707</v>
      </c>
      <c r="E47" s="419">
        <f>SUM(E40:E46)</f>
        <v>0</v>
      </c>
      <c r="F47" s="121"/>
      <c r="G47" s="38"/>
      <c r="H47" s="38"/>
    </row>
    <row r="48" spans="1:17" s="38" customFormat="1" ht="15.75" thickBot="1">
      <c r="A48" s="1510"/>
      <c r="B48" s="92"/>
      <c r="C48" s="93"/>
    </row>
    <row r="49" spans="1:15" ht="83.25" customHeight="1">
      <c r="A49" s="1527" t="s">
        <v>29</v>
      </c>
      <c r="B49" s="1522" t="s">
        <v>7</v>
      </c>
      <c r="C49" s="95" t="s">
        <v>8</v>
      </c>
      <c r="D49" s="1523" t="s">
        <v>30</v>
      </c>
      <c r="E49" s="96" t="s">
        <v>31</v>
      </c>
      <c r="F49" s="96" t="s">
        <v>32</v>
      </c>
      <c r="G49" s="96" t="s">
        <v>33</v>
      </c>
      <c r="H49" s="96" t="s">
        <v>34</v>
      </c>
      <c r="I49" s="96" t="s">
        <v>35</v>
      </c>
      <c r="J49" s="96" t="s">
        <v>36</v>
      </c>
      <c r="K49" s="97" t="s">
        <v>37</v>
      </c>
    </row>
    <row r="50" spans="1:15" ht="17.25" customHeight="1">
      <c r="A50" s="2005"/>
      <c r="B50" s="2012"/>
      <c r="C50" s="98" t="s">
        <v>38</v>
      </c>
      <c r="D50" s="33"/>
      <c r="E50" s="34"/>
      <c r="F50" s="34"/>
      <c r="G50" s="34"/>
      <c r="H50" s="34"/>
      <c r="I50" s="34"/>
      <c r="J50" s="34"/>
      <c r="K50" s="37"/>
    </row>
    <row r="51" spans="1:15" ht="15" customHeight="1">
      <c r="A51" s="2563"/>
      <c r="B51" s="2014"/>
      <c r="C51" s="86">
        <v>2014</v>
      </c>
      <c r="D51" s="50"/>
      <c r="E51" s="42"/>
      <c r="F51" s="42"/>
      <c r="G51" s="42"/>
      <c r="H51" s="42"/>
      <c r="I51" s="42"/>
      <c r="J51" s="42"/>
      <c r="K51" s="99"/>
    </row>
    <row r="52" spans="1:15">
      <c r="A52" s="2563"/>
      <c r="B52" s="2014"/>
      <c r="C52" s="86">
        <v>2015</v>
      </c>
      <c r="D52" s="50"/>
      <c r="E52" s="42"/>
      <c r="F52" s="42"/>
      <c r="G52" s="42"/>
      <c r="H52" s="42"/>
      <c r="I52" s="42"/>
      <c r="J52" s="42"/>
      <c r="K52" s="99"/>
    </row>
    <row r="53" spans="1:15">
      <c r="A53" s="2563"/>
      <c r="B53" s="2014"/>
      <c r="C53" s="86">
        <v>2016</v>
      </c>
      <c r="D53" s="50"/>
      <c r="E53" s="42"/>
      <c r="F53" s="42"/>
      <c r="G53" s="42"/>
      <c r="H53" s="42"/>
      <c r="I53" s="42"/>
      <c r="J53" s="42"/>
      <c r="K53" s="99"/>
    </row>
    <row r="54" spans="1:15">
      <c r="A54" s="2563"/>
      <c r="B54" s="2014"/>
      <c r="C54" s="86">
        <v>2017</v>
      </c>
      <c r="D54" s="50"/>
      <c r="E54" s="42"/>
      <c r="F54" s="42"/>
      <c r="G54" s="42"/>
      <c r="H54" s="42"/>
      <c r="I54" s="42"/>
      <c r="J54" s="42"/>
      <c r="K54" s="99"/>
    </row>
    <row r="55" spans="1:15">
      <c r="A55" s="2563"/>
      <c r="B55" s="2014"/>
      <c r="C55" s="86">
        <v>2018</v>
      </c>
      <c r="D55" s="50"/>
      <c r="E55" s="42"/>
      <c r="F55" s="42"/>
      <c r="G55" s="42"/>
      <c r="H55" s="42"/>
      <c r="I55" s="42"/>
      <c r="J55" s="42"/>
      <c r="K55" s="99"/>
    </row>
    <row r="56" spans="1:15">
      <c r="A56" s="2563"/>
      <c r="B56" s="2014"/>
      <c r="C56" s="86">
        <v>2019</v>
      </c>
      <c r="D56" s="50"/>
      <c r="E56" s="42"/>
      <c r="F56" s="42"/>
      <c r="G56" s="42"/>
      <c r="H56" s="42"/>
      <c r="I56" s="42"/>
      <c r="J56" s="42"/>
      <c r="K56" s="99"/>
    </row>
    <row r="57" spans="1:15">
      <c r="A57" s="2563"/>
      <c r="B57" s="2014"/>
      <c r="C57" s="86">
        <v>2020</v>
      </c>
      <c r="D57" s="50"/>
      <c r="E57" s="42"/>
      <c r="F57" s="42"/>
      <c r="G57" s="42"/>
      <c r="H57" s="42"/>
      <c r="I57" s="42"/>
      <c r="J57" s="42"/>
      <c r="K57" s="100"/>
    </row>
    <row r="58" spans="1:15" ht="20.25" customHeight="1" thickBot="1">
      <c r="A58" s="2009"/>
      <c r="B58" s="2016"/>
      <c r="C58" s="54" t="s">
        <v>12</v>
      </c>
      <c r="D58" s="55">
        <f>SUM(D51:D57)</f>
        <v>0</v>
      </c>
      <c r="E58" s="56">
        <f>SUM(E51:E57)</f>
        <v>0</v>
      </c>
      <c r="F58" s="56">
        <f>SUM(F51:F57)</f>
        <v>0</v>
      </c>
      <c r="G58" s="56">
        <f>SUM(G51:G57)</f>
        <v>0</v>
      </c>
      <c r="H58" s="56">
        <f>SUM(H51:H57)</f>
        <v>0</v>
      </c>
      <c r="I58" s="56">
        <f t="shared" ref="I58" si="3">SUM(I51:I57)</f>
        <v>0</v>
      </c>
      <c r="J58" s="56">
        <f>SUM(J51:J57)</f>
        <v>0</v>
      </c>
      <c r="K58" s="60">
        <f>SUM(K50:K56)</f>
        <v>0</v>
      </c>
    </row>
    <row r="59" spans="1:15" ht="15.75" thickBot="1"/>
    <row r="60" spans="1:15" ht="21" customHeight="1">
      <c r="A60" s="2716" t="s">
        <v>39</v>
      </c>
      <c r="B60" s="1528"/>
      <c r="C60" s="2717" t="s">
        <v>8</v>
      </c>
      <c r="D60" s="2671" t="s">
        <v>40</v>
      </c>
      <c r="E60" s="1477" t="s">
        <v>5</v>
      </c>
      <c r="F60" s="1478"/>
      <c r="G60" s="1478"/>
      <c r="H60" s="1478"/>
      <c r="I60" s="1478"/>
      <c r="J60" s="1478"/>
      <c r="K60" s="1478"/>
      <c r="L60" s="1479"/>
    </row>
    <row r="61" spans="1:15" ht="127.15" customHeight="1">
      <c r="A61" s="2764"/>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560" t="s">
        <v>470</v>
      </c>
      <c r="B62" s="2025"/>
      <c r="C62" s="112">
        <v>2014</v>
      </c>
      <c r="D62" s="113"/>
      <c r="E62" s="114"/>
      <c r="F62" s="115"/>
      <c r="G62" s="115"/>
      <c r="H62" s="115"/>
      <c r="I62" s="115"/>
      <c r="J62" s="115"/>
      <c r="K62" s="115"/>
      <c r="L62" s="37"/>
      <c r="M62" s="8"/>
      <c r="N62" s="8"/>
      <c r="O62" s="8"/>
    </row>
    <row r="63" spans="1:15">
      <c r="A63" s="2561"/>
      <c r="B63" s="2025"/>
      <c r="C63" s="116">
        <v>2015</v>
      </c>
      <c r="D63" s="117">
        <v>2</v>
      </c>
      <c r="E63" s="118">
        <v>2</v>
      </c>
      <c r="F63" s="42"/>
      <c r="G63" s="42"/>
      <c r="H63" s="42"/>
      <c r="I63" s="42"/>
      <c r="J63" s="42"/>
      <c r="K63" s="42"/>
      <c r="L63" s="99"/>
      <c r="M63" s="8"/>
      <c r="N63" s="8"/>
      <c r="O63" s="8"/>
    </row>
    <row r="64" spans="1:15">
      <c r="A64" s="2561"/>
      <c r="B64" s="2025"/>
      <c r="C64" s="116">
        <v>2016</v>
      </c>
      <c r="D64" s="117">
        <v>2</v>
      </c>
      <c r="E64" s="118"/>
      <c r="F64" s="42"/>
      <c r="G64" s="42"/>
      <c r="H64" s="42"/>
      <c r="I64" s="42"/>
      <c r="J64" s="42"/>
      <c r="K64" s="42"/>
      <c r="L64" s="99">
        <v>2</v>
      </c>
      <c r="M64" s="8"/>
      <c r="N64" s="8"/>
      <c r="O64" s="8"/>
    </row>
    <row r="65" spans="1:20">
      <c r="A65" s="2561"/>
      <c r="B65" s="2025"/>
      <c r="C65" s="116">
        <v>2017</v>
      </c>
      <c r="D65" s="117"/>
      <c r="E65" s="118"/>
      <c r="F65" s="42"/>
      <c r="G65" s="42"/>
      <c r="H65" s="42"/>
      <c r="I65" s="42"/>
      <c r="J65" s="42"/>
      <c r="K65" s="42"/>
      <c r="L65" s="99"/>
      <c r="M65" s="8"/>
      <c r="N65" s="8"/>
      <c r="O65" s="8"/>
    </row>
    <row r="66" spans="1:20">
      <c r="A66" s="2561"/>
      <c r="B66" s="2025"/>
      <c r="C66" s="116">
        <v>2018</v>
      </c>
      <c r="D66" s="117"/>
      <c r="E66" s="118"/>
      <c r="F66" s="42"/>
      <c r="G66" s="42"/>
      <c r="H66" s="42"/>
      <c r="I66" s="42"/>
      <c r="J66" s="42"/>
      <c r="K66" s="42"/>
      <c r="L66" s="99"/>
      <c r="M66" s="8"/>
      <c r="N66" s="8"/>
      <c r="O66" s="8"/>
    </row>
    <row r="67" spans="1:20" ht="17.25" customHeight="1">
      <c r="A67" s="2561"/>
      <c r="B67" s="2025"/>
      <c r="C67" s="116">
        <v>2019</v>
      </c>
      <c r="D67" s="117"/>
      <c r="E67" s="118"/>
      <c r="F67" s="42"/>
      <c r="G67" s="42"/>
      <c r="H67" s="42"/>
      <c r="I67" s="42"/>
      <c r="J67" s="42"/>
      <c r="K67" s="42"/>
      <c r="L67" s="99"/>
      <c r="M67" s="8"/>
      <c r="N67" s="8"/>
      <c r="O67" s="8"/>
    </row>
    <row r="68" spans="1:20" ht="16.5" customHeight="1">
      <c r="A68" s="2561"/>
      <c r="B68" s="2025"/>
      <c r="C68" s="116">
        <v>2020</v>
      </c>
      <c r="D68" s="117"/>
      <c r="E68" s="118"/>
      <c r="F68" s="42"/>
      <c r="G68" s="42"/>
      <c r="H68" s="42"/>
      <c r="I68" s="42"/>
      <c r="J68" s="42"/>
      <c r="K68" s="42"/>
      <c r="L68" s="99"/>
      <c r="M68" s="121"/>
      <c r="N68" s="121"/>
      <c r="O68" s="121"/>
    </row>
    <row r="69" spans="1:20" ht="18" customHeight="1" thickBot="1">
      <c r="A69" s="2134"/>
      <c r="B69" s="2027"/>
      <c r="C69" s="122" t="s">
        <v>12</v>
      </c>
      <c r="D69" s="123">
        <f>SUM(D62:D68)</f>
        <v>4</v>
      </c>
      <c r="E69" s="124">
        <f>SUM(E62:E68)</f>
        <v>2</v>
      </c>
      <c r="F69" s="125">
        <f t="shared" ref="F69:I69" si="4">SUM(F62:F68)</f>
        <v>0</v>
      </c>
      <c r="G69" s="125">
        <f t="shared" si="4"/>
        <v>0</v>
      </c>
      <c r="H69" s="125">
        <f t="shared" si="4"/>
        <v>0</v>
      </c>
      <c r="I69" s="125">
        <f t="shared" si="4"/>
        <v>0</v>
      </c>
      <c r="J69" s="125"/>
      <c r="K69" s="125">
        <f>SUM(K62:K68)</f>
        <v>0</v>
      </c>
      <c r="L69" s="126">
        <f>SUM(L62:L68)</f>
        <v>2</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7.44999999999999" customHeight="1">
      <c r="A71" s="1521" t="s">
        <v>42</v>
      </c>
      <c r="B71" s="1522" t="s">
        <v>7</v>
      </c>
      <c r="C71" s="80" t="s">
        <v>8</v>
      </c>
      <c r="D71" s="132" t="s">
        <v>43</v>
      </c>
      <c r="E71" s="132" t="s">
        <v>44</v>
      </c>
      <c r="F71" s="133" t="s">
        <v>45</v>
      </c>
      <c r="G71" s="1532" t="s">
        <v>46</v>
      </c>
      <c r="H71" s="135" t="s">
        <v>13</v>
      </c>
      <c r="I71" s="136" t="s">
        <v>14</v>
      </c>
      <c r="J71" s="137" t="s">
        <v>15</v>
      </c>
      <c r="K71" s="136" t="s">
        <v>16</v>
      </c>
      <c r="L71" s="136" t="s">
        <v>17</v>
      </c>
      <c r="M71" s="138" t="s">
        <v>18</v>
      </c>
      <c r="N71" s="137" t="s">
        <v>19</v>
      </c>
      <c r="O71" s="139" t="s">
        <v>20</v>
      </c>
    </row>
    <row r="72" spans="1:20" ht="15" customHeight="1">
      <c r="A72" s="2563" t="s">
        <v>471</v>
      </c>
      <c r="B72" s="2025"/>
      <c r="C72" s="84">
        <v>2014</v>
      </c>
      <c r="D72" s="140"/>
      <c r="E72" s="140"/>
      <c r="F72" s="140"/>
      <c r="G72" s="141">
        <f>SUM(D72:F72)</f>
        <v>0</v>
      </c>
      <c r="H72" s="33"/>
      <c r="I72" s="142"/>
      <c r="J72" s="115"/>
      <c r="K72" s="115"/>
      <c r="L72" s="115"/>
      <c r="M72" s="115"/>
      <c r="N72" s="115"/>
      <c r="O72" s="143"/>
    </row>
    <row r="73" spans="1:20">
      <c r="A73" s="2558"/>
      <c r="B73" s="2025"/>
      <c r="C73" s="86">
        <v>2015</v>
      </c>
      <c r="D73" s="147"/>
      <c r="E73" s="147"/>
      <c r="F73" s="147"/>
      <c r="G73" s="141">
        <f t="shared" ref="G73:G78" si="5">SUM(D73:F73)</f>
        <v>0</v>
      </c>
      <c r="H73" s="50"/>
      <c r="I73" s="50"/>
      <c r="J73" s="42"/>
      <c r="K73" s="42"/>
      <c r="L73" s="42"/>
      <c r="M73" s="42"/>
      <c r="N73" s="42"/>
      <c r="O73" s="99"/>
    </row>
    <row r="74" spans="1:20">
      <c r="A74" s="2558"/>
      <c r="B74" s="2025"/>
      <c r="C74" s="86">
        <v>2016</v>
      </c>
      <c r="D74" s="147">
        <v>7</v>
      </c>
      <c r="E74" s="147">
        <v>1</v>
      </c>
      <c r="F74" s="147">
        <v>3</v>
      </c>
      <c r="G74" s="141">
        <f t="shared" si="5"/>
        <v>11</v>
      </c>
      <c r="H74" s="50">
        <v>5</v>
      </c>
      <c r="I74" s="50"/>
      <c r="J74" s="42"/>
      <c r="K74" s="42"/>
      <c r="L74" s="42"/>
      <c r="M74" s="42"/>
      <c r="N74" s="42"/>
      <c r="O74" s="99">
        <v>6</v>
      </c>
    </row>
    <row r="75" spans="1:20">
      <c r="A75" s="2558"/>
      <c r="B75" s="2025"/>
      <c r="C75" s="86">
        <v>2017</v>
      </c>
      <c r="D75" s="147"/>
      <c r="E75" s="147"/>
      <c r="F75" s="147"/>
      <c r="G75" s="141">
        <f t="shared" si="5"/>
        <v>0</v>
      </c>
      <c r="H75" s="50"/>
      <c r="I75" s="50"/>
      <c r="J75" s="42"/>
      <c r="K75" s="42"/>
      <c r="L75" s="42"/>
      <c r="M75" s="42"/>
      <c r="N75" s="42"/>
      <c r="O75" s="99"/>
    </row>
    <row r="76" spans="1:20">
      <c r="A76" s="2558"/>
      <c r="B76" s="2025"/>
      <c r="C76" s="86">
        <v>2018</v>
      </c>
      <c r="D76" s="147"/>
      <c r="E76" s="147"/>
      <c r="F76" s="147"/>
      <c r="G76" s="141">
        <f t="shared" si="5"/>
        <v>0</v>
      </c>
      <c r="H76" s="50"/>
      <c r="I76" s="50"/>
      <c r="J76" s="42"/>
      <c r="K76" s="42"/>
      <c r="L76" s="42"/>
      <c r="M76" s="42"/>
      <c r="N76" s="42"/>
      <c r="O76" s="99"/>
    </row>
    <row r="77" spans="1:20" ht="15.75" customHeight="1">
      <c r="A77" s="2558"/>
      <c r="B77" s="2025"/>
      <c r="C77" s="86">
        <v>2019</v>
      </c>
      <c r="D77" s="147"/>
      <c r="E77" s="147"/>
      <c r="F77" s="147"/>
      <c r="G77" s="141">
        <f t="shared" si="5"/>
        <v>0</v>
      </c>
      <c r="H77" s="50"/>
      <c r="I77" s="50"/>
      <c r="J77" s="42"/>
      <c r="K77" s="42"/>
      <c r="L77" s="42"/>
      <c r="M77" s="42"/>
      <c r="N77" s="42"/>
      <c r="O77" s="99"/>
    </row>
    <row r="78" spans="1:20" ht="17.25" customHeight="1">
      <c r="A78" s="2558"/>
      <c r="B78" s="2025"/>
      <c r="C78" s="86">
        <v>2020</v>
      </c>
      <c r="D78" s="147"/>
      <c r="E78" s="147"/>
      <c r="F78" s="147"/>
      <c r="G78" s="141">
        <f t="shared" si="5"/>
        <v>0</v>
      </c>
      <c r="H78" s="50"/>
      <c r="I78" s="50"/>
      <c r="J78" s="42"/>
      <c r="K78" s="42"/>
      <c r="L78" s="42"/>
      <c r="M78" s="42"/>
      <c r="N78" s="42"/>
      <c r="O78" s="99"/>
    </row>
    <row r="79" spans="1:20" ht="20.25" customHeight="1" thickBot="1">
      <c r="A79" s="2134"/>
      <c r="B79" s="2027"/>
      <c r="C79" s="148" t="s">
        <v>12</v>
      </c>
      <c r="D79" s="123">
        <f>SUM(D72:D78)</f>
        <v>7</v>
      </c>
      <c r="E79" s="123">
        <f>SUM(E72:E78)</f>
        <v>1</v>
      </c>
      <c r="F79" s="123">
        <f>SUM(F72:F78)</f>
        <v>3</v>
      </c>
      <c r="G79" s="149">
        <f>SUM(G72:G78)</f>
        <v>11</v>
      </c>
      <c r="H79" s="150">
        <v>5</v>
      </c>
      <c r="I79" s="151">
        <f t="shared" ref="I79:O79" si="6">SUM(I72:I78)</f>
        <v>0</v>
      </c>
      <c r="J79" s="125">
        <f t="shared" si="6"/>
        <v>0</v>
      </c>
      <c r="K79" s="125">
        <f t="shared" si="6"/>
        <v>0</v>
      </c>
      <c r="L79" s="125">
        <f t="shared" si="6"/>
        <v>0</v>
      </c>
      <c r="M79" s="125">
        <f t="shared" si="6"/>
        <v>0</v>
      </c>
      <c r="N79" s="125">
        <f t="shared" si="6"/>
        <v>0</v>
      </c>
      <c r="O79" s="126">
        <f t="shared" si="6"/>
        <v>6</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1536" t="s">
        <v>49</v>
      </c>
      <c r="B84" s="1537" t="s">
        <v>50</v>
      </c>
      <c r="C84" s="161" t="s">
        <v>8</v>
      </c>
      <c r="D84" s="1538" t="s">
        <v>51</v>
      </c>
      <c r="E84" s="163" t="s">
        <v>52</v>
      </c>
      <c r="F84" s="164" t="s">
        <v>53</v>
      </c>
      <c r="G84" s="164" t="s">
        <v>54</v>
      </c>
      <c r="H84" s="164" t="s">
        <v>55</v>
      </c>
      <c r="I84" s="164" t="s">
        <v>56</v>
      </c>
      <c r="J84" s="164" t="s">
        <v>57</v>
      </c>
      <c r="K84" s="165" t="s">
        <v>58</v>
      </c>
    </row>
    <row r="85" spans="1:16" ht="15" customHeight="1">
      <c r="A85" s="2564"/>
      <c r="B85" s="2025"/>
      <c r="C85" s="84">
        <v>2014</v>
      </c>
      <c r="D85" s="166"/>
      <c r="E85" s="167"/>
      <c r="F85" s="34"/>
      <c r="G85" s="34"/>
      <c r="H85" s="34"/>
      <c r="I85" s="34"/>
      <c r="J85" s="34"/>
      <c r="K85" s="37"/>
    </row>
    <row r="86" spans="1:16">
      <c r="A86" s="2565"/>
      <c r="B86" s="2025"/>
      <c r="C86" s="86">
        <v>2015</v>
      </c>
      <c r="D86" s="168"/>
      <c r="E86" s="118"/>
      <c r="F86" s="42"/>
      <c r="G86" s="42"/>
      <c r="H86" s="42"/>
      <c r="I86" s="42"/>
      <c r="J86" s="42"/>
      <c r="K86" s="99"/>
    </row>
    <row r="87" spans="1:16">
      <c r="A87" s="2565"/>
      <c r="B87" s="2025"/>
      <c r="C87" s="86">
        <v>2016</v>
      </c>
      <c r="D87" s="168"/>
      <c r="E87" s="118"/>
      <c r="F87" s="42"/>
      <c r="G87" s="42"/>
      <c r="H87" s="42"/>
      <c r="I87" s="42"/>
      <c r="J87" s="42"/>
      <c r="K87" s="99"/>
    </row>
    <row r="88" spans="1:16">
      <c r="A88" s="2565"/>
      <c r="B88" s="2025"/>
      <c r="C88" s="86">
        <v>2017</v>
      </c>
      <c r="D88" s="168"/>
      <c r="E88" s="118"/>
      <c r="F88" s="42"/>
      <c r="G88" s="42"/>
      <c r="H88" s="42"/>
      <c r="I88" s="42"/>
      <c r="J88" s="42"/>
      <c r="K88" s="99"/>
    </row>
    <row r="89" spans="1:16">
      <c r="A89" s="2565"/>
      <c r="B89" s="2025"/>
      <c r="C89" s="86">
        <v>2018</v>
      </c>
      <c r="D89" s="168"/>
      <c r="E89" s="118"/>
      <c r="F89" s="42"/>
      <c r="G89" s="42"/>
      <c r="H89" s="42"/>
      <c r="I89" s="42"/>
      <c r="J89" s="42"/>
      <c r="K89" s="99"/>
    </row>
    <row r="90" spans="1:16">
      <c r="A90" s="2565"/>
      <c r="B90" s="2025"/>
      <c r="C90" s="86">
        <v>2019</v>
      </c>
      <c r="D90" s="168"/>
      <c r="E90" s="118"/>
      <c r="F90" s="42"/>
      <c r="G90" s="42"/>
      <c r="H90" s="42"/>
      <c r="I90" s="42"/>
      <c r="J90" s="42"/>
      <c r="K90" s="99"/>
    </row>
    <row r="91" spans="1:16">
      <c r="A91" s="2565"/>
      <c r="B91" s="2025"/>
      <c r="C91" s="86">
        <v>2020</v>
      </c>
      <c r="D91" s="168"/>
      <c r="E91" s="118"/>
      <c r="F91" s="42"/>
      <c r="G91" s="42"/>
      <c r="H91" s="42"/>
      <c r="I91" s="42"/>
      <c r="J91" s="42"/>
      <c r="K91" s="99"/>
    </row>
    <row r="92" spans="1:16" ht="18" customHeight="1" thickBot="1">
      <c r="A92" s="2073"/>
      <c r="B92" s="2027"/>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737" t="s">
        <v>60</v>
      </c>
      <c r="B96" s="2738" t="s">
        <v>61</v>
      </c>
      <c r="C96" s="2734" t="s">
        <v>8</v>
      </c>
      <c r="D96" s="2735" t="s">
        <v>62</v>
      </c>
      <c r="E96" s="2736"/>
      <c r="F96" s="1539" t="s">
        <v>63</v>
      </c>
      <c r="G96" s="1484"/>
      <c r="H96" s="1484"/>
      <c r="I96" s="1484"/>
      <c r="J96" s="1484"/>
      <c r="K96" s="1484"/>
      <c r="L96" s="1484"/>
      <c r="M96" s="1540"/>
      <c r="N96" s="177"/>
      <c r="O96" s="177"/>
      <c r="P96" s="177"/>
    </row>
    <row r="97" spans="1:16" ht="112.9" customHeight="1">
      <c r="A97" s="2765"/>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560"/>
      <c r="B98" s="2025"/>
      <c r="C98" s="112">
        <v>2014</v>
      </c>
      <c r="D98" s="33"/>
      <c r="E98" s="34"/>
      <c r="F98" s="186"/>
      <c r="G98" s="187"/>
      <c r="H98" s="187"/>
      <c r="I98" s="187"/>
      <c r="J98" s="187"/>
      <c r="K98" s="187"/>
      <c r="L98" s="187"/>
      <c r="M98" s="188"/>
      <c r="N98" s="177"/>
      <c r="O98" s="177"/>
      <c r="P98" s="177"/>
    </row>
    <row r="99" spans="1:16" ht="16.5" customHeight="1">
      <c r="A99" s="2561"/>
      <c r="B99" s="2025"/>
      <c r="C99" s="116">
        <v>2015</v>
      </c>
      <c r="D99" s="50"/>
      <c r="E99" s="42"/>
      <c r="F99" s="189"/>
      <c r="G99" s="190"/>
      <c r="H99" s="190"/>
      <c r="I99" s="190"/>
      <c r="J99" s="190"/>
      <c r="K99" s="190"/>
      <c r="L99" s="190"/>
      <c r="M99" s="193"/>
      <c r="N99" s="177"/>
      <c r="O99" s="177"/>
      <c r="P99" s="177"/>
    </row>
    <row r="100" spans="1:16" ht="16.5" customHeight="1">
      <c r="A100" s="2561"/>
      <c r="B100" s="2025"/>
      <c r="C100" s="116">
        <v>2016</v>
      </c>
      <c r="D100" s="50"/>
      <c r="E100" s="42"/>
      <c r="F100" s="189"/>
      <c r="G100" s="190"/>
      <c r="H100" s="190"/>
      <c r="I100" s="190"/>
      <c r="J100" s="190"/>
      <c r="K100" s="190"/>
      <c r="L100" s="190"/>
      <c r="M100" s="193"/>
      <c r="N100" s="177"/>
      <c r="O100" s="177"/>
      <c r="P100" s="177"/>
    </row>
    <row r="101" spans="1:16" ht="16.5" customHeight="1">
      <c r="A101" s="2561"/>
      <c r="B101" s="2025"/>
      <c r="C101" s="116">
        <v>2017</v>
      </c>
      <c r="D101" s="50"/>
      <c r="E101" s="42"/>
      <c r="F101" s="189"/>
      <c r="G101" s="190"/>
      <c r="H101" s="190"/>
      <c r="I101" s="190"/>
      <c r="J101" s="190"/>
      <c r="K101" s="190"/>
      <c r="L101" s="190"/>
      <c r="M101" s="193"/>
      <c r="N101" s="177"/>
      <c r="O101" s="177"/>
      <c r="P101" s="177"/>
    </row>
    <row r="102" spans="1:16" ht="15.75" customHeight="1">
      <c r="A102" s="2561"/>
      <c r="B102" s="2025"/>
      <c r="C102" s="116">
        <v>2018</v>
      </c>
      <c r="D102" s="50"/>
      <c r="E102" s="42"/>
      <c r="F102" s="189"/>
      <c r="G102" s="190"/>
      <c r="H102" s="190"/>
      <c r="I102" s="190"/>
      <c r="J102" s="190"/>
      <c r="K102" s="190"/>
      <c r="L102" s="190"/>
      <c r="M102" s="193"/>
      <c r="N102" s="177"/>
      <c r="O102" s="177"/>
      <c r="P102" s="177"/>
    </row>
    <row r="103" spans="1:16" ht="14.25" customHeight="1">
      <c r="A103" s="2561"/>
      <c r="B103" s="2025"/>
      <c r="C103" s="116">
        <v>2019</v>
      </c>
      <c r="D103" s="50"/>
      <c r="E103" s="42"/>
      <c r="F103" s="189"/>
      <c r="G103" s="190"/>
      <c r="H103" s="190"/>
      <c r="I103" s="190"/>
      <c r="J103" s="190"/>
      <c r="K103" s="190"/>
      <c r="L103" s="190"/>
      <c r="M103" s="193"/>
      <c r="N103" s="177"/>
      <c r="O103" s="177"/>
      <c r="P103" s="177"/>
    </row>
    <row r="104" spans="1:16" ht="14.25" customHeight="1">
      <c r="A104" s="2561"/>
      <c r="B104" s="2025"/>
      <c r="C104" s="116">
        <v>2020</v>
      </c>
      <c r="D104" s="50"/>
      <c r="E104" s="42"/>
      <c r="F104" s="189"/>
      <c r="G104" s="190"/>
      <c r="H104" s="190"/>
      <c r="I104" s="190"/>
      <c r="J104" s="190"/>
      <c r="K104" s="190"/>
      <c r="L104" s="190"/>
      <c r="M104" s="193"/>
      <c r="N104" s="177"/>
      <c r="O104" s="177"/>
      <c r="P104" s="177"/>
    </row>
    <row r="105" spans="1:16" ht="19.5" customHeight="1" thickBot="1">
      <c r="A105" s="2046"/>
      <c r="B105" s="2027"/>
      <c r="C105" s="122" t="s">
        <v>12</v>
      </c>
      <c r="D105" s="151">
        <f>SUM(D98:D104)</f>
        <v>0</v>
      </c>
      <c r="E105" s="125">
        <f t="shared" ref="E105:K105" si="8">SUM(E98:E104)</f>
        <v>0</v>
      </c>
      <c r="F105" s="194">
        <f t="shared" si="8"/>
        <v>0</v>
      </c>
      <c r="G105" s="195">
        <f t="shared" si="8"/>
        <v>0</v>
      </c>
      <c r="H105" s="195">
        <f t="shared" si="8"/>
        <v>0</v>
      </c>
      <c r="I105" s="195">
        <f>SUM(I98:I104)</f>
        <v>0</v>
      </c>
      <c r="J105" s="195">
        <f t="shared" si="8"/>
        <v>0</v>
      </c>
      <c r="K105" s="195">
        <f t="shared" si="8"/>
        <v>0</v>
      </c>
      <c r="L105" s="195">
        <f>SUM(L98:L104)</f>
        <v>0</v>
      </c>
      <c r="M105" s="196">
        <f>SUM(M98:M104)</f>
        <v>0</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737" t="s">
        <v>69</v>
      </c>
      <c r="B107" s="2738" t="s">
        <v>61</v>
      </c>
      <c r="C107" s="2734" t="s">
        <v>8</v>
      </c>
      <c r="D107" s="2670" t="s">
        <v>70</v>
      </c>
      <c r="E107" s="1539" t="s">
        <v>71</v>
      </c>
      <c r="F107" s="1484"/>
      <c r="G107" s="1484"/>
      <c r="H107" s="1484"/>
      <c r="I107" s="1484"/>
      <c r="J107" s="1484"/>
      <c r="K107" s="1484"/>
      <c r="L107" s="1540"/>
      <c r="M107" s="199"/>
      <c r="N107" s="199"/>
    </row>
    <row r="108" spans="1:16" ht="117.6" customHeight="1">
      <c r="A108" s="2765"/>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560"/>
      <c r="B109" s="2025"/>
      <c r="C109" s="112">
        <v>2014</v>
      </c>
      <c r="D109" s="34"/>
      <c r="E109" s="186"/>
      <c r="F109" s="187"/>
      <c r="G109" s="187"/>
      <c r="H109" s="187"/>
      <c r="I109" s="187"/>
      <c r="J109" s="187"/>
      <c r="K109" s="187"/>
      <c r="L109" s="188"/>
      <c r="M109" s="199"/>
      <c r="N109" s="199"/>
    </row>
    <row r="110" spans="1:16">
      <c r="A110" s="2561"/>
      <c r="B110" s="2025"/>
      <c r="C110" s="116">
        <v>2015</v>
      </c>
      <c r="D110" s="42"/>
      <c r="E110" s="189"/>
      <c r="F110" s="190"/>
      <c r="G110" s="190"/>
      <c r="H110" s="190"/>
      <c r="I110" s="190"/>
      <c r="J110" s="190"/>
      <c r="K110" s="190"/>
      <c r="L110" s="193"/>
      <c r="M110" s="199"/>
      <c r="N110" s="199"/>
    </row>
    <row r="111" spans="1:16">
      <c r="A111" s="2561"/>
      <c r="B111" s="2025"/>
      <c r="C111" s="116">
        <v>2016</v>
      </c>
      <c r="D111" s="42"/>
      <c r="E111" s="189"/>
      <c r="F111" s="190"/>
      <c r="G111" s="190"/>
      <c r="H111" s="190"/>
      <c r="I111" s="190"/>
      <c r="J111" s="190"/>
      <c r="K111" s="190"/>
      <c r="L111" s="193"/>
      <c r="M111" s="199"/>
      <c r="N111" s="199"/>
    </row>
    <row r="112" spans="1:16">
      <c r="A112" s="2561"/>
      <c r="B112" s="2025"/>
      <c r="C112" s="116">
        <v>2017</v>
      </c>
      <c r="D112" s="42"/>
      <c r="E112" s="189"/>
      <c r="F112" s="190"/>
      <c r="G112" s="190"/>
      <c r="H112" s="190"/>
      <c r="I112" s="190"/>
      <c r="J112" s="190"/>
      <c r="K112" s="190"/>
      <c r="L112" s="193"/>
      <c r="M112" s="199"/>
      <c r="N112" s="199"/>
    </row>
    <row r="113" spans="1:14">
      <c r="A113" s="2561"/>
      <c r="B113" s="2025"/>
      <c r="C113" s="116">
        <v>2018</v>
      </c>
      <c r="D113" s="42"/>
      <c r="E113" s="189"/>
      <c r="F113" s="190"/>
      <c r="G113" s="190"/>
      <c r="H113" s="190"/>
      <c r="I113" s="190"/>
      <c r="J113" s="190"/>
      <c r="K113" s="190"/>
      <c r="L113" s="193"/>
      <c r="M113" s="199"/>
      <c r="N113" s="199"/>
    </row>
    <row r="114" spans="1:14">
      <c r="A114" s="2561"/>
      <c r="B114" s="2025"/>
      <c r="C114" s="116">
        <v>2019</v>
      </c>
      <c r="D114" s="42"/>
      <c r="E114" s="189"/>
      <c r="F114" s="190"/>
      <c r="G114" s="190"/>
      <c r="H114" s="190"/>
      <c r="I114" s="190"/>
      <c r="J114" s="190"/>
      <c r="K114" s="190"/>
      <c r="L114" s="193"/>
      <c r="M114" s="199"/>
      <c r="N114" s="199"/>
    </row>
    <row r="115" spans="1:14">
      <c r="A115" s="2561"/>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737" t="s">
        <v>72</v>
      </c>
      <c r="B118" s="2738" t="s">
        <v>61</v>
      </c>
      <c r="C118" s="2734" t="s">
        <v>8</v>
      </c>
      <c r="D118" s="2670" t="s">
        <v>73</v>
      </c>
      <c r="E118" s="1539" t="s">
        <v>71</v>
      </c>
      <c r="F118" s="1484"/>
      <c r="G118" s="1484"/>
      <c r="H118" s="1484"/>
      <c r="I118" s="1484"/>
      <c r="J118" s="1484"/>
      <c r="K118" s="1484"/>
      <c r="L118" s="1540"/>
      <c r="M118" s="199"/>
      <c r="N118" s="199"/>
    </row>
    <row r="119" spans="1:14" ht="120.75" customHeight="1">
      <c r="A119" s="2765"/>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560"/>
      <c r="B120" s="2025"/>
      <c r="C120" s="112">
        <v>2014</v>
      </c>
      <c r="D120" s="34"/>
      <c r="E120" s="186"/>
      <c r="F120" s="187"/>
      <c r="G120" s="187"/>
      <c r="H120" s="187"/>
      <c r="I120" s="187"/>
      <c r="J120" s="187"/>
      <c r="K120" s="187"/>
      <c r="L120" s="188"/>
      <c r="M120" s="199"/>
      <c r="N120" s="199"/>
    </row>
    <row r="121" spans="1:14">
      <c r="A121" s="2561"/>
      <c r="B121" s="2025"/>
      <c r="C121" s="116">
        <v>2015</v>
      </c>
      <c r="D121" s="42"/>
      <c r="E121" s="189"/>
      <c r="F121" s="190"/>
      <c r="G121" s="190"/>
      <c r="H121" s="190"/>
      <c r="I121" s="190"/>
      <c r="J121" s="190"/>
      <c r="K121" s="190"/>
      <c r="L121" s="193"/>
      <c r="M121" s="199"/>
      <c r="N121" s="199"/>
    </row>
    <row r="122" spans="1:14">
      <c r="A122" s="2561"/>
      <c r="B122" s="2025"/>
      <c r="C122" s="116">
        <v>2016</v>
      </c>
      <c r="D122" s="42"/>
      <c r="E122" s="189"/>
      <c r="F122" s="190"/>
      <c r="G122" s="190"/>
      <c r="H122" s="190"/>
      <c r="I122" s="190"/>
      <c r="J122" s="190"/>
      <c r="K122" s="190"/>
      <c r="L122" s="193"/>
      <c r="M122" s="199"/>
      <c r="N122" s="199"/>
    </row>
    <row r="123" spans="1:14">
      <c r="A123" s="2561"/>
      <c r="B123" s="2025"/>
      <c r="C123" s="116">
        <v>2017</v>
      </c>
      <c r="D123" s="42"/>
      <c r="E123" s="189"/>
      <c r="F123" s="190"/>
      <c r="G123" s="190"/>
      <c r="H123" s="190"/>
      <c r="I123" s="190"/>
      <c r="J123" s="190"/>
      <c r="K123" s="190"/>
      <c r="L123" s="193"/>
      <c r="M123" s="199"/>
      <c r="N123" s="199"/>
    </row>
    <row r="124" spans="1:14">
      <c r="A124" s="2561"/>
      <c r="B124" s="2025"/>
      <c r="C124" s="116">
        <v>2018</v>
      </c>
      <c r="D124" s="42"/>
      <c r="E124" s="189"/>
      <c r="F124" s="190"/>
      <c r="G124" s="190"/>
      <c r="H124" s="190"/>
      <c r="I124" s="190"/>
      <c r="J124" s="190"/>
      <c r="K124" s="190"/>
      <c r="L124" s="193"/>
      <c r="M124" s="199"/>
      <c r="N124" s="199"/>
    </row>
    <row r="125" spans="1:14">
      <c r="A125" s="2561"/>
      <c r="B125" s="2025"/>
      <c r="C125" s="116">
        <v>2019</v>
      </c>
      <c r="D125" s="42"/>
      <c r="E125" s="189"/>
      <c r="F125" s="190"/>
      <c r="G125" s="190"/>
      <c r="H125" s="190"/>
      <c r="I125" s="190"/>
      <c r="J125" s="190"/>
      <c r="K125" s="190"/>
      <c r="L125" s="193"/>
      <c r="M125" s="199"/>
      <c r="N125" s="199"/>
    </row>
    <row r="126" spans="1:14">
      <c r="A126" s="2561"/>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737" t="s">
        <v>74</v>
      </c>
      <c r="B129" s="2738" t="s">
        <v>61</v>
      </c>
      <c r="C129" s="1541" t="s">
        <v>8</v>
      </c>
      <c r="D129" s="1542" t="s">
        <v>75</v>
      </c>
      <c r="E129" s="1486"/>
      <c r="F129" s="1486"/>
      <c r="G129" s="1543"/>
      <c r="H129" s="199"/>
      <c r="I129" s="199"/>
      <c r="J129" s="199"/>
      <c r="K129" s="199"/>
      <c r="L129" s="199"/>
      <c r="M129" s="199"/>
      <c r="N129" s="199"/>
    </row>
    <row r="130" spans="1:16" ht="77.25" customHeight="1">
      <c r="A130" s="2765"/>
      <c r="B130" s="2043"/>
      <c r="C130" s="1472"/>
      <c r="D130" s="178" t="s">
        <v>76</v>
      </c>
      <c r="E130" s="207" t="s">
        <v>77</v>
      </c>
      <c r="F130" s="179" t="s">
        <v>78</v>
      </c>
      <c r="G130" s="208" t="s">
        <v>12</v>
      </c>
      <c r="H130" s="199"/>
      <c r="I130" s="199"/>
      <c r="J130" s="199"/>
      <c r="K130" s="199"/>
      <c r="L130" s="199"/>
      <c r="M130" s="199"/>
      <c r="N130" s="199"/>
    </row>
    <row r="131" spans="1:16" ht="15" customHeight="1">
      <c r="A131" s="2563"/>
      <c r="B131" s="1988"/>
      <c r="C131" s="340">
        <v>2015</v>
      </c>
      <c r="D131" s="557"/>
      <c r="E131" s="342"/>
      <c r="F131" s="342"/>
      <c r="G131" s="209">
        <f t="shared" ref="G131:G136" si="11">SUM(D131:F131)</f>
        <v>0</v>
      </c>
      <c r="H131" s="199"/>
      <c r="I131" s="199"/>
      <c r="J131" s="199"/>
      <c r="K131" s="199"/>
      <c r="L131" s="199"/>
      <c r="M131" s="199"/>
      <c r="N131" s="199"/>
    </row>
    <row r="132" spans="1:16">
      <c r="A132" s="2558"/>
      <c r="B132" s="1988"/>
      <c r="C132" s="116">
        <v>2016</v>
      </c>
      <c r="D132" s="50"/>
      <c r="E132" s="42"/>
      <c r="F132" s="42"/>
      <c r="G132" s="209">
        <f t="shared" si="11"/>
        <v>0</v>
      </c>
      <c r="H132" s="199"/>
      <c r="I132" s="199"/>
      <c r="J132" s="199"/>
      <c r="K132" s="199"/>
      <c r="L132" s="199"/>
      <c r="M132" s="199"/>
      <c r="N132" s="199"/>
    </row>
    <row r="133" spans="1:16">
      <c r="A133" s="2558"/>
      <c r="B133" s="1988"/>
      <c r="C133" s="116">
        <v>2017</v>
      </c>
      <c r="D133" s="50"/>
      <c r="E133" s="42"/>
      <c r="F133" s="42"/>
      <c r="G133" s="209">
        <f t="shared" si="11"/>
        <v>0</v>
      </c>
      <c r="H133" s="199"/>
      <c r="I133" s="199"/>
      <c r="J133" s="199"/>
      <c r="K133" s="199"/>
      <c r="L133" s="199"/>
      <c r="M133" s="199"/>
      <c r="N133" s="199"/>
    </row>
    <row r="134" spans="1:16">
      <c r="A134" s="2558"/>
      <c r="B134" s="1988"/>
      <c r="C134" s="116">
        <v>2018</v>
      </c>
      <c r="D134" s="50"/>
      <c r="E134" s="42"/>
      <c r="F134" s="42"/>
      <c r="G134" s="209">
        <f t="shared" si="11"/>
        <v>0</v>
      </c>
      <c r="H134" s="199"/>
      <c r="I134" s="199"/>
      <c r="J134" s="199"/>
      <c r="K134" s="199"/>
      <c r="L134" s="199"/>
      <c r="M134" s="199"/>
      <c r="N134" s="199"/>
    </row>
    <row r="135" spans="1:16">
      <c r="A135" s="2558"/>
      <c r="B135" s="1988"/>
      <c r="C135" s="116">
        <v>2019</v>
      </c>
      <c r="D135" s="50"/>
      <c r="E135" s="42"/>
      <c r="F135" s="42"/>
      <c r="G135" s="209">
        <f t="shared" si="11"/>
        <v>0</v>
      </c>
      <c r="H135" s="199"/>
      <c r="I135" s="199"/>
      <c r="J135" s="199"/>
      <c r="K135" s="199"/>
      <c r="L135" s="199"/>
      <c r="M135" s="199"/>
      <c r="N135" s="199"/>
    </row>
    <row r="136" spans="1:16">
      <c r="A136" s="2558"/>
      <c r="B136" s="1988"/>
      <c r="C136" s="116">
        <v>2020</v>
      </c>
      <c r="D136" s="50"/>
      <c r="E136" s="42"/>
      <c r="F136" s="42"/>
      <c r="G136" s="209">
        <f t="shared" si="11"/>
        <v>0</v>
      </c>
      <c r="H136" s="199"/>
      <c r="I136" s="199"/>
      <c r="J136" s="199"/>
      <c r="K136" s="199"/>
      <c r="L136" s="199"/>
      <c r="M136" s="199"/>
      <c r="N136" s="199"/>
    </row>
    <row r="137" spans="1:16" ht="17.25" customHeight="1" thickBot="1">
      <c r="A137" s="1989"/>
      <c r="B137" s="1990"/>
      <c r="C137" s="122" t="s">
        <v>12</v>
      </c>
      <c r="D137" s="151">
        <f>SUM(D131:D136)</f>
        <v>0</v>
      </c>
      <c r="E137" s="151">
        <f t="shared" ref="E137:F137" si="12">SUM(E131:E136)</f>
        <v>0</v>
      </c>
      <c r="F137" s="151">
        <f t="shared" si="12"/>
        <v>0</v>
      </c>
      <c r="G137" s="210">
        <f>SUM(G131:G136)</f>
        <v>0</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739" t="s">
        <v>80</v>
      </c>
      <c r="B142" s="2740" t="s">
        <v>61</v>
      </c>
      <c r="C142" s="2746" t="s">
        <v>8</v>
      </c>
      <c r="D142" s="1544" t="s">
        <v>81</v>
      </c>
      <c r="E142" s="1545"/>
      <c r="F142" s="1545"/>
      <c r="G142" s="1545"/>
      <c r="H142" s="1545"/>
      <c r="I142" s="1546"/>
      <c r="J142" s="2741" t="s">
        <v>82</v>
      </c>
      <c r="K142" s="2742"/>
      <c r="L142" s="2742"/>
      <c r="M142" s="2742"/>
      <c r="N142" s="2743"/>
      <c r="O142" s="177"/>
      <c r="P142" s="177"/>
    </row>
    <row r="143" spans="1:16" ht="121.15" customHeight="1">
      <c r="A143" s="2766"/>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560"/>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561"/>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561"/>
      <c r="B146" s="2025"/>
      <c r="C146" s="116">
        <v>2016</v>
      </c>
      <c r="D146" s="50"/>
      <c r="E146" s="50"/>
      <c r="F146" s="42"/>
      <c r="G146" s="190"/>
      <c r="H146" s="190"/>
      <c r="I146" s="227">
        <f t="shared" si="13"/>
        <v>0</v>
      </c>
      <c r="J146" s="231"/>
      <c r="K146" s="232"/>
      <c r="L146" s="231"/>
      <c r="M146" s="232"/>
      <c r="N146" s="233"/>
      <c r="O146" s="177"/>
      <c r="P146" s="177"/>
    </row>
    <row r="147" spans="1:16" ht="17.25" customHeight="1">
      <c r="A147" s="2561"/>
      <c r="B147" s="2025"/>
      <c r="C147" s="116">
        <v>2017</v>
      </c>
      <c r="D147" s="50"/>
      <c r="E147" s="50"/>
      <c r="F147" s="42"/>
      <c r="G147" s="190"/>
      <c r="H147" s="190"/>
      <c r="I147" s="227">
        <f t="shared" si="13"/>
        <v>0</v>
      </c>
      <c r="J147" s="231"/>
      <c r="K147" s="232"/>
      <c r="L147" s="231"/>
      <c r="M147" s="232"/>
      <c r="N147" s="233"/>
      <c r="O147" s="177"/>
      <c r="P147" s="177"/>
    </row>
    <row r="148" spans="1:16" ht="19.5" customHeight="1">
      <c r="A148" s="2561"/>
      <c r="B148" s="2025"/>
      <c r="C148" s="116">
        <v>2018</v>
      </c>
      <c r="D148" s="50"/>
      <c r="E148" s="50"/>
      <c r="F148" s="42"/>
      <c r="G148" s="190"/>
      <c r="H148" s="190"/>
      <c r="I148" s="227">
        <f t="shared" si="13"/>
        <v>0</v>
      </c>
      <c r="J148" s="231"/>
      <c r="K148" s="232"/>
      <c r="L148" s="231"/>
      <c r="M148" s="232"/>
      <c r="N148" s="233"/>
      <c r="O148" s="177"/>
      <c r="P148" s="177"/>
    </row>
    <row r="149" spans="1:16" ht="19.5" customHeight="1">
      <c r="A149" s="2561"/>
      <c r="B149" s="2025"/>
      <c r="C149" s="116">
        <v>2019</v>
      </c>
      <c r="D149" s="50"/>
      <c r="E149" s="50"/>
      <c r="F149" s="42"/>
      <c r="G149" s="190"/>
      <c r="H149" s="190"/>
      <c r="I149" s="227">
        <f t="shared" si="13"/>
        <v>0</v>
      </c>
      <c r="J149" s="231"/>
      <c r="K149" s="232"/>
      <c r="L149" s="231"/>
      <c r="M149" s="232"/>
      <c r="N149" s="233"/>
      <c r="O149" s="177"/>
      <c r="P149" s="177"/>
    </row>
    <row r="150" spans="1:16" ht="18.75" customHeight="1">
      <c r="A150" s="2561"/>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744" t="s">
        <v>93</v>
      </c>
      <c r="B153" s="2740" t="s">
        <v>61</v>
      </c>
      <c r="C153" s="2745" t="s">
        <v>8</v>
      </c>
      <c r="D153" s="1490" t="s">
        <v>94</v>
      </c>
      <c r="E153" s="1490"/>
      <c r="F153" s="1547"/>
      <c r="G153" s="1547"/>
      <c r="H153" s="1490" t="s">
        <v>95</v>
      </c>
      <c r="I153" s="1490"/>
      <c r="J153" s="1548"/>
      <c r="K153" s="31"/>
      <c r="L153" s="31"/>
      <c r="M153" s="31"/>
      <c r="N153" s="31"/>
      <c r="O153" s="177"/>
      <c r="P153" s="177"/>
    </row>
    <row r="154" spans="1:16" ht="49.5" customHeight="1">
      <c r="A154" s="2562"/>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560"/>
      <c r="B155" s="2025"/>
      <c r="C155" s="247">
        <v>2014</v>
      </c>
      <c r="D155" s="228"/>
      <c r="E155" s="187"/>
      <c r="F155" s="229"/>
      <c r="G155" s="227">
        <f>SUM(D155:F155)</f>
        <v>0</v>
      </c>
      <c r="H155" s="228"/>
      <c r="I155" s="187"/>
      <c r="J155" s="188"/>
      <c r="O155" s="177"/>
      <c r="P155" s="177"/>
    </row>
    <row r="156" spans="1:16" ht="19.5" customHeight="1">
      <c r="A156" s="2561"/>
      <c r="B156" s="2025"/>
      <c r="C156" s="248">
        <v>2015</v>
      </c>
      <c r="D156" s="231"/>
      <c r="E156" s="190"/>
      <c r="F156" s="232"/>
      <c r="G156" s="227">
        <f t="shared" ref="G156:G161" si="15">SUM(D156:F156)</f>
        <v>0</v>
      </c>
      <c r="H156" s="231"/>
      <c r="I156" s="190"/>
      <c r="J156" s="193"/>
      <c r="O156" s="177"/>
      <c r="P156" s="177"/>
    </row>
    <row r="157" spans="1:16" ht="17.25" customHeight="1">
      <c r="A157" s="2561"/>
      <c r="B157" s="2025"/>
      <c r="C157" s="248">
        <v>2016</v>
      </c>
      <c r="D157" s="231"/>
      <c r="E157" s="190"/>
      <c r="F157" s="232"/>
      <c r="G157" s="227">
        <f t="shared" si="15"/>
        <v>0</v>
      </c>
      <c r="H157" s="231"/>
      <c r="I157" s="190"/>
      <c r="J157" s="193"/>
      <c r="O157" s="177"/>
      <c r="P157" s="177"/>
    </row>
    <row r="158" spans="1:16" ht="15" customHeight="1">
      <c r="A158" s="2561"/>
      <c r="B158" s="2025"/>
      <c r="C158" s="248">
        <v>2017</v>
      </c>
      <c r="D158" s="231"/>
      <c r="E158" s="190"/>
      <c r="F158" s="232"/>
      <c r="G158" s="227">
        <f t="shared" si="15"/>
        <v>0</v>
      </c>
      <c r="H158" s="231"/>
      <c r="I158" s="190"/>
      <c r="J158" s="193"/>
      <c r="O158" s="177"/>
      <c r="P158" s="177"/>
    </row>
    <row r="159" spans="1:16" ht="19.5" customHeight="1">
      <c r="A159" s="2561"/>
      <c r="B159" s="2025"/>
      <c r="C159" s="248">
        <v>2018</v>
      </c>
      <c r="D159" s="231"/>
      <c r="E159" s="190"/>
      <c r="F159" s="232"/>
      <c r="G159" s="227">
        <f t="shared" si="15"/>
        <v>0</v>
      </c>
      <c r="H159" s="231"/>
      <c r="I159" s="190"/>
      <c r="J159" s="193"/>
      <c r="O159" s="177"/>
      <c r="P159" s="177"/>
    </row>
    <row r="160" spans="1:16" ht="15" customHeight="1">
      <c r="A160" s="2561"/>
      <c r="B160" s="2025"/>
      <c r="C160" s="248">
        <v>2019</v>
      </c>
      <c r="D160" s="231"/>
      <c r="E160" s="190"/>
      <c r="F160" s="232"/>
      <c r="G160" s="227">
        <f t="shared" si="15"/>
        <v>0</v>
      </c>
      <c r="H160" s="231"/>
      <c r="I160" s="190"/>
      <c r="J160" s="193"/>
      <c r="O160" s="177"/>
      <c r="P160" s="177"/>
    </row>
    <row r="161" spans="1:18" ht="17.25" customHeight="1">
      <c r="A161" s="2561"/>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1491"/>
      <c r="F163" s="177"/>
      <c r="G163" s="177"/>
      <c r="H163" s="177"/>
      <c r="I163" s="177"/>
      <c r="J163" s="255"/>
      <c r="K163" s="256"/>
    </row>
    <row r="164" spans="1:18" ht="95.25" customHeight="1">
      <c r="A164" s="1549" t="s">
        <v>102</v>
      </c>
      <c r="B164" s="258" t="s">
        <v>103</v>
      </c>
      <c r="C164" s="1447" t="s">
        <v>8</v>
      </c>
      <c r="D164" s="260" t="s">
        <v>104</v>
      </c>
      <c r="E164" s="260" t="s">
        <v>105</v>
      </c>
      <c r="F164" s="1492" t="s">
        <v>106</v>
      </c>
      <c r="G164" s="260" t="s">
        <v>107</v>
      </c>
      <c r="H164" s="260" t="s">
        <v>108</v>
      </c>
      <c r="I164" s="262" t="s">
        <v>109</v>
      </c>
      <c r="J164" s="1550" t="s">
        <v>110</v>
      </c>
      <c r="K164" s="1550" t="s">
        <v>111</v>
      </c>
      <c r="L164" s="1380"/>
    </row>
    <row r="165" spans="1:18" ht="15.75" customHeight="1">
      <c r="A165" s="2011"/>
      <c r="B165" s="2012"/>
      <c r="C165" s="265">
        <v>2014</v>
      </c>
      <c r="D165" s="187"/>
      <c r="E165" s="187"/>
      <c r="F165" s="187"/>
      <c r="G165" s="187"/>
      <c r="H165" s="187"/>
      <c r="I165" s="188"/>
      <c r="J165" s="1565">
        <f>SUM(D165,F165,H165)</f>
        <v>0</v>
      </c>
      <c r="K165" s="267">
        <f>SUM(E165,G165,I165)</f>
        <v>0</v>
      </c>
      <c r="L165" s="1380"/>
    </row>
    <row r="166" spans="1:18">
      <c r="A166" s="2013"/>
      <c r="B166" s="2014"/>
      <c r="C166" s="268">
        <v>2015</v>
      </c>
      <c r="D166" s="269"/>
      <c r="E166" s="269"/>
      <c r="F166" s="269"/>
      <c r="G166" s="269"/>
      <c r="H166" s="269"/>
      <c r="I166" s="270"/>
      <c r="J166" s="1566">
        <f t="shared" ref="J166:K171" si="17">SUM(D166,F166,H166)</f>
        <v>0</v>
      </c>
      <c r="K166" s="272">
        <f t="shared" si="17"/>
        <v>0</v>
      </c>
      <c r="L166" s="1380"/>
    </row>
    <row r="167" spans="1:18">
      <c r="A167" s="2013"/>
      <c r="B167" s="2014"/>
      <c r="C167" s="268">
        <v>2016</v>
      </c>
      <c r="D167" s="269"/>
      <c r="E167" s="269"/>
      <c r="F167" s="269"/>
      <c r="G167" s="269"/>
      <c r="H167" s="269"/>
      <c r="I167" s="270"/>
      <c r="J167" s="1566">
        <f t="shared" si="17"/>
        <v>0</v>
      </c>
      <c r="K167" s="272">
        <f t="shared" si="17"/>
        <v>0</v>
      </c>
    </row>
    <row r="168" spans="1:18">
      <c r="A168" s="2013"/>
      <c r="B168" s="2014"/>
      <c r="C168" s="268">
        <v>2017</v>
      </c>
      <c r="D168" s="269"/>
      <c r="E168" s="177"/>
      <c r="F168" s="269"/>
      <c r="G168" s="269"/>
      <c r="H168" s="269"/>
      <c r="I168" s="270"/>
      <c r="J168" s="1566">
        <f t="shared" si="17"/>
        <v>0</v>
      </c>
      <c r="K168" s="272">
        <f t="shared" si="17"/>
        <v>0</v>
      </c>
    </row>
    <row r="169" spans="1:18">
      <c r="A169" s="2013"/>
      <c r="B169" s="2014"/>
      <c r="C169" s="273">
        <v>2018</v>
      </c>
      <c r="D169" s="269"/>
      <c r="E169" s="269"/>
      <c r="F169" s="269"/>
      <c r="G169" s="274"/>
      <c r="H169" s="269"/>
      <c r="I169" s="270"/>
      <c r="J169" s="1566">
        <f t="shared" si="17"/>
        <v>0</v>
      </c>
      <c r="K169" s="272">
        <f t="shared" si="17"/>
        <v>0</v>
      </c>
      <c r="L169" s="1380"/>
    </row>
    <row r="170" spans="1:18">
      <c r="A170" s="2013"/>
      <c r="B170" s="2014"/>
      <c r="C170" s="268">
        <v>2019</v>
      </c>
      <c r="D170" s="177"/>
      <c r="E170" s="269"/>
      <c r="F170" s="269"/>
      <c r="G170" s="269"/>
      <c r="H170" s="274"/>
      <c r="I170" s="270"/>
      <c r="J170" s="1566">
        <f t="shared" si="17"/>
        <v>0</v>
      </c>
      <c r="K170" s="272">
        <f t="shared" si="17"/>
        <v>0</v>
      </c>
      <c r="L170" s="1380"/>
    </row>
    <row r="171" spans="1:18">
      <c r="A171" s="2013"/>
      <c r="B171" s="2014"/>
      <c r="C171" s="273">
        <v>2020</v>
      </c>
      <c r="D171" s="269"/>
      <c r="E171" s="269"/>
      <c r="F171" s="269"/>
      <c r="G171" s="269"/>
      <c r="H171" s="269"/>
      <c r="I171" s="270"/>
      <c r="J171" s="1566">
        <f t="shared" si="17"/>
        <v>0</v>
      </c>
      <c r="K171" s="272">
        <f t="shared" si="17"/>
        <v>0</v>
      </c>
      <c r="L171" s="1380"/>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1380"/>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748" t="s">
        <v>113</v>
      </c>
      <c r="B176" s="2749" t="s">
        <v>114</v>
      </c>
      <c r="C176" s="2750" t="s">
        <v>8</v>
      </c>
      <c r="D176" s="1551" t="s">
        <v>115</v>
      </c>
      <c r="E176" s="1495"/>
      <c r="F176" s="1495"/>
      <c r="G176" s="1552"/>
      <c r="H176" s="1553"/>
      <c r="I176" s="2751" t="s">
        <v>116</v>
      </c>
      <c r="J176" s="2663"/>
      <c r="K176" s="2663"/>
      <c r="L176" s="2663"/>
      <c r="M176" s="2663"/>
      <c r="N176" s="2663"/>
      <c r="O176" s="2752"/>
    </row>
    <row r="177" spans="1:15" s="31" customFormat="1" ht="139.15" customHeight="1">
      <c r="A177" s="2767"/>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560" t="s">
        <v>472</v>
      </c>
      <c r="B178" s="2025"/>
      <c r="C178" s="112">
        <v>2014</v>
      </c>
      <c r="D178" s="33"/>
      <c r="E178" s="34"/>
      <c r="F178" s="34"/>
      <c r="G178" s="293">
        <f>SUM(D178:F178)</f>
        <v>0</v>
      </c>
      <c r="H178" s="167"/>
      <c r="I178" s="167"/>
      <c r="J178" s="34"/>
      <c r="K178" s="34"/>
      <c r="L178" s="34"/>
      <c r="M178" s="34"/>
      <c r="N178" s="34"/>
      <c r="O178" s="37"/>
    </row>
    <row r="179" spans="1:15">
      <c r="A179" s="2561"/>
      <c r="B179" s="2025"/>
      <c r="C179" s="116">
        <v>2015</v>
      </c>
      <c r="D179" s="50">
        <v>4</v>
      </c>
      <c r="E179" s="42"/>
      <c r="F179" s="42"/>
      <c r="G179" s="293">
        <f t="shared" ref="G179:G184" si="19">SUM(D179:F179)</f>
        <v>4</v>
      </c>
      <c r="H179" s="294">
        <v>4</v>
      </c>
      <c r="I179" s="118">
        <v>4</v>
      </c>
      <c r="J179" s="42"/>
      <c r="K179" s="42"/>
      <c r="L179" s="42"/>
      <c r="M179" s="42"/>
      <c r="N179" s="42"/>
      <c r="O179" s="99"/>
    </row>
    <row r="180" spans="1:15">
      <c r="A180" s="2561"/>
      <c r="B180" s="2025"/>
      <c r="C180" s="116">
        <v>2016</v>
      </c>
      <c r="D180" s="50">
        <v>19</v>
      </c>
      <c r="E180" s="42"/>
      <c r="F180" s="42"/>
      <c r="G180" s="293">
        <f t="shared" si="19"/>
        <v>19</v>
      </c>
      <c r="H180" s="294">
        <v>20</v>
      </c>
      <c r="I180" s="118">
        <v>7</v>
      </c>
      <c r="J180" s="42"/>
      <c r="K180" s="42"/>
      <c r="L180" s="42"/>
      <c r="M180" s="42"/>
      <c r="N180" s="42"/>
      <c r="O180" s="99">
        <v>12</v>
      </c>
    </row>
    <row r="181" spans="1:15">
      <c r="A181" s="2561"/>
      <c r="B181" s="2025"/>
      <c r="C181" s="116">
        <v>2017</v>
      </c>
      <c r="D181" s="50"/>
      <c r="E181" s="42"/>
      <c r="F181" s="42"/>
      <c r="G181" s="293">
        <f t="shared" si="19"/>
        <v>0</v>
      </c>
      <c r="H181" s="294"/>
      <c r="I181" s="118"/>
      <c r="J181" s="42"/>
      <c r="K181" s="42"/>
      <c r="L181" s="42"/>
      <c r="M181" s="42"/>
      <c r="N181" s="42"/>
      <c r="O181" s="99"/>
    </row>
    <row r="182" spans="1:15">
      <c r="A182" s="2561"/>
      <c r="B182" s="2025"/>
      <c r="C182" s="116">
        <v>2018</v>
      </c>
      <c r="D182" s="50"/>
      <c r="E182" s="42"/>
      <c r="F182" s="42"/>
      <c r="G182" s="293">
        <f t="shared" si="19"/>
        <v>0</v>
      </c>
      <c r="H182" s="294"/>
      <c r="I182" s="118"/>
      <c r="J182" s="42"/>
      <c r="K182" s="42"/>
      <c r="L182" s="42"/>
      <c r="M182" s="42"/>
      <c r="N182" s="42"/>
      <c r="O182" s="99"/>
    </row>
    <row r="183" spans="1:15">
      <c r="A183" s="2561"/>
      <c r="B183" s="2025"/>
      <c r="C183" s="116">
        <v>2019</v>
      </c>
      <c r="D183" s="50"/>
      <c r="E183" s="42"/>
      <c r="F183" s="42"/>
      <c r="G183" s="293">
        <f t="shared" si="19"/>
        <v>0</v>
      </c>
      <c r="H183" s="294"/>
      <c r="I183" s="118"/>
      <c r="J183" s="42"/>
      <c r="K183" s="42"/>
      <c r="L183" s="42"/>
      <c r="M183" s="42"/>
      <c r="N183" s="42"/>
      <c r="O183" s="99"/>
    </row>
    <row r="184" spans="1:15">
      <c r="A184" s="2561"/>
      <c r="B184" s="2025"/>
      <c r="C184" s="116">
        <v>2020</v>
      </c>
      <c r="D184" s="50"/>
      <c r="E184" s="42"/>
      <c r="F184" s="42"/>
      <c r="G184" s="293">
        <f t="shared" si="19"/>
        <v>0</v>
      </c>
      <c r="H184" s="294"/>
      <c r="I184" s="118"/>
      <c r="J184" s="42"/>
      <c r="K184" s="42"/>
      <c r="L184" s="42"/>
      <c r="M184" s="42"/>
      <c r="N184" s="42"/>
      <c r="O184" s="99"/>
    </row>
    <row r="185" spans="1:15" ht="32.450000000000003" customHeight="1" thickBot="1">
      <c r="A185" s="2026"/>
      <c r="B185" s="2027"/>
      <c r="C185" s="122" t="s">
        <v>12</v>
      </c>
      <c r="D185" s="151">
        <f>SUM(D178:D184)</f>
        <v>23</v>
      </c>
      <c r="E185" s="125">
        <f>SUM(E178:E184)</f>
        <v>0</v>
      </c>
      <c r="F185" s="125">
        <f>SUM(F178:F184)</f>
        <v>0</v>
      </c>
      <c r="G185" s="234">
        <f t="shared" ref="G185:O185" si="20">SUM(G178:G184)</f>
        <v>23</v>
      </c>
      <c r="H185" s="295">
        <f t="shared" si="20"/>
        <v>24</v>
      </c>
      <c r="I185" s="124">
        <f t="shared" si="20"/>
        <v>11</v>
      </c>
      <c r="J185" s="125">
        <f t="shared" si="20"/>
        <v>0</v>
      </c>
      <c r="K185" s="125">
        <f t="shared" si="20"/>
        <v>0</v>
      </c>
      <c r="L185" s="125">
        <f t="shared" si="20"/>
        <v>0</v>
      </c>
      <c r="M185" s="125">
        <f t="shared" si="20"/>
        <v>0</v>
      </c>
      <c r="N185" s="125">
        <f t="shared" si="20"/>
        <v>0</v>
      </c>
      <c r="O185" s="126">
        <f t="shared" si="20"/>
        <v>12</v>
      </c>
    </row>
    <row r="186" spans="1:15" ht="33" customHeight="1" thickBot="1"/>
    <row r="187" spans="1:15" ht="19.5" customHeight="1">
      <c r="A187" s="2758" t="s">
        <v>122</v>
      </c>
      <c r="B187" s="2749" t="s">
        <v>114</v>
      </c>
      <c r="C187" s="1998" t="s">
        <v>8</v>
      </c>
      <c r="D187" s="2000" t="s">
        <v>123</v>
      </c>
      <c r="E187" s="2652"/>
      <c r="F187" s="2652"/>
      <c r="G187" s="2759"/>
      <c r="H187" s="2747"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111" t="s">
        <v>473</v>
      </c>
      <c r="B189" s="2112"/>
      <c r="C189" s="392">
        <v>2014</v>
      </c>
      <c r="D189" s="142"/>
      <c r="E189" s="115"/>
      <c r="F189" s="115"/>
      <c r="G189" s="301">
        <f>SUM(D189:F189)</f>
        <v>0</v>
      </c>
      <c r="H189" s="114"/>
      <c r="I189" s="115"/>
      <c r="J189" s="115"/>
      <c r="K189" s="115"/>
      <c r="L189" s="143"/>
    </row>
    <row r="190" spans="1:15">
      <c r="A190" s="2559"/>
      <c r="B190" s="1988"/>
      <c r="C190" s="86">
        <v>2015</v>
      </c>
      <c r="D190" s="50">
        <v>80</v>
      </c>
      <c r="E190" s="42"/>
      <c r="F190" s="42"/>
      <c r="G190" s="301">
        <f t="shared" ref="G190:G195" si="21">SUM(D190:F190)</f>
        <v>80</v>
      </c>
      <c r="H190" s="118"/>
      <c r="I190" s="42"/>
      <c r="J190" s="42">
        <v>10</v>
      </c>
      <c r="K190" s="42"/>
      <c r="L190" s="99">
        <v>70</v>
      </c>
    </row>
    <row r="191" spans="1:15">
      <c r="A191" s="2559"/>
      <c r="B191" s="1988"/>
      <c r="C191" s="86">
        <v>2016</v>
      </c>
      <c r="D191" s="50">
        <v>388</v>
      </c>
      <c r="E191" s="42"/>
      <c r="F191" s="42"/>
      <c r="G191" s="301">
        <f t="shared" si="21"/>
        <v>388</v>
      </c>
      <c r="H191" s="118"/>
      <c r="I191" s="42"/>
      <c r="J191" s="42">
        <v>100</v>
      </c>
      <c r="K191" s="42"/>
      <c r="L191" s="99">
        <v>288</v>
      </c>
    </row>
    <row r="192" spans="1:15">
      <c r="A192" s="2559"/>
      <c r="B192" s="1988"/>
      <c r="C192" s="86">
        <v>2017</v>
      </c>
      <c r="D192" s="50"/>
      <c r="E192" s="42"/>
      <c r="F192" s="42"/>
      <c r="G192" s="301">
        <f t="shared" si="21"/>
        <v>0</v>
      </c>
      <c r="H192" s="118"/>
      <c r="I192" s="42"/>
      <c r="J192" s="42"/>
      <c r="K192" s="42"/>
      <c r="L192" s="99"/>
    </row>
    <row r="193" spans="1:14">
      <c r="A193" s="2559"/>
      <c r="B193" s="1988"/>
      <c r="C193" s="86">
        <v>2018</v>
      </c>
      <c r="D193" s="50"/>
      <c r="E193" s="42"/>
      <c r="F193" s="42"/>
      <c r="G193" s="301">
        <f t="shared" si="21"/>
        <v>0</v>
      </c>
      <c r="H193" s="118"/>
      <c r="I193" s="42"/>
      <c r="J193" s="42"/>
      <c r="K193" s="42"/>
      <c r="L193" s="99"/>
    </row>
    <row r="194" spans="1:14">
      <c r="A194" s="2559"/>
      <c r="B194" s="1988"/>
      <c r="C194" s="86">
        <v>2019</v>
      </c>
      <c r="D194" s="50"/>
      <c r="E194" s="42"/>
      <c r="F194" s="42"/>
      <c r="G194" s="301">
        <f t="shared" si="21"/>
        <v>0</v>
      </c>
      <c r="H194" s="118"/>
      <c r="I194" s="42"/>
      <c r="J194" s="42"/>
      <c r="K194" s="42"/>
      <c r="L194" s="99"/>
    </row>
    <row r="195" spans="1:14">
      <c r="A195" s="2559"/>
      <c r="B195" s="1988"/>
      <c r="C195" s="86">
        <v>2020</v>
      </c>
      <c r="D195" s="50"/>
      <c r="E195" s="42"/>
      <c r="F195" s="42"/>
      <c r="G195" s="301">
        <f t="shared" si="21"/>
        <v>0</v>
      </c>
      <c r="H195" s="118"/>
      <c r="I195" s="42"/>
      <c r="J195" s="42"/>
      <c r="K195" s="42"/>
      <c r="L195" s="99"/>
    </row>
    <row r="196" spans="1:14" ht="24.6" customHeight="1" thickBot="1">
      <c r="A196" s="2114"/>
      <c r="B196" s="1990"/>
      <c r="C196" s="148" t="s">
        <v>12</v>
      </c>
      <c r="D196" s="151">
        <f t="shared" ref="D196:L196" si="22">SUM(D189:D195)</f>
        <v>468</v>
      </c>
      <c r="E196" s="125">
        <f t="shared" si="22"/>
        <v>0</v>
      </c>
      <c r="F196" s="125">
        <f t="shared" si="22"/>
        <v>0</v>
      </c>
      <c r="G196" s="304">
        <f t="shared" si="22"/>
        <v>468</v>
      </c>
      <c r="H196" s="124">
        <f t="shared" si="22"/>
        <v>0</v>
      </c>
      <c r="I196" s="125">
        <f t="shared" si="22"/>
        <v>0</v>
      </c>
      <c r="J196" s="125">
        <f t="shared" si="22"/>
        <v>110</v>
      </c>
      <c r="K196" s="125">
        <f t="shared" si="22"/>
        <v>0</v>
      </c>
      <c r="L196" s="126">
        <f t="shared" si="22"/>
        <v>358</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1554" t="s">
        <v>135</v>
      </c>
      <c r="B201" s="309" t="s">
        <v>114</v>
      </c>
      <c r="C201" s="310" t="s">
        <v>8</v>
      </c>
      <c r="D201" s="1555" t="s">
        <v>136</v>
      </c>
      <c r="E201" s="312" t="s">
        <v>137</v>
      </c>
      <c r="F201" s="312" t="s">
        <v>138</v>
      </c>
      <c r="G201" s="310" t="s">
        <v>139</v>
      </c>
      <c r="H201" s="1500" t="s">
        <v>140</v>
      </c>
      <c r="I201" s="1556" t="s">
        <v>141</v>
      </c>
      <c r="J201" s="1557" t="s">
        <v>142</v>
      </c>
      <c r="K201" s="312" t="s">
        <v>143</v>
      </c>
      <c r="L201" s="316" t="s">
        <v>144</v>
      </c>
    </row>
    <row r="202" spans="1:14" ht="15" customHeight="1">
      <c r="A202" s="2558"/>
      <c r="B202" s="1988"/>
      <c r="C202" s="84">
        <v>2014</v>
      </c>
      <c r="D202" s="33"/>
      <c r="E202" s="34"/>
      <c r="F202" s="34"/>
      <c r="G202" s="32"/>
      <c r="H202" s="317"/>
      <c r="I202" s="318"/>
      <c r="J202" s="319"/>
      <c r="K202" s="34"/>
      <c r="L202" s="37"/>
    </row>
    <row r="203" spans="1:14">
      <c r="A203" s="2558"/>
      <c r="B203" s="1988"/>
      <c r="C203" s="86">
        <v>2015</v>
      </c>
      <c r="D203" s="50"/>
      <c r="E203" s="42"/>
      <c r="F203" s="42"/>
      <c r="G203" s="39"/>
      <c r="H203" s="320"/>
      <c r="I203" s="321"/>
      <c r="J203" s="322"/>
      <c r="K203" s="42"/>
      <c r="L203" s="99"/>
    </row>
    <row r="204" spans="1:14">
      <c r="A204" s="2558"/>
      <c r="B204" s="1988"/>
      <c r="C204" s="86">
        <v>2016</v>
      </c>
      <c r="D204" s="50"/>
      <c r="E204" s="42"/>
      <c r="F204" s="42"/>
      <c r="G204" s="39"/>
      <c r="H204" s="320"/>
      <c r="I204" s="321"/>
      <c r="J204" s="322"/>
      <c r="K204" s="42"/>
      <c r="L204" s="99"/>
    </row>
    <row r="205" spans="1:14">
      <c r="A205" s="2558"/>
      <c r="B205" s="1988"/>
      <c r="C205" s="86">
        <v>2017</v>
      </c>
      <c r="D205" s="50"/>
      <c r="E205" s="42"/>
      <c r="F205" s="42"/>
      <c r="G205" s="39"/>
      <c r="H205" s="320"/>
      <c r="I205" s="321"/>
      <c r="J205" s="322"/>
      <c r="K205" s="42"/>
      <c r="L205" s="99"/>
    </row>
    <row r="206" spans="1:14">
      <c r="A206" s="2558"/>
      <c r="B206" s="1988"/>
      <c r="C206" s="86">
        <v>2018</v>
      </c>
      <c r="D206" s="50"/>
      <c r="E206" s="42"/>
      <c r="F206" s="42"/>
      <c r="G206" s="39"/>
      <c r="H206" s="320"/>
      <c r="I206" s="321"/>
      <c r="J206" s="322"/>
      <c r="K206" s="42"/>
      <c r="L206" s="99"/>
    </row>
    <row r="207" spans="1:14">
      <c r="A207" s="2558"/>
      <c r="B207" s="1988"/>
      <c r="C207" s="86">
        <v>2019</v>
      </c>
      <c r="D207" s="50"/>
      <c r="E207" s="42"/>
      <c r="F207" s="42"/>
      <c r="G207" s="39"/>
      <c r="H207" s="320"/>
      <c r="I207" s="321"/>
      <c r="J207" s="322"/>
      <c r="K207" s="42"/>
      <c r="L207" s="99"/>
    </row>
    <row r="208" spans="1:14">
      <c r="A208" s="2558"/>
      <c r="B208" s="1988"/>
      <c r="C208" s="86">
        <v>2020</v>
      </c>
      <c r="D208" s="1474"/>
      <c r="E208" s="324"/>
      <c r="F208" s="324"/>
      <c r="G208" s="325"/>
      <c r="H208" s="326"/>
      <c r="I208" s="327"/>
      <c r="J208" s="328"/>
      <c r="K208" s="324"/>
      <c r="L208" s="329"/>
    </row>
    <row r="209" spans="1:12" ht="20.25" customHeight="1" thickBot="1">
      <c r="A209" s="1989"/>
      <c r="B209" s="1990"/>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1558" t="s">
        <v>145</v>
      </c>
      <c r="B212" s="331" t="s">
        <v>146</v>
      </c>
      <c r="C212" s="332">
        <v>2014</v>
      </c>
      <c r="D212" s="333">
        <v>2015</v>
      </c>
      <c r="E212" s="333">
        <v>2016</v>
      </c>
      <c r="F212" s="333">
        <v>2017</v>
      </c>
      <c r="G212" s="333">
        <v>2018</v>
      </c>
      <c r="H212" s="333">
        <v>2019</v>
      </c>
      <c r="I212" s="334">
        <v>2020</v>
      </c>
    </row>
    <row r="213" spans="1:12" ht="15" customHeight="1">
      <c r="A213" t="s">
        <v>147</v>
      </c>
      <c r="B213" s="2196" t="s">
        <v>474</v>
      </c>
      <c r="C213" s="84"/>
      <c r="D213" s="147">
        <v>10208</v>
      </c>
      <c r="E213" s="147">
        <v>115139.68</v>
      </c>
      <c r="F213" s="147"/>
      <c r="G213" s="147"/>
      <c r="H213" s="147"/>
      <c r="I213" s="335"/>
    </row>
    <row r="214" spans="1:12">
      <c r="A214" t="s">
        <v>149</v>
      </c>
      <c r="B214" s="2168"/>
      <c r="C214" s="84"/>
      <c r="D214" s="147">
        <v>10208</v>
      </c>
      <c r="E214" s="147">
        <v>115139.68</v>
      </c>
      <c r="F214" s="147"/>
      <c r="G214" s="147"/>
      <c r="H214" s="147"/>
      <c r="I214" s="335"/>
    </row>
    <row r="215" spans="1:12">
      <c r="A215" t="s">
        <v>150</v>
      </c>
      <c r="B215" s="2168"/>
      <c r="C215" s="84"/>
      <c r="D215" s="147"/>
      <c r="E215" s="147"/>
      <c r="F215" s="147"/>
      <c r="G215" s="147"/>
      <c r="H215" s="147"/>
      <c r="I215" s="335"/>
    </row>
    <row r="216" spans="1:12">
      <c r="A216" t="s">
        <v>151</v>
      </c>
      <c r="B216" s="2168"/>
      <c r="C216" s="84"/>
      <c r="D216" s="147"/>
      <c r="E216" s="147"/>
      <c r="F216" s="147"/>
      <c r="G216" s="147"/>
      <c r="H216" s="147"/>
      <c r="I216" s="335"/>
    </row>
    <row r="217" spans="1:12">
      <c r="A217" t="s">
        <v>152</v>
      </c>
      <c r="B217" s="2168"/>
      <c r="C217" s="84"/>
      <c r="D217" s="147"/>
      <c r="E217" s="147"/>
      <c r="F217" s="147"/>
      <c r="G217" s="147"/>
      <c r="H217" s="147"/>
      <c r="I217" s="335"/>
    </row>
    <row r="218" spans="1:12" ht="30">
      <c r="A218" s="31" t="s">
        <v>153</v>
      </c>
      <c r="B218" s="2168"/>
      <c r="C218" s="84"/>
      <c r="D218" s="147">
        <v>98758.03</v>
      </c>
      <c r="E218" s="147">
        <v>114195.07</v>
      </c>
      <c r="F218" s="147"/>
      <c r="G218" s="147"/>
      <c r="H218" s="147"/>
      <c r="I218" s="335"/>
    </row>
    <row r="219" spans="1:12" ht="15.75" thickBot="1">
      <c r="A219" s="1473"/>
      <c r="B219" s="2169"/>
      <c r="C219" s="54" t="s">
        <v>12</v>
      </c>
      <c r="D219" s="337">
        <f>SUM(D214:D218)</f>
        <v>108966.03</v>
      </c>
      <c r="E219" s="337">
        <f t="shared" ref="E219:I219" si="24">SUM(E214:E218)</f>
        <v>229334.75</v>
      </c>
      <c r="F219" s="337">
        <f t="shared" si="24"/>
        <v>0</v>
      </c>
      <c r="G219" s="337">
        <f t="shared" si="24"/>
        <v>0</v>
      </c>
      <c r="H219" s="337">
        <f t="shared" si="24"/>
        <v>0</v>
      </c>
      <c r="I219" s="337">
        <f t="shared" si="24"/>
        <v>0</v>
      </c>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9"/>
  <dimension ref="A1:Y227"/>
  <sheetViews>
    <sheetView topLeftCell="A211" zoomScale="90" zoomScaleNormal="90" workbookViewId="0">
      <selection activeCell="E221" sqref="E221"/>
    </sheetView>
  </sheetViews>
  <sheetFormatPr defaultColWidth="8.85546875" defaultRowHeight="15"/>
  <cols>
    <col min="1" max="1" width="91" customWidth="1"/>
    <col min="2" max="2" width="35" customWidth="1"/>
    <col min="3" max="3" width="16.140625" customWidth="1"/>
    <col min="4" max="4" width="12.7109375" customWidth="1"/>
    <col min="5" max="5" width="17.28515625" customWidth="1"/>
    <col min="6" max="6" width="18.7109375" customWidth="1"/>
    <col min="7" max="7" width="17.7109375" customWidth="1"/>
    <col min="8" max="8" width="13.5703125" customWidth="1"/>
    <col min="9" max="9" width="9.140625" customWidth="1"/>
    <col min="10" max="10" width="13.7109375" customWidth="1"/>
    <col min="11" max="11" width="11" customWidth="1"/>
    <col min="12" max="12" width="9.85546875" customWidth="1"/>
    <col min="13" max="13" width="11.140625" customWidth="1"/>
    <col min="14" max="14" width="9.28515625" customWidth="1"/>
    <col min="15" max="15" width="10.140625" customWidth="1"/>
    <col min="16" max="25" width="13.7109375" customWidth="1"/>
  </cols>
  <sheetData>
    <row r="1" spans="1:25" s="2" customFormat="1" ht="31.5">
      <c r="A1" s="1" t="s">
        <v>0</v>
      </c>
      <c r="B1" s="2076" t="s">
        <v>475</v>
      </c>
      <c r="C1" s="2077"/>
      <c r="D1" s="2077"/>
      <c r="E1" s="2077"/>
      <c r="F1" s="2077"/>
    </row>
    <row r="2" spans="1:25" s="2" customFormat="1" ht="20.100000000000001" customHeight="1" thickBot="1"/>
    <row r="3" spans="1:25" s="5" customFormat="1" ht="20.100000000000001" customHeight="1">
      <c r="A3" s="1503" t="s">
        <v>1</v>
      </c>
      <c r="B3" s="1504"/>
      <c r="C3" s="1504"/>
      <c r="D3" s="1504"/>
      <c r="E3" s="1504"/>
      <c r="F3" s="2707"/>
      <c r="G3" s="2707"/>
      <c r="H3" s="2707"/>
      <c r="I3" s="2707"/>
      <c r="J3" s="2707"/>
      <c r="K3" s="2707"/>
      <c r="L3" s="2707"/>
      <c r="M3" s="2707"/>
      <c r="N3" s="2707"/>
      <c r="O3" s="2708"/>
    </row>
    <row r="4" spans="1:25" s="5" customFormat="1" ht="20.100000000000001" customHeight="1">
      <c r="A4" s="2566" t="s">
        <v>2</v>
      </c>
      <c r="B4" s="2081"/>
      <c r="C4" s="2081"/>
      <c r="D4" s="2081"/>
      <c r="E4" s="2081"/>
      <c r="F4" s="2081"/>
      <c r="G4" s="2081"/>
      <c r="H4" s="2081"/>
      <c r="I4" s="2081"/>
      <c r="J4" s="2081"/>
      <c r="K4" s="2081"/>
      <c r="L4" s="2081"/>
      <c r="M4" s="2081"/>
      <c r="N4" s="2081"/>
      <c r="O4" s="2082"/>
    </row>
    <row r="5" spans="1:25" s="5" customFormat="1" ht="20.100000000000001" customHeight="1">
      <c r="A5" s="2566"/>
      <c r="B5" s="2081"/>
      <c r="C5" s="2081"/>
      <c r="D5" s="2081"/>
      <c r="E5" s="2081"/>
      <c r="F5" s="2081"/>
      <c r="G5" s="2081"/>
      <c r="H5" s="2081"/>
      <c r="I5" s="2081"/>
      <c r="J5" s="2081"/>
      <c r="K5" s="2081"/>
      <c r="L5" s="2081"/>
      <c r="M5" s="2081"/>
      <c r="N5" s="2081"/>
      <c r="O5" s="2082"/>
    </row>
    <row r="6" spans="1:25" s="5" customFormat="1" ht="20.100000000000001" customHeight="1">
      <c r="A6" s="2566"/>
      <c r="B6" s="2081"/>
      <c r="C6" s="2081"/>
      <c r="D6" s="2081"/>
      <c r="E6" s="2081"/>
      <c r="F6" s="2081"/>
      <c r="G6" s="2081"/>
      <c r="H6" s="2081"/>
      <c r="I6" s="2081"/>
      <c r="J6" s="2081"/>
      <c r="K6" s="2081"/>
      <c r="L6" s="2081"/>
      <c r="M6" s="2081"/>
      <c r="N6" s="2081"/>
      <c r="O6" s="2082"/>
    </row>
    <row r="7" spans="1:25" s="5" customFormat="1" ht="20.100000000000001" customHeight="1">
      <c r="A7" s="2566"/>
      <c r="B7" s="2081"/>
      <c r="C7" s="2081"/>
      <c r="D7" s="2081"/>
      <c r="E7" s="2081"/>
      <c r="F7" s="2081"/>
      <c r="G7" s="2081"/>
      <c r="H7" s="2081"/>
      <c r="I7" s="2081"/>
      <c r="J7" s="2081"/>
      <c r="K7" s="2081"/>
      <c r="L7" s="2081"/>
      <c r="M7" s="2081"/>
      <c r="N7" s="2081"/>
      <c r="O7" s="2082"/>
    </row>
    <row r="8" spans="1:25" s="5" customFormat="1" ht="20.100000000000001" customHeight="1">
      <c r="A8" s="2566"/>
      <c r="B8" s="2081"/>
      <c r="C8" s="2081"/>
      <c r="D8" s="2081"/>
      <c r="E8" s="2081"/>
      <c r="F8" s="2081"/>
      <c r="G8" s="2081"/>
      <c r="H8" s="2081"/>
      <c r="I8" s="2081"/>
      <c r="J8" s="2081"/>
      <c r="K8" s="2081"/>
      <c r="L8" s="2081"/>
      <c r="M8" s="2081"/>
      <c r="N8" s="2081"/>
      <c r="O8" s="2082"/>
    </row>
    <row r="9" spans="1:25" s="5" customFormat="1" ht="20.100000000000001" customHeight="1">
      <c r="A9" s="2566"/>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1518"/>
      <c r="B15" s="1519"/>
      <c r="C15" s="11"/>
      <c r="D15" s="2718" t="s">
        <v>4</v>
      </c>
      <c r="E15" s="2709"/>
      <c r="F15" s="2709"/>
      <c r="G15" s="2709"/>
      <c r="H15" s="1520"/>
      <c r="I15" s="13" t="s">
        <v>5</v>
      </c>
      <c r="J15" s="14"/>
      <c r="K15" s="14"/>
      <c r="L15" s="14"/>
      <c r="M15" s="14"/>
      <c r="N15" s="14"/>
      <c r="O15" s="15"/>
      <c r="P15" s="16"/>
      <c r="Q15" s="17"/>
      <c r="R15" s="18"/>
      <c r="S15" s="18"/>
      <c r="T15" s="18"/>
      <c r="U15" s="18"/>
      <c r="V15" s="18"/>
      <c r="W15" s="16"/>
      <c r="X15" s="16"/>
      <c r="Y15" s="17"/>
    </row>
    <row r="16" spans="1:25" s="31" customFormat="1" ht="129" customHeight="1">
      <c r="A16" s="1600" t="s">
        <v>6</v>
      </c>
      <c r="B16" s="1601" t="s">
        <v>476</v>
      </c>
      <c r="C16" s="1602" t="s">
        <v>8</v>
      </c>
      <c r="D16" s="1603" t="s">
        <v>9</v>
      </c>
      <c r="E16" s="1604" t="s">
        <v>10</v>
      </c>
      <c r="F16" s="1604" t="s">
        <v>11</v>
      </c>
      <c r="G16" s="1605" t="s">
        <v>12</v>
      </c>
      <c r="H16" s="1606" t="s">
        <v>13</v>
      </c>
      <c r="I16" s="1607" t="s">
        <v>14</v>
      </c>
      <c r="J16" s="1607" t="s">
        <v>15</v>
      </c>
      <c r="K16" s="1607" t="s">
        <v>16</v>
      </c>
      <c r="L16" s="1607" t="s">
        <v>17</v>
      </c>
      <c r="M16" s="1608" t="s">
        <v>18</v>
      </c>
      <c r="N16" s="1607" t="s">
        <v>19</v>
      </c>
      <c r="O16" s="1609" t="s">
        <v>20</v>
      </c>
      <c r="P16" s="30"/>
      <c r="Q16" s="30"/>
      <c r="R16" s="30"/>
      <c r="S16" s="30"/>
      <c r="T16" s="30"/>
      <c r="U16" s="30"/>
      <c r="V16" s="30"/>
      <c r="W16" s="30"/>
      <c r="X16" s="30"/>
      <c r="Y16" s="30"/>
    </row>
    <row r="17" spans="1:25" ht="15" customHeight="1">
      <c r="A17" s="2563" t="s">
        <v>477</v>
      </c>
      <c r="B17" s="19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558"/>
      <c r="B18" s="1988"/>
      <c r="C18" s="39">
        <v>2015</v>
      </c>
      <c r="D18" s="50">
        <v>3</v>
      </c>
      <c r="E18" s="42"/>
      <c r="F18" s="42"/>
      <c r="G18" s="35">
        <f>SUM(D18:F18)</f>
        <v>3</v>
      </c>
      <c r="H18" s="51">
        <v>3</v>
      </c>
      <c r="I18" s="42"/>
      <c r="J18" s="42"/>
      <c r="K18" s="42"/>
      <c r="L18" s="42"/>
      <c r="M18" s="42"/>
      <c r="N18" s="42"/>
      <c r="O18" s="52"/>
      <c r="P18" s="38"/>
      <c r="Q18" s="38"/>
      <c r="R18" s="38"/>
      <c r="S18" s="38"/>
      <c r="T18" s="38"/>
      <c r="U18" s="38"/>
      <c r="V18" s="38"/>
      <c r="W18" s="38"/>
      <c r="X18" s="38"/>
      <c r="Y18" s="38"/>
    </row>
    <row r="19" spans="1:25">
      <c r="A19" s="2558"/>
      <c r="B19" s="1988"/>
      <c r="C19" s="39">
        <v>2016</v>
      </c>
      <c r="D19" s="50">
        <f>5+6+21</f>
        <v>32</v>
      </c>
      <c r="E19" s="42"/>
      <c r="F19" s="42"/>
      <c r="G19" s="35">
        <f t="shared" si="0"/>
        <v>32</v>
      </c>
      <c r="H19" s="51">
        <v>32</v>
      </c>
      <c r="I19" s="42"/>
      <c r="J19" s="42"/>
      <c r="K19" s="42"/>
      <c r="L19" s="42"/>
      <c r="M19" s="42"/>
      <c r="N19" s="42"/>
      <c r="O19" s="51"/>
      <c r="P19" s="38"/>
      <c r="Q19" s="38"/>
      <c r="R19" s="38"/>
      <c r="S19" s="38"/>
      <c r="T19" s="38"/>
      <c r="U19" s="38"/>
      <c r="V19" s="38"/>
      <c r="W19" s="38"/>
      <c r="X19" s="38"/>
      <c r="Y19" s="38"/>
    </row>
    <row r="20" spans="1:25">
      <c r="A20" s="2558"/>
      <c r="B20" s="1988"/>
      <c r="C20" s="39">
        <v>2017</v>
      </c>
      <c r="D20" s="50"/>
      <c r="E20" s="42"/>
      <c r="F20" s="42"/>
      <c r="G20" s="35">
        <f t="shared" si="0"/>
        <v>0</v>
      </c>
      <c r="H20" s="51"/>
      <c r="I20" s="42"/>
      <c r="J20" s="42"/>
      <c r="K20" s="42"/>
      <c r="L20" s="42"/>
      <c r="M20" s="42"/>
      <c r="N20" s="42"/>
      <c r="O20" s="51"/>
      <c r="P20" s="38"/>
      <c r="Q20" s="38"/>
      <c r="R20" s="38"/>
      <c r="S20" s="38"/>
      <c r="T20" s="38"/>
      <c r="U20" s="38"/>
      <c r="V20" s="38"/>
      <c r="W20" s="38"/>
      <c r="X20" s="38"/>
      <c r="Y20" s="38"/>
    </row>
    <row r="21" spans="1:25">
      <c r="A21" s="2558"/>
      <c r="B21" s="1988"/>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2558"/>
      <c r="B22" s="1988"/>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2558"/>
      <c r="B23" s="1988"/>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59.25" customHeight="1" thickBot="1">
      <c r="A24" s="1989"/>
      <c r="B24" s="1990"/>
      <c r="C24" s="54" t="s">
        <v>12</v>
      </c>
      <c r="D24" s="55">
        <f>SUM(D17:D23)</f>
        <v>35</v>
      </c>
      <c r="E24" s="56">
        <f>SUM(E17:E23)</f>
        <v>0</v>
      </c>
      <c r="F24" s="56">
        <f>SUM(F17:F23)</f>
        <v>0</v>
      </c>
      <c r="G24" s="57">
        <f>SUM(D24:F24)</f>
        <v>35</v>
      </c>
      <c r="H24" s="58">
        <f>SUM(H17:H23)</f>
        <v>35</v>
      </c>
      <c r="I24" s="59">
        <f>SUM(I17:I23)</f>
        <v>0</v>
      </c>
      <c r="J24" s="59">
        <f t="shared" ref="J24:N24" si="1">SUM(J17:J23)</f>
        <v>0</v>
      </c>
      <c r="K24" s="59">
        <f t="shared" si="1"/>
        <v>0</v>
      </c>
      <c r="L24" s="59">
        <f t="shared" si="1"/>
        <v>0</v>
      </c>
      <c r="M24" s="59">
        <f t="shared" si="1"/>
        <v>0</v>
      </c>
      <c r="N24" s="59">
        <f t="shared" si="1"/>
        <v>0</v>
      </c>
      <c r="O24" s="60">
        <f>SUM(O17:O23)</f>
        <v>0</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1518"/>
      <c r="B26" s="1519"/>
      <c r="C26" s="63"/>
      <c r="D26" s="2723" t="s">
        <v>4</v>
      </c>
      <c r="E26" s="2713"/>
      <c r="F26" s="2713"/>
      <c r="G26" s="2724"/>
      <c r="H26" s="16"/>
      <c r="I26" s="17"/>
      <c r="J26" s="18"/>
      <c r="K26" s="18"/>
      <c r="L26" s="18"/>
      <c r="M26" s="18"/>
      <c r="N26" s="18"/>
      <c r="O26" s="16"/>
      <c r="P26" s="16"/>
    </row>
    <row r="27" spans="1:25" s="31" customFormat="1" ht="93" customHeight="1">
      <c r="A27" s="1377"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563" t="s">
        <v>478</v>
      </c>
      <c r="B28" s="1988"/>
      <c r="C28" s="68">
        <v>2014</v>
      </c>
      <c r="D28" s="36"/>
      <c r="E28" s="34"/>
      <c r="F28" s="34"/>
      <c r="G28" s="69">
        <f>SUM(D28:F28)</f>
        <v>0</v>
      </c>
      <c r="H28" s="38"/>
      <c r="I28" s="38"/>
      <c r="J28" s="38"/>
      <c r="K28" s="38"/>
      <c r="L28" s="38"/>
      <c r="M28" s="38"/>
      <c r="N28" s="38"/>
      <c r="O28" s="38"/>
      <c r="P28" s="38"/>
      <c r="Q28" s="8"/>
    </row>
    <row r="29" spans="1:25">
      <c r="A29" s="2558"/>
      <c r="B29" s="1988"/>
      <c r="C29" s="70">
        <v>2015</v>
      </c>
      <c r="D29" s="51">
        <v>80</v>
      </c>
      <c r="E29" s="42"/>
      <c r="F29" s="42"/>
      <c r="G29" s="69">
        <f t="shared" ref="G29:G35" si="2">SUM(D29:F29)</f>
        <v>80</v>
      </c>
      <c r="H29" s="38"/>
      <c r="I29" s="38"/>
      <c r="J29" s="38"/>
      <c r="K29" s="38"/>
      <c r="L29" s="38"/>
      <c r="M29" s="38"/>
      <c r="N29" s="38"/>
      <c r="O29" s="38"/>
      <c r="P29" s="38"/>
      <c r="Q29" s="8"/>
    </row>
    <row r="30" spans="1:25">
      <c r="A30" s="2558"/>
      <c r="B30" s="1988"/>
      <c r="C30" s="70">
        <v>2016</v>
      </c>
      <c r="D30" s="51">
        <f>100+100+80+80+80+315</f>
        <v>755</v>
      </c>
      <c r="E30" s="42"/>
      <c r="F30" s="42"/>
      <c r="G30" s="69">
        <f t="shared" si="2"/>
        <v>755</v>
      </c>
      <c r="H30" s="38"/>
      <c r="I30" s="38"/>
      <c r="J30" s="38"/>
      <c r="K30" s="38"/>
      <c r="L30" s="38"/>
      <c r="M30" s="38"/>
      <c r="N30" s="38"/>
      <c r="O30" s="38"/>
      <c r="P30" s="38"/>
      <c r="Q30" s="8"/>
    </row>
    <row r="31" spans="1:25">
      <c r="A31" s="2558"/>
      <c r="B31" s="1988"/>
      <c r="C31" s="70">
        <v>2017</v>
      </c>
      <c r="D31" s="51"/>
      <c r="E31" s="42"/>
      <c r="F31" s="42"/>
      <c r="G31" s="69">
        <f t="shared" si="2"/>
        <v>0</v>
      </c>
      <c r="H31" s="38"/>
      <c r="I31" s="38"/>
      <c r="J31" s="38"/>
      <c r="K31" s="38"/>
      <c r="L31" s="38"/>
      <c r="M31" s="38"/>
      <c r="N31" s="38"/>
      <c r="O31" s="38"/>
      <c r="P31" s="38"/>
      <c r="Q31" s="8"/>
    </row>
    <row r="32" spans="1:25">
      <c r="A32" s="2558"/>
      <c r="B32" s="1988"/>
      <c r="C32" s="70">
        <v>2018</v>
      </c>
      <c r="D32" s="51"/>
      <c r="E32" s="42"/>
      <c r="F32" s="42"/>
      <c r="G32" s="69">
        <f>SUM(D32:F32)</f>
        <v>0</v>
      </c>
      <c r="H32" s="38"/>
      <c r="I32" s="38"/>
      <c r="J32" s="38"/>
      <c r="K32" s="38"/>
      <c r="L32" s="38"/>
      <c r="M32" s="38"/>
      <c r="N32" s="38"/>
      <c r="O32" s="38"/>
      <c r="P32" s="38"/>
      <c r="Q32" s="8"/>
    </row>
    <row r="33" spans="1:17">
      <c r="A33" s="2558"/>
      <c r="B33" s="1988"/>
      <c r="C33" s="72">
        <v>2019</v>
      </c>
      <c r="D33" s="51"/>
      <c r="E33" s="42"/>
      <c r="F33" s="42"/>
      <c r="G33" s="69">
        <f t="shared" si="2"/>
        <v>0</v>
      </c>
      <c r="H33" s="38"/>
      <c r="I33" s="38"/>
      <c r="J33" s="38"/>
      <c r="K33" s="38"/>
      <c r="L33" s="38"/>
      <c r="M33" s="38"/>
      <c r="N33" s="38"/>
      <c r="O33" s="38"/>
      <c r="P33" s="38"/>
      <c r="Q33" s="8"/>
    </row>
    <row r="34" spans="1:17">
      <c r="A34" s="2558"/>
      <c r="B34" s="1988"/>
      <c r="C34" s="70">
        <v>2020</v>
      </c>
      <c r="D34" s="51"/>
      <c r="E34" s="42"/>
      <c r="F34" s="42"/>
      <c r="G34" s="69">
        <f t="shared" si="2"/>
        <v>0</v>
      </c>
      <c r="H34" s="38"/>
      <c r="I34" s="38"/>
      <c r="J34" s="38"/>
      <c r="K34" s="38"/>
      <c r="L34" s="38"/>
      <c r="M34" s="38"/>
      <c r="N34" s="38"/>
      <c r="O34" s="38"/>
      <c r="P34" s="38"/>
      <c r="Q34" s="8"/>
    </row>
    <row r="35" spans="1:17" ht="20.25" customHeight="1" thickBot="1">
      <c r="A35" s="1989"/>
      <c r="B35" s="1990"/>
      <c r="C35" s="73" t="s">
        <v>12</v>
      </c>
      <c r="D35" s="58">
        <f>SUM(D28:D34)</f>
        <v>835</v>
      </c>
      <c r="E35" s="56">
        <f>SUM(E28:E34)</f>
        <v>0</v>
      </c>
      <c r="F35" s="56">
        <f>SUM(F28:F34)</f>
        <v>0</v>
      </c>
      <c r="G35" s="60">
        <f t="shared" si="2"/>
        <v>835</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1521" t="s">
        <v>25</v>
      </c>
      <c r="B39" s="1522" t="s">
        <v>7</v>
      </c>
      <c r="C39" s="80" t="s">
        <v>8</v>
      </c>
      <c r="D39" s="1523" t="s">
        <v>26</v>
      </c>
      <c r="E39" s="352" t="s">
        <v>27</v>
      </c>
      <c r="F39" s="353"/>
      <c r="G39" s="30"/>
      <c r="H39" s="30"/>
    </row>
    <row r="40" spans="1:17">
      <c r="A40" s="2563" t="s">
        <v>479</v>
      </c>
      <c r="B40" s="1988"/>
      <c r="C40" s="84">
        <v>2014</v>
      </c>
      <c r="D40" s="33"/>
      <c r="E40" s="32"/>
      <c r="F40" s="8"/>
      <c r="G40" s="38"/>
      <c r="H40" s="38"/>
    </row>
    <row r="41" spans="1:17">
      <c r="A41" s="2558"/>
      <c r="B41" s="1988"/>
      <c r="C41" s="86">
        <v>2015</v>
      </c>
      <c r="D41" s="50"/>
      <c r="E41" s="39"/>
      <c r="F41" s="8"/>
      <c r="G41" s="38"/>
      <c r="H41" s="38"/>
    </row>
    <row r="42" spans="1:17">
      <c r="A42" s="2558"/>
      <c r="B42" s="1988"/>
      <c r="C42" s="86">
        <v>2016</v>
      </c>
      <c r="D42" s="578">
        <v>8185</v>
      </c>
      <c r="E42" s="579">
        <v>1364</v>
      </c>
      <c r="F42" s="8"/>
      <c r="G42" s="38"/>
      <c r="H42" s="38"/>
    </row>
    <row r="43" spans="1:17">
      <c r="A43" s="2558"/>
      <c r="B43" s="1988"/>
      <c r="C43" s="86">
        <v>2017</v>
      </c>
      <c r="D43" s="50"/>
      <c r="E43" s="39"/>
      <c r="F43" s="8"/>
      <c r="G43" s="38"/>
      <c r="H43" s="38"/>
    </row>
    <row r="44" spans="1:17">
      <c r="A44" s="2558"/>
      <c r="B44" s="1988"/>
      <c r="C44" s="86">
        <v>2018</v>
      </c>
      <c r="D44" s="50"/>
      <c r="E44" s="39"/>
      <c r="F44" s="8"/>
      <c r="G44" s="38"/>
      <c r="H44" s="38"/>
    </row>
    <row r="45" spans="1:17">
      <c r="A45" s="2558"/>
      <c r="B45" s="1988"/>
      <c r="C45" s="86">
        <v>2019</v>
      </c>
      <c r="D45" s="50"/>
      <c r="E45" s="39"/>
      <c r="F45" s="8"/>
      <c r="G45" s="38"/>
      <c r="H45" s="38"/>
    </row>
    <row r="46" spans="1:17">
      <c r="A46" s="2558"/>
      <c r="B46" s="1988"/>
      <c r="C46" s="86">
        <v>2020</v>
      </c>
      <c r="D46" s="50"/>
      <c r="E46" s="39"/>
      <c r="F46" s="8"/>
      <c r="G46" s="38"/>
      <c r="H46" s="38"/>
    </row>
    <row r="47" spans="1:17" ht="15.75" thickBot="1">
      <c r="A47" s="1989"/>
      <c r="B47" s="1990"/>
      <c r="C47" s="54" t="s">
        <v>12</v>
      </c>
      <c r="D47" s="55">
        <f>SUM(D40:D46)</f>
        <v>8185</v>
      </c>
      <c r="E47" s="419">
        <f>SUM(E40:E46)</f>
        <v>1364</v>
      </c>
      <c r="F47" s="121"/>
      <c r="G47" s="38"/>
      <c r="H47" s="38"/>
    </row>
    <row r="48" spans="1:17" s="38" customFormat="1" ht="15.75" thickBot="1">
      <c r="A48" s="1510"/>
      <c r="B48" s="92"/>
      <c r="C48" s="93"/>
    </row>
    <row r="49" spans="1:15" ht="83.25" customHeight="1">
      <c r="A49" s="1527" t="s">
        <v>29</v>
      </c>
      <c r="B49" s="1522" t="s">
        <v>7</v>
      </c>
      <c r="C49" s="95" t="s">
        <v>8</v>
      </c>
      <c r="D49" s="1523" t="s">
        <v>30</v>
      </c>
      <c r="E49" s="96" t="s">
        <v>31</v>
      </c>
      <c r="F49" s="96" t="s">
        <v>32</v>
      </c>
      <c r="G49" s="96" t="s">
        <v>33</v>
      </c>
      <c r="H49" s="96" t="s">
        <v>34</v>
      </c>
      <c r="I49" s="96" t="s">
        <v>35</v>
      </c>
      <c r="J49" s="96" t="s">
        <v>36</v>
      </c>
      <c r="K49" s="97" t="s">
        <v>37</v>
      </c>
    </row>
    <row r="50" spans="1:15" ht="17.25" customHeight="1">
      <c r="A50" s="2005"/>
      <c r="B50" s="2012"/>
      <c r="C50" s="98" t="s">
        <v>38</v>
      </c>
      <c r="D50" s="33"/>
      <c r="E50" s="34"/>
      <c r="F50" s="34"/>
      <c r="G50" s="34"/>
      <c r="H50" s="34"/>
      <c r="I50" s="34"/>
      <c r="J50" s="34"/>
      <c r="K50" s="37"/>
    </row>
    <row r="51" spans="1:15" ht="15" customHeight="1">
      <c r="A51" s="2563"/>
      <c r="B51" s="2014"/>
      <c r="C51" s="86">
        <v>2014</v>
      </c>
      <c r="D51" s="50"/>
      <c r="E51" s="42"/>
      <c r="F51" s="42"/>
      <c r="G51" s="42"/>
      <c r="H51" s="42"/>
      <c r="I51" s="42"/>
      <c r="J51" s="42"/>
      <c r="K51" s="99"/>
    </row>
    <row r="52" spans="1:15">
      <c r="A52" s="2563"/>
      <c r="B52" s="2014"/>
      <c r="C52" s="86">
        <v>2015</v>
      </c>
      <c r="D52" s="50"/>
      <c r="E52" s="42"/>
      <c r="F52" s="42"/>
      <c r="G52" s="42"/>
      <c r="H52" s="42"/>
      <c r="I52" s="42"/>
      <c r="J52" s="42"/>
      <c r="K52" s="99"/>
    </row>
    <row r="53" spans="1:15">
      <c r="A53" s="2563"/>
      <c r="B53" s="2014"/>
      <c r="C53" s="86">
        <v>2016</v>
      </c>
      <c r="D53" s="50"/>
      <c r="E53" s="42"/>
      <c r="F53" s="42"/>
      <c r="G53" s="42"/>
      <c r="H53" s="42"/>
      <c r="I53" s="42"/>
      <c r="J53" s="42"/>
      <c r="K53" s="99"/>
    </row>
    <row r="54" spans="1:15">
      <c r="A54" s="2563"/>
      <c r="B54" s="2014"/>
      <c r="C54" s="86">
        <v>2017</v>
      </c>
      <c r="D54" s="50"/>
      <c r="E54" s="42"/>
      <c r="F54" s="42"/>
      <c r="G54" s="42"/>
      <c r="H54" s="42"/>
      <c r="I54" s="42"/>
      <c r="J54" s="42"/>
      <c r="K54" s="99"/>
    </row>
    <row r="55" spans="1:15">
      <c r="A55" s="2563"/>
      <c r="B55" s="2014"/>
      <c r="C55" s="86">
        <v>2018</v>
      </c>
      <c r="D55" s="50"/>
      <c r="E55" s="42"/>
      <c r="F55" s="42"/>
      <c r="G55" s="42"/>
      <c r="H55" s="42"/>
      <c r="I55" s="42"/>
      <c r="J55" s="42"/>
      <c r="K55" s="99"/>
    </row>
    <row r="56" spans="1:15">
      <c r="A56" s="2563"/>
      <c r="B56" s="2014"/>
      <c r="C56" s="86">
        <v>2019</v>
      </c>
      <c r="D56" s="50"/>
      <c r="E56" s="42"/>
      <c r="F56" s="42"/>
      <c r="G56" s="42"/>
      <c r="H56" s="42"/>
      <c r="I56" s="42"/>
      <c r="J56" s="42"/>
      <c r="K56" s="99"/>
    </row>
    <row r="57" spans="1:15">
      <c r="A57" s="2563"/>
      <c r="B57" s="2014"/>
      <c r="C57" s="86">
        <v>2020</v>
      </c>
      <c r="D57" s="50"/>
      <c r="E57" s="42"/>
      <c r="F57" s="42"/>
      <c r="G57" s="42"/>
      <c r="H57" s="42"/>
      <c r="I57" s="42"/>
      <c r="J57" s="42"/>
      <c r="K57" s="100"/>
    </row>
    <row r="58" spans="1:15" ht="20.25" customHeight="1" thickBot="1">
      <c r="A58" s="2009"/>
      <c r="B58" s="2016"/>
      <c r="C58" s="54" t="s">
        <v>12</v>
      </c>
      <c r="D58" s="55">
        <f>SUM(D51:D57)</f>
        <v>0</v>
      </c>
      <c r="E58" s="56">
        <f>SUM(E51:E57)</f>
        <v>0</v>
      </c>
      <c r="F58" s="56">
        <f>SUM(F51:F57)</f>
        <v>0</v>
      </c>
      <c r="G58" s="56">
        <f>SUM(G51:G57)</f>
        <v>0</v>
      </c>
      <c r="H58" s="56">
        <f>SUM(H51:H57)</f>
        <v>0</v>
      </c>
      <c r="I58" s="56">
        <f t="shared" ref="I58" si="3">SUM(I51:I57)</f>
        <v>0</v>
      </c>
      <c r="J58" s="56">
        <f>SUM(J51:J57)</f>
        <v>0</v>
      </c>
      <c r="K58" s="60">
        <f>SUM(K50:K56)</f>
        <v>0</v>
      </c>
    </row>
    <row r="59" spans="1:15" ht="15.75" thickBot="1"/>
    <row r="60" spans="1:15" ht="21" customHeight="1">
      <c r="A60" s="2716" t="s">
        <v>39</v>
      </c>
      <c r="B60" s="1528"/>
      <c r="C60" s="2717" t="s">
        <v>8</v>
      </c>
      <c r="D60" s="2671" t="s">
        <v>40</v>
      </c>
      <c r="E60" s="1477" t="s">
        <v>5</v>
      </c>
      <c r="F60" s="1478"/>
      <c r="G60" s="1478"/>
      <c r="H60" s="1478"/>
      <c r="I60" s="1478"/>
      <c r="J60" s="1478"/>
      <c r="K60" s="1478"/>
      <c r="L60" s="1479"/>
    </row>
    <row r="61" spans="1:15" ht="115.5" customHeight="1">
      <c r="A61" s="2764"/>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560" t="s">
        <v>480</v>
      </c>
      <c r="B62" s="2025"/>
      <c r="C62" s="112">
        <v>2014</v>
      </c>
      <c r="D62" s="113"/>
      <c r="E62" s="114"/>
      <c r="F62" s="115"/>
      <c r="G62" s="115"/>
      <c r="H62" s="115"/>
      <c r="I62" s="115"/>
      <c r="J62" s="115"/>
      <c r="K62" s="115"/>
      <c r="L62" s="37"/>
      <c r="M62" s="8"/>
      <c r="N62" s="8"/>
      <c r="O62" s="8"/>
    </row>
    <row r="63" spans="1:15">
      <c r="A63" s="2561"/>
      <c r="B63" s="2025"/>
      <c r="C63" s="116">
        <v>2015</v>
      </c>
      <c r="D63" s="117">
        <v>1</v>
      </c>
      <c r="E63" s="118">
        <v>1</v>
      </c>
      <c r="F63" s="42"/>
      <c r="G63" s="42"/>
      <c r="H63" s="42"/>
      <c r="I63" s="42"/>
      <c r="J63" s="42"/>
      <c r="K63" s="42"/>
      <c r="L63" s="99"/>
      <c r="M63" s="8"/>
      <c r="N63" s="8"/>
      <c r="O63" s="8"/>
    </row>
    <row r="64" spans="1:15">
      <c r="A64" s="2561"/>
      <c r="B64" s="2025"/>
      <c r="C64" s="116">
        <v>2016</v>
      </c>
      <c r="D64" s="117">
        <v>4</v>
      </c>
      <c r="E64" s="118">
        <v>4</v>
      </c>
      <c r="F64" s="42"/>
      <c r="G64" s="42"/>
      <c r="H64" s="42"/>
      <c r="I64" s="42"/>
      <c r="J64" s="42"/>
      <c r="K64" s="42"/>
      <c r="L64" s="99"/>
      <c r="M64" s="8"/>
      <c r="N64" s="8"/>
      <c r="O64" s="8"/>
    </row>
    <row r="65" spans="1:20">
      <c r="A65" s="2561"/>
      <c r="B65" s="2025"/>
      <c r="C65" s="116">
        <v>2017</v>
      </c>
      <c r="D65" s="117"/>
      <c r="E65" s="118"/>
      <c r="F65" s="42"/>
      <c r="G65" s="42"/>
      <c r="H65" s="42"/>
      <c r="I65" s="42"/>
      <c r="J65" s="42"/>
      <c r="K65" s="42"/>
      <c r="L65" s="99"/>
      <c r="M65" s="8"/>
      <c r="N65" s="8"/>
      <c r="O65" s="8"/>
    </row>
    <row r="66" spans="1:20">
      <c r="A66" s="2561"/>
      <c r="B66" s="2025"/>
      <c r="C66" s="116">
        <v>2018</v>
      </c>
      <c r="D66" s="117"/>
      <c r="E66" s="118"/>
      <c r="F66" s="42"/>
      <c r="G66" s="42"/>
      <c r="H66" s="42"/>
      <c r="I66" s="42"/>
      <c r="J66" s="42"/>
      <c r="K66" s="42"/>
      <c r="L66" s="99"/>
      <c r="M66" s="8"/>
      <c r="N66" s="8"/>
      <c r="O66" s="8"/>
    </row>
    <row r="67" spans="1:20" ht="17.25" customHeight="1">
      <c r="A67" s="2561"/>
      <c r="B67" s="2025"/>
      <c r="C67" s="116">
        <v>2019</v>
      </c>
      <c r="D67" s="117"/>
      <c r="E67" s="118"/>
      <c r="F67" s="42"/>
      <c r="G67" s="42"/>
      <c r="H67" s="42"/>
      <c r="I67" s="42"/>
      <c r="J67" s="42"/>
      <c r="K67" s="42"/>
      <c r="L67" s="99"/>
      <c r="M67" s="8"/>
      <c r="N67" s="8"/>
      <c r="O67" s="8"/>
    </row>
    <row r="68" spans="1:20" ht="16.5" customHeight="1">
      <c r="A68" s="2561"/>
      <c r="B68" s="2025"/>
      <c r="C68" s="116">
        <v>2020</v>
      </c>
      <c r="D68" s="117"/>
      <c r="E68" s="118"/>
      <c r="F68" s="42"/>
      <c r="G68" s="42"/>
      <c r="H68" s="42"/>
      <c r="I68" s="42"/>
      <c r="J68" s="42"/>
      <c r="K68" s="42"/>
      <c r="L68" s="99"/>
      <c r="M68" s="121"/>
      <c r="N68" s="121"/>
      <c r="O68" s="121"/>
    </row>
    <row r="69" spans="1:20" ht="18" customHeight="1" thickBot="1">
      <c r="A69" s="2134"/>
      <c r="B69" s="2027"/>
      <c r="C69" s="122" t="s">
        <v>12</v>
      </c>
      <c r="D69" s="123">
        <f>SUM(D62:D68)</f>
        <v>5</v>
      </c>
      <c r="E69" s="124">
        <f>SUM(E62:E68)</f>
        <v>5</v>
      </c>
      <c r="F69" s="125">
        <f t="shared" ref="F69:I69" si="4">SUM(F62:F68)</f>
        <v>0</v>
      </c>
      <c r="G69" s="125">
        <f t="shared" si="4"/>
        <v>0</v>
      </c>
      <c r="H69" s="125">
        <f t="shared" si="4"/>
        <v>0</v>
      </c>
      <c r="I69" s="125">
        <f t="shared" si="4"/>
        <v>0</v>
      </c>
      <c r="J69" s="125"/>
      <c r="K69" s="125">
        <f>SUM(K62:K68)</f>
        <v>0</v>
      </c>
      <c r="L69" s="126">
        <f>SUM(L62:L68)</f>
        <v>0</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1521" t="s">
        <v>42</v>
      </c>
      <c r="B71" s="1522" t="s">
        <v>7</v>
      </c>
      <c r="C71" s="80" t="s">
        <v>8</v>
      </c>
      <c r="D71" s="132" t="s">
        <v>43</v>
      </c>
      <c r="E71" s="132" t="s">
        <v>44</v>
      </c>
      <c r="F71" s="133" t="s">
        <v>45</v>
      </c>
      <c r="G71" s="1532" t="s">
        <v>46</v>
      </c>
      <c r="H71" s="135" t="s">
        <v>13</v>
      </c>
      <c r="I71" s="136" t="s">
        <v>14</v>
      </c>
      <c r="J71" s="137" t="s">
        <v>15</v>
      </c>
      <c r="K71" s="136" t="s">
        <v>16</v>
      </c>
      <c r="L71" s="136" t="s">
        <v>17</v>
      </c>
      <c r="M71" s="138" t="s">
        <v>18</v>
      </c>
      <c r="N71" s="137" t="s">
        <v>19</v>
      </c>
      <c r="O71" s="139" t="s">
        <v>20</v>
      </c>
    </row>
    <row r="72" spans="1:20" ht="15" customHeight="1">
      <c r="A72" s="2563"/>
      <c r="B72" s="2025"/>
      <c r="C72" s="84">
        <v>2014</v>
      </c>
      <c r="D72" s="140"/>
      <c r="E72" s="140"/>
      <c r="F72" s="140"/>
      <c r="G72" s="141">
        <f>SUM(D72:F72)</f>
        <v>0</v>
      </c>
      <c r="H72" s="33"/>
      <c r="I72" s="142"/>
      <c r="J72" s="115"/>
      <c r="K72" s="115"/>
      <c r="L72" s="115"/>
      <c r="M72" s="115"/>
      <c r="N72" s="115"/>
      <c r="O72" s="143"/>
    </row>
    <row r="73" spans="1:20">
      <c r="A73" s="2558"/>
      <c r="B73" s="2025"/>
      <c r="C73" s="86">
        <v>2015</v>
      </c>
      <c r="D73" s="147"/>
      <c r="E73" s="147"/>
      <c r="F73" s="147"/>
      <c r="G73" s="141">
        <f t="shared" ref="G73:G78" si="5">SUM(D73:F73)</f>
        <v>0</v>
      </c>
      <c r="H73" s="50"/>
      <c r="I73" s="50"/>
      <c r="J73" s="42"/>
      <c r="K73" s="42"/>
      <c r="L73" s="42"/>
      <c r="M73" s="42"/>
      <c r="N73" s="42"/>
      <c r="O73" s="99"/>
    </row>
    <row r="74" spans="1:20">
      <c r="A74" s="2558"/>
      <c r="B74" s="2025"/>
      <c r="C74" s="86">
        <v>2016</v>
      </c>
      <c r="D74" s="147"/>
      <c r="E74" s="147"/>
      <c r="F74" s="147"/>
      <c r="G74" s="141">
        <f t="shared" si="5"/>
        <v>0</v>
      </c>
      <c r="H74" s="50"/>
      <c r="I74" s="50"/>
      <c r="J74" s="42"/>
      <c r="K74" s="42"/>
      <c r="L74" s="42"/>
      <c r="M74" s="42"/>
      <c r="N74" s="42"/>
      <c r="O74" s="99"/>
    </row>
    <row r="75" spans="1:20">
      <c r="A75" s="2558"/>
      <c r="B75" s="2025"/>
      <c r="C75" s="86">
        <v>2017</v>
      </c>
      <c r="D75" s="147"/>
      <c r="E75" s="147"/>
      <c r="F75" s="147"/>
      <c r="G75" s="141">
        <f t="shared" si="5"/>
        <v>0</v>
      </c>
      <c r="H75" s="50"/>
      <c r="I75" s="50"/>
      <c r="J75" s="42"/>
      <c r="K75" s="42"/>
      <c r="L75" s="42"/>
      <c r="M75" s="42"/>
      <c r="N75" s="42"/>
      <c r="O75" s="99"/>
    </row>
    <row r="76" spans="1:20">
      <c r="A76" s="2558"/>
      <c r="B76" s="2025"/>
      <c r="C76" s="86">
        <v>2018</v>
      </c>
      <c r="D76" s="147"/>
      <c r="E76" s="147"/>
      <c r="F76" s="147"/>
      <c r="G76" s="141">
        <f t="shared" si="5"/>
        <v>0</v>
      </c>
      <c r="H76" s="50"/>
      <c r="I76" s="50"/>
      <c r="J76" s="42"/>
      <c r="K76" s="42"/>
      <c r="L76" s="42"/>
      <c r="M76" s="42"/>
      <c r="N76" s="42"/>
      <c r="O76" s="99"/>
    </row>
    <row r="77" spans="1:20" ht="15.75" customHeight="1">
      <c r="A77" s="2558"/>
      <c r="B77" s="2025"/>
      <c r="C77" s="86">
        <v>2019</v>
      </c>
      <c r="D77" s="147"/>
      <c r="E77" s="147"/>
      <c r="F77" s="147"/>
      <c r="G77" s="141">
        <f t="shared" si="5"/>
        <v>0</v>
      </c>
      <c r="H77" s="50"/>
      <c r="I77" s="50"/>
      <c r="J77" s="42"/>
      <c r="K77" s="42"/>
      <c r="L77" s="42"/>
      <c r="M77" s="42"/>
      <c r="N77" s="42"/>
      <c r="O77" s="99"/>
    </row>
    <row r="78" spans="1:20" ht="17.25" customHeight="1">
      <c r="A78" s="2558"/>
      <c r="B78" s="2025"/>
      <c r="C78" s="86">
        <v>2020</v>
      </c>
      <c r="D78" s="147"/>
      <c r="E78" s="147"/>
      <c r="F78" s="147"/>
      <c r="G78" s="141">
        <f t="shared" si="5"/>
        <v>0</v>
      </c>
      <c r="H78" s="50"/>
      <c r="I78" s="50"/>
      <c r="J78" s="42"/>
      <c r="K78" s="42"/>
      <c r="L78" s="42"/>
      <c r="M78" s="42"/>
      <c r="N78" s="42"/>
      <c r="O78" s="99"/>
    </row>
    <row r="79" spans="1:20" ht="20.25" customHeight="1" thickBot="1">
      <c r="A79" s="2134"/>
      <c r="B79" s="2027"/>
      <c r="C79" s="148" t="s">
        <v>12</v>
      </c>
      <c r="D79" s="123">
        <f>SUM(D72:D78)</f>
        <v>0</v>
      </c>
      <c r="E79" s="123">
        <f>SUM(E72:E78)</f>
        <v>0</v>
      </c>
      <c r="F79" s="123">
        <f>SUM(F72:F78)</f>
        <v>0</v>
      </c>
      <c r="G79" s="149">
        <f>SUM(G72:G78)</f>
        <v>0</v>
      </c>
      <c r="H79" s="150">
        <v>0</v>
      </c>
      <c r="I79" s="151">
        <f t="shared" ref="I79:O79" si="6">SUM(I72:I78)</f>
        <v>0</v>
      </c>
      <c r="J79" s="125">
        <f t="shared" si="6"/>
        <v>0</v>
      </c>
      <c r="K79" s="125">
        <f t="shared" si="6"/>
        <v>0</v>
      </c>
      <c r="L79" s="125">
        <f t="shared" si="6"/>
        <v>0</v>
      </c>
      <c r="M79" s="125">
        <f t="shared" si="6"/>
        <v>0</v>
      </c>
      <c r="N79" s="125">
        <f t="shared" si="6"/>
        <v>0</v>
      </c>
      <c r="O79" s="126">
        <f t="shared" si="6"/>
        <v>0</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1536" t="s">
        <v>49</v>
      </c>
      <c r="B84" s="1537" t="s">
        <v>50</v>
      </c>
      <c r="C84" s="161" t="s">
        <v>8</v>
      </c>
      <c r="D84" s="1538" t="s">
        <v>51</v>
      </c>
      <c r="E84" s="163" t="s">
        <v>52</v>
      </c>
      <c r="F84" s="164" t="s">
        <v>53</v>
      </c>
      <c r="G84" s="164" t="s">
        <v>54</v>
      </c>
      <c r="H84" s="164" t="s">
        <v>55</v>
      </c>
      <c r="I84" s="164" t="s">
        <v>56</v>
      </c>
      <c r="J84" s="164" t="s">
        <v>57</v>
      </c>
      <c r="K84" s="165" t="s">
        <v>58</v>
      </c>
    </row>
    <row r="85" spans="1:16" ht="15" customHeight="1">
      <c r="A85" s="2564"/>
      <c r="B85" s="2025"/>
      <c r="C85" s="84">
        <v>2014</v>
      </c>
      <c r="D85" s="166"/>
      <c r="E85" s="167"/>
      <c r="F85" s="34"/>
      <c r="G85" s="34"/>
      <c r="H85" s="34"/>
      <c r="I85" s="34"/>
      <c r="J85" s="34"/>
      <c r="K85" s="37"/>
    </row>
    <row r="86" spans="1:16">
      <c r="A86" s="2565"/>
      <c r="B86" s="2025"/>
      <c r="C86" s="86">
        <v>2015</v>
      </c>
      <c r="D86" s="168"/>
      <c r="E86" s="118"/>
      <c r="F86" s="42"/>
      <c r="G86" s="42"/>
      <c r="H86" s="42"/>
      <c r="I86" s="42"/>
      <c r="J86" s="42"/>
      <c r="K86" s="99"/>
    </row>
    <row r="87" spans="1:16">
      <c r="A87" s="2565"/>
      <c r="B87" s="2025"/>
      <c r="C87" s="86">
        <v>2016</v>
      </c>
      <c r="D87" s="168"/>
      <c r="E87" s="118"/>
      <c r="F87" s="42"/>
      <c r="G87" s="42"/>
      <c r="H87" s="42"/>
      <c r="I87" s="42"/>
      <c r="J87" s="42"/>
      <c r="K87" s="99"/>
    </row>
    <row r="88" spans="1:16">
      <c r="A88" s="2565"/>
      <c r="B88" s="2025"/>
      <c r="C88" s="86">
        <v>2017</v>
      </c>
      <c r="D88" s="168"/>
      <c r="E88" s="118"/>
      <c r="F88" s="42"/>
      <c r="G88" s="42"/>
      <c r="H88" s="42"/>
      <c r="I88" s="42"/>
      <c r="J88" s="42"/>
      <c r="K88" s="99"/>
    </row>
    <row r="89" spans="1:16">
      <c r="A89" s="2565"/>
      <c r="B89" s="2025"/>
      <c r="C89" s="86">
        <v>2018</v>
      </c>
      <c r="D89" s="168"/>
      <c r="E89" s="118"/>
      <c r="F89" s="42"/>
      <c r="G89" s="42"/>
      <c r="H89" s="42"/>
      <c r="I89" s="42"/>
      <c r="J89" s="42"/>
      <c r="K89" s="99"/>
    </row>
    <row r="90" spans="1:16">
      <c r="A90" s="2565"/>
      <c r="B90" s="2025"/>
      <c r="C90" s="86">
        <v>2019</v>
      </c>
      <c r="D90" s="168"/>
      <c r="E90" s="118"/>
      <c r="F90" s="42"/>
      <c r="G90" s="42"/>
      <c r="H90" s="42"/>
      <c r="I90" s="42"/>
      <c r="J90" s="42"/>
      <c r="K90" s="99"/>
    </row>
    <row r="91" spans="1:16">
      <c r="A91" s="2565"/>
      <c r="B91" s="2025"/>
      <c r="C91" s="86">
        <v>2020</v>
      </c>
      <c r="D91" s="168"/>
      <c r="E91" s="118"/>
      <c r="F91" s="42"/>
      <c r="G91" s="42"/>
      <c r="H91" s="42"/>
      <c r="I91" s="42"/>
      <c r="J91" s="42"/>
      <c r="K91" s="99"/>
    </row>
    <row r="92" spans="1:16" ht="18" customHeight="1" thickBot="1">
      <c r="A92" s="2073"/>
      <c r="B92" s="2027"/>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804" t="s">
        <v>60</v>
      </c>
      <c r="B96" s="2806" t="s">
        <v>481</v>
      </c>
      <c r="C96" s="2814" t="s">
        <v>8</v>
      </c>
      <c r="D96" s="2812" t="s">
        <v>62</v>
      </c>
      <c r="E96" s="2813"/>
      <c r="F96" s="1610" t="s">
        <v>63</v>
      </c>
      <c r="G96" s="1611"/>
      <c r="H96" s="1611"/>
      <c r="I96" s="1611"/>
      <c r="J96" s="1611"/>
      <c r="K96" s="1611"/>
      <c r="L96" s="1611"/>
      <c r="M96" s="1612"/>
      <c r="N96" s="177"/>
      <c r="O96" s="177"/>
      <c r="P96" s="177"/>
    </row>
    <row r="97" spans="1:16" ht="100.5" customHeight="1">
      <c r="A97" s="2805"/>
      <c r="B97" s="2807"/>
      <c r="C97" s="2815"/>
      <c r="D97" s="1613" t="s">
        <v>64</v>
      </c>
      <c r="E97" s="1614" t="s">
        <v>65</v>
      </c>
      <c r="F97" s="1615" t="s">
        <v>13</v>
      </c>
      <c r="G97" s="1616" t="s">
        <v>66</v>
      </c>
      <c r="H97" s="1616" t="s">
        <v>54</v>
      </c>
      <c r="I97" s="1617" t="s">
        <v>55</v>
      </c>
      <c r="J97" s="1617" t="s">
        <v>56</v>
      </c>
      <c r="K97" s="1618" t="s">
        <v>67</v>
      </c>
      <c r="L97" s="1616" t="s">
        <v>57</v>
      </c>
      <c r="M97" s="1619" t="s">
        <v>58</v>
      </c>
      <c r="N97" s="177"/>
      <c r="O97" s="177"/>
      <c r="P97" s="177"/>
    </row>
    <row r="98" spans="1:16" ht="17.25" customHeight="1">
      <c r="A98" s="2560"/>
      <c r="B98" s="2025"/>
      <c r="C98" s="112">
        <v>2014</v>
      </c>
      <c r="D98" s="33"/>
      <c r="E98" s="34"/>
      <c r="F98" s="186"/>
      <c r="G98" s="187"/>
      <c r="H98" s="187"/>
      <c r="I98" s="187"/>
      <c r="J98" s="187"/>
      <c r="K98" s="187"/>
      <c r="L98" s="187"/>
      <c r="M98" s="188"/>
      <c r="N98" s="177"/>
      <c r="O98" s="177"/>
      <c r="P98" s="177"/>
    </row>
    <row r="99" spans="1:16" ht="16.5" customHeight="1">
      <c r="A99" s="2561"/>
      <c r="B99" s="2025"/>
      <c r="C99" s="116">
        <v>2015</v>
      </c>
      <c r="D99" s="50"/>
      <c r="E99" s="42"/>
      <c r="F99" s="189"/>
      <c r="G99" s="190"/>
      <c r="H99" s="190"/>
      <c r="I99" s="190"/>
      <c r="J99" s="190"/>
      <c r="K99" s="190"/>
      <c r="L99" s="190"/>
      <c r="M99" s="193"/>
      <c r="N99" s="177"/>
      <c r="O99" s="177"/>
      <c r="P99" s="177"/>
    </row>
    <row r="100" spans="1:16" ht="16.5" customHeight="1">
      <c r="A100" s="2561"/>
      <c r="B100" s="2025"/>
      <c r="C100" s="116">
        <v>2016</v>
      </c>
      <c r="D100" s="50"/>
      <c r="E100" s="42"/>
      <c r="F100" s="189"/>
      <c r="G100" s="190"/>
      <c r="H100" s="190"/>
      <c r="I100" s="190"/>
      <c r="J100" s="190"/>
      <c r="K100" s="190"/>
      <c r="L100" s="190"/>
      <c r="M100" s="193"/>
      <c r="N100" s="177"/>
      <c r="O100" s="177"/>
      <c r="P100" s="177"/>
    </row>
    <row r="101" spans="1:16" ht="16.5" customHeight="1">
      <c r="A101" s="2561"/>
      <c r="B101" s="2025"/>
      <c r="C101" s="116">
        <v>2017</v>
      </c>
      <c r="D101" s="50"/>
      <c r="E101" s="42"/>
      <c r="F101" s="189"/>
      <c r="G101" s="190"/>
      <c r="H101" s="190"/>
      <c r="I101" s="190"/>
      <c r="J101" s="190"/>
      <c r="K101" s="190"/>
      <c r="L101" s="190"/>
      <c r="M101" s="193"/>
      <c r="N101" s="177"/>
      <c r="O101" s="177"/>
      <c r="P101" s="177"/>
    </row>
    <row r="102" spans="1:16" ht="15.75" customHeight="1">
      <c r="A102" s="2561"/>
      <c r="B102" s="2025"/>
      <c r="C102" s="116">
        <v>2018</v>
      </c>
      <c r="D102" s="50"/>
      <c r="E102" s="42"/>
      <c r="F102" s="189"/>
      <c r="G102" s="190"/>
      <c r="H102" s="190"/>
      <c r="I102" s="190"/>
      <c r="J102" s="190"/>
      <c r="K102" s="190"/>
      <c r="L102" s="190"/>
      <c r="M102" s="193"/>
      <c r="N102" s="177"/>
      <c r="O102" s="177"/>
      <c r="P102" s="177"/>
    </row>
    <row r="103" spans="1:16" ht="14.25" customHeight="1">
      <c r="A103" s="2561"/>
      <c r="B103" s="2025"/>
      <c r="C103" s="116">
        <v>2019</v>
      </c>
      <c r="D103" s="50"/>
      <c r="E103" s="42"/>
      <c r="F103" s="189"/>
      <c r="G103" s="190"/>
      <c r="H103" s="190"/>
      <c r="I103" s="190"/>
      <c r="J103" s="190"/>
      <c r="K103" s="190"/>
      <c r="L103" s="190"/>
      <c r="M103" s="193"/>
      <c r="N103" s="177"/>
      <c r="O103" s="177"/>
      <c r="P103" s="177"/>
    </row>
    <row r="104" spans="1:16" ht="14.25" customHeight="1">
      <c r="A104" s="2561"/>
      <c r="B104" s="2025"/>
      <c r="C104" s="116">
        <v>2020</v>
      </c>
      <c r="D104" s="50"/>
      <c r="E104" s="42"/>
      <c r="F104" s="189"/>
      <c r="G104" s="190"/>
      <c r="H104" s="190"/>
      <c r="I104" s="190"/>
      <c r="J104" s="190"/>
      <c r="K104" s="190"/>
      <c r="L104" s="190"/>
      <c r="M104" s="193"/>
      <c r="N104" s="177"/>
      <c r="O104" s="177"/>
      <c r="P104" s="177"/>
    </row>
    <row r="105" spans="1:16" ht="19.5" customHeight="1" thickBot="1">
      <c r="A105" s="2046"/>
      <c r="B105" s="2027"/>
      <c r="C105" s="122" t="s">
        <v>12</v>
      </c>
      <c r="D105" s="151">
        <f>SUM(D98:D104)</f>
        <v>0</v>
      </c>
      <c r="E105" s="125">
        <f t="shared" ref="E105:K105" si="8">SUM(E98:E104)</f>
        <v>0</v>
      </c>
      <c r="F105" s="194">
        <f t="shared" si="8"/>
        <v>0</v>
      </c>
      <c r="G105" s="195">
        <f t="shared" si="8"/>
        <v>0</v>
      </c>
      <c r="H105" s="195">
        <f t="shared" si="8"/>
        <v>0</v>
      </c>
      <c r="I105" s="195">
        <f>SUM(I98:I104)</f>
        <v>0</v>
      </c>
      <c r="J105" s="195">
        <f t="shared" si="8"/>
        <v>0</v>
      </c>
      <c r="K105" s="195">
        <f t="shared" si="8"/>
        <v>0</v>
      </c>
      <c r="L105" s="195">
        <f>SUM(L98:L104)</f>
        <v>0</v>
      </c>
      <c r="M105" s="196">
        <f>SUM(M98:M104)</f>
        <v>0</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737" t="s">
        <v>69</v>
      </c>
      <c r="B107" s="2738" t="s">
        <v>61</v>
      </c>
      <c r="C107" s="2734" t="s">
        <v>8</v>
      </c>
      <c r="D107" s="2670" t="s">
        <v>70</v>
      </c>
      <c r="E107" s="1539" t="s">
        <v>71</v>
      </c>
      <c r="F107" s="1484"/>
      <c r="G107" s="1484"/>
      <c r="H107" s="1484"/>
      <c r="I107" s="1484"/>
      <c r="J107" s="1484"/>
      <c r="K107" s="1484"/>
      <c r="L107" s="1540"/>
      <c r="M107" s="199"/>
      <c r="N107" s="199"/>
    </row>
    <row r="108" spans="1:16" ht="103.5" customHeight="1">
      <c r="A108" s="2765"/>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560" t="s">
        <v>482</v>
      </c>
      <c r="B109" s="2025"/>
      <c r="C109" s="112">
        <v>2014</v>
      </c>
      <c r="D109" s="34"/>
      <c r="E109" s="186"/>
      <c r="F109" s="187"/>
      <c r="G109" s="187"/>
      <c r="H109" s="187"/>
      <c r="I109" s="187"/>
      <c r="J109" s="187"/>
      <c r="K109" s="187"/>
      <c r="L109" s="188"/>
      <c r="M109" s="199"/>
      <c r="N109" s="199"/>
    </row>
    <row r="110" spans="1:16">
      <c r="A110" s="2561"/>
      <c r="B110" s="2025"/>
      <c r="C110" s="116">
        <v>2015</v>
      </c>
      <c r="D110" s="573">
        <v>5</v>
      </c>
      <c r="E110" s="189"/>
      <c r="F110" s="190"/>
      <c r="G110" s="190"/>
      <c r="H110" s="190"/>
      <c r="I110" s="190"/>
      <c r="J110" s="190"/>
      <c r="K110" s="190"/>
      <c r="L110" s="192">
        <v>5</v>
      </c>
      <c r="M110" s="199"/>
      <c r="N110" s="199"/>
    </row>
    <row r="111" spans="1:16">
      <c r="A111" s="2561"/>
      <c r="B111" s="2025"/>
      <c r="C111" s="116">
        <v>2016</v>
      </c>
      <c r="D111" s="573">
        <v>3</v>
      </c>
      <c r="E111" s="189"/>
      <c r="F111" s="190"/>
      <c r="G111" s="190"/>
      <c r="H111" s="190"/>
      <c r="I111" s="190"/>
      <c r="J111" s="190"/>
      <c r="K111" s="190"/>
      <c r="L111" s="193">
        <f>D111</f>
        <v>3</v>
      </c>
      <c r="M111" s="199"/>
      <c r="N111" s="199"/>
    </row>
    <row r="112" spans="1:16">
      <c r="A112" s="2561"/>
      <c r="B112" s="2025"/>
      <c r="C112" s="116">
        <v>2017</v>
      </c>
      <c r="D112" s="42"/>
      <c r="E112" s="189"/>
      <c r="F112" s="190"/>
      <c r="G112" s="190"/>
      <c r="H112" s="190"/>
      <c r="I112" s="190"/>
      <c r="J112" s="190"/>
      <c r="K112" s="190"/>
      <c r="L112" s="193"/>
      <c r="M112" s="199"/>
      <c r="N112" s="199"/>
    </row>
    <row r="113" spans="1:14">
      <c r="A113" s="2561"/>
      <c r="B113" s="2025"/>
      <c r="C113" s="116">
        <v>2018</v>
      </c>
      <c r="D113" s="42"/>
      <c r="E113" s="189"/>
      <c r="F113" s="190"/>
      <c r="G113" s="190"/>
      <c r="H113" s="190"/>
      <c r="I113" s="190"/>
      <c r="J113" s="190"/>
      <c r="K113" s="190"/>
      <c r="L113" s="193"/>
      <c r="M113" s="199"/>
      <c r="N113" s="199"/>
    </row>
    <row r="114" spans="1:14">
      <c r="A114" s="2561"/>
      <c r="B114" s="2025"/>
      <c r="C114" s="116">
        <v>2019</v>
      </c>
      <c r="D114" s="42"/>
      <c r="E114" s="189"/>
      <c r="F114" s="190"/>
      <c r="G114" s="190"/>
      <c r="H114" s="190"/>
      <c r="I114" s="190"/>
      <c r="J114" s="190"/>
      <c r="K114" s="190"/>
      <c r="L114" s="193"/>
      <c r="M114" s="199"/>
      <c r="N114" s="199"/>
    </row>
    <row r="115" spans="1:14">
      <c r="A115" s="2561"/>
      <c r="B115" s="2025"/>
      <c r="C115" s="116">
        <v>2020</v>
      </c>
      <c r="D115" s="42"/>
      <c r="E115" s="189"/>
      <c r="F115" s="190"/>
      <c r="G115" s="190"/>
      <c r="H115" s="190"/>
      <c r="I115" s="190"/>
      <c r="J115" s="190"/>
      <c r="K115" s="190"/>
      <c r="L115" s="193"/>
      <c r="M115" s="199"/>
      <c r="N115" s="199"/>
    </row>
    <row r="116" spans="1:14" ht="92.25" customHeight="1" thickBot="1">
      <c r="A116" s="2046"/>
      <c r="B116" s="2027"/>
      <c r="C116" s="122" t="s">
        <v>12</v>
      </c>
      <c r="D116" s="125">
        <f t="shared" ref="D116:I116" si="9">SUM(D109:D115)</f>
        <v>8</v>
      </c>
      <c r="E116" s="194">
        <f t="shared" si="9"/>
        <v>0</v>
      </c>
      <c r="F116" s="195">
        <f t="shared" si="9"/>
        <v>0</v>
      </c>
      <c r="G116" s="195">
        <f t="shared" si="9"/>
        <v>0</v>
      </c>
      <c r="H116" s="195">
        <f t="shared" si="9"/>
        <v>0</v>
      </c>
      <c r="I116" s="195">
        <f t="shared" si="9"/>
        <v>0</v>
      </c>
      <c r="J116" s="195"/>
      <c r="K116" s="195">
        <f>SUM(K109:K115)</f>
        <v>0</v>
      </c>
      <c r="L116" s="196">
        <f>SUM(L109:L115)</f>
        <v>8</v>
      </c>
      <c r="M116" s="199"/>
      <c r="N116" s="199"/>
    </row>
    <row r="117" spans="1:14" ht="10.5" hidden="1" customHeight="1">
      <c r="A117" s="200"/>
      <c r="B117" s="201"/>
      <c r="C117" s="77"/>
      <c r="D117" s="77"/>
      <c r="E117" s="77"/>
      <c r="F117" s="77"/>
      <c r="G117" s="77"/>
      <c r="H117" s="77"/>
      <c r="I117" s="77"/>
      <c r="J117" s="77"/>
      <c r="K117" s="77"/>
      <c r="L117" s="77"/>
      <c r="M117" s="199"/>
      <c r="N117" s="199"/>
    </row>
    <row r="118" spans="1:14" ht="33" customHeight="1">
      <c r="A118" s="2737" t="s">
        <v>72</v>
      </c>
      <c r="B118" s="2738" t="s">
        <v>61</v>
      </c>
      <c r="C118" s="2734" t="s">
        <v>8</v>
      </c>
      <c r="D118" s="2670" t="s">
        <v>73</v>
      </c>
      <c r="E118" s="1539" t="s">
        <v>71</v>
      </c>
      <c r="F118" s="1484"/>
      <c r="G118" s="1484"/>
      <c r="H118" s="1484"/>
      <c r="I118" s="1484"/>
      <c r="J118" s="1484"/>
      <c r="K118" s="1484"/>
      <c r="L118" s="1540"/>
      <c r="M118" s="199"/>
      <c r="N118" s="199"/>
    </row>
    <row r="119" spans="1:14" ht="86.25" customHeight="1">
      <c r="A119" s="2765"/>
      <c r="B119" s="2043"/>
      <c r="C119" s="2056"/>
      <c r="D119" s="2058"/>
      <c r="E119" s="1620" t="s">
        <v>13</v>
      </c>
      <c r="F119" s="181" t="s">
        <v>66</v>
      </c>
      <c r="G119" s="182" t="s">
        <v>54</v>
      </c>
      <c r="H119" s="183" t="s">
        <v>55</v>
      </c>
      <c r="I119" s="183" t="s">
        <v>56</v>
      </c>
      <c r="J119" s="184" t="s">
        <v>67</v>
      </c>
      <c r="K119" s="182" t="s">
        <v>57</v>
      </c>
      <c r="L119" s="185" t="s">
        <v>58</v>
      </c>
      <c r="M119" s="199"/>
      <c r="N119" s="199"/>
    </row>
    <row r="120" spans="1:14">
      <c r="A120" s="2808" t="s">
        <v>483</v>
      </c>
      <c r="B120" s="2809"/>
      <c r="C120" s="112">
        <v>2014</v>
      </c>
      <c r="D120" s="34"/>
      <c r="E120" s="186"/>
      <c r="F120" s="187"/>
      <c r="G120" s="187"/>
      <c r="H120" s="187"/>
      <c r="I120" s="187"/>
      <c r="J120" s="187"/>
      <c r="K120" s="187"/>
      <c r="L120" s="188"/>
      <c r="M120" s="199"/>
      <c r="N120" s="199"/>
    </row>
    <row r="121" spans="1:14">
      <c r="A121" s="2808"/>
      <c r="B121" s="2809"/>
      <c r="C121" s="116">
        <v>2015</v>
      </c>
      <c r="D121" s="46">
        <f>2</f>
        <v>2</v>
      </c>
      <c r="E121" s="1621"/>
      <c r="F121" s="190"/>
      <c r="G121" s="190"/>
      <c r="H121" s="190"/>
      <c r="I121" s="190"/>
      <c r="J121" s="190"/>
      <c r="K121" s="190"/>
      <c r="L121" s="193"/>
      <c r="M121" s="199"/>
      <c r="N121" s="199"/>
    </row>
    <row r="122" spans="1:14">
      <c r="A122" s="2808"/>
      <c r="B122" s="2809"/>
      <c r="C122" s="116">
        <v>2016</v>
      </c>
      <c r="D122" s="46">
        <f>2</f>
        <v>2</v>
      </c>
      <c r="E122" s="1621"/>
      <c r="F122" s="190">
        <f>2+3</f>
        <v>5</v>
      </c>
      <c r="G122" s="190"/>
      <c r="H122" s="190"/>
      <c r="I122" s="190"/>
      <c r="J122" s="190"/>
      <c r="K122" s="190"/>
      <c r="L122" s="193"/>
      <c r="M122" s="199"/>
      <c r="N122" s="199"/>
    </row>
    <row r="123" spans="1:14">
      <c r="A123" s="2808"/>
      <c r="B123" s="2809"/>
      <c r="C123" s="116">
        <v>2017</v>
      </c>
      <c r="D123" s="573"/>
      <c r="E123" s="189"/>
      <c r="F123" s="190"/>
      <c r="G123" s="190"/>
      <c r="H123" s="190"/>
      <c r="I123" s="190"/>
      <c r="J123" s="190"/>
      <c r="K123" s="190"/>
      <c r="L123" s="193"/>
      <c r="M123" s="199"/>
      <c r="N123" s="199"/>
    </row>
    <row r="124" spans="1:14">
      <c r="A124" s="2808"/>
      <c r="B124" s="2809"/>
      <c r="C124" s="116">
        <v>2018</v>
      </c>
      <c r="D124" s="42"/>
      <c r="E124" s="189"/>
      <c r="F124" s="190"/>
      <c r="G124" s="190"/>
      <c r="H124" s="190"/>
      <c r="I124" s="190"/>
      <c r="J124" s="190"/>
      <c r="K124" s="190"/>
      <c r="L124" s="193"/>
      <c r="M124" s="199"/>
      <c r="N124" s="199"/>
    </row>
    <row r="125" spans="1:14">
      <c r="A125" s="2808"/>
      <c r="B125" s="2809"/>
      <c r="C125" s="116">
        <v>2019</v>
      </c>
      <c r="D125" s="42"/>
      <c r="E125" s="189"/>
      <c r="F125" s="190"/>
      <c r="G125" s="190"/>
      <c r="H125" s="190"/>
      <c r="I125" s="190"/>
      <c r="J125" s="190"/>
      <c r="K125" s="190"/>
      <c r="L125" s="193"/>
      <c r="M125" s="199"/>
      <c r="N125" s="199"/>
    </row>
    <row r="126" spans="1:14">
      <c r="A126" s="2808"/>
      <c r="B126" s="2809"/>
      <c r="C126" s="116">
        <v>2020</v>
      </c>
      <c r="D126" s="42"/>
      <c r="E126" s="189"/>
      <c r="F126" s="190"/>
      <c r="G126" s="190"/>
      <c r="H126" s="190"/>
      <c r="I126" s="190"/>
      <c r="J126" s="190"/>
      <c r="K126" s="190"/>
      <c r="L126" s="193"/>
      <c r="M126" s="199"/>
      <c r="N126" s="199"/>
    </row>
    <row r="127" spans="1:14" ht="45.75" customHeight="1" thickBot="1">
      <c r="A127" s="2810"/>
      <c r="B127" s="2811"/>
      <c r="C127" s="122" t="s">
        <v>12</v>
      </c>
      <c r="D127" s="125">
        <f t="shared" ref="D127:I127" si="10">SUM(D120:D126)</f>
        <v>4</v>
      </c>
      <c r="E127" s="194">
        <f t="shared" si="10"/>
        <v>0</v>
      </c>
      <c r="F127" s="195">
        <f t="shared" si="10"/>
        <v>5</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737" t="s">
        <v>74</v>
      </c>
      <c r="B129" s="2738" t="s">
        <v>61</v>
      </c>
      <c r="C129" s="1541" t="s">
        <v>8</v>
      </c>
      <c r="D129" s="1542" t="s">
        <v>75</v>
      </c>
      <c r="E129" s="1486"/>
      <c r="F129" s="1486"/>
      <c r="G129" s="1543"/>
      <c r="H129" s="199"/>
      <c r="I129" s="199"/>
      <c r="J129" s="199"/>
      <c r="K129" s="199"/>
      <c r="L129" s="199"/>
      <c r="M129" s="199"/>
      <c r="N129" s="199"/>
    </row>
    <row r="130" spans="1:16" ht="111.75" customHeight="1">
      <c r="A130" s="2765"/>
      <c r="B130" s="2043"/>
      <c r="C130" s="1472"/>
      <c r="D130" s="178" t="s">
        <v>76</v>
      </c>
      <c r="E130" s="207" t="s">
        <v>77</v>
      </c>
      <c r="F130" s="179" t="s">
        <v>78</v>
      </c>
      <c r="G130" s="208" t="s">
        <v>12</v>
      </c>
      <c r="H130" s="199"/>
      <c r="I130" s="199"/>
      <c r="J130" s="199"/>
      <c r="K130" s="199"/>
      <c r="L130" s="199"/>
      <c r="M130" s="199"/>
      <c r="N130" s="199"/>
    </row>
    <row r="131" spans="1:16">
      <c r="A131" s="2816" t="s">
        <v>484</v>
      </c>
      <c r="B131" s="2817"/>
      <c r="C131" s="340">
        <v>2015</v>
      </c>
      <c r="D131" s="557"/>
      <c r="E131" s="46">
        <v>10</v>
      </c>
      <c r="F131" s="46">
        <v>4</v>
      </c>
      <c r="G131" s="209">
        <f t="shared" ref="G131:G136" si="11">SUM(D131:F131)</f>
        <v>14</v>
      </c>
      <c r="H131" s="199"/>
      <c r="I131" s="199"/>
      <c r="J131" s="199"/>
      <c r="K131" s="199"/>
      <c r="L131" s="199"/>
      <c r="M131" s="199"/>
      <c r="N131" s="199"/>
    </row>
    <row r="132" spans="1:16">
      <c r="A132" s="2816"/>
      <c r="B132" s="2817"/>
      <c r="C132" s="116">
        <v>2016</v>
      </c>
      <c r="D132" s="50"/>
      <c r="E132" s="46">
        <f>8+3+2</f>
        <v>13</v>
      </c>
      <c r="F132" s="46">
        <v>14</v>
      </c>
      <c r="G132" s="209">
        <f t="shared" si="11"/>
        <v>27</v>
      </c>
      <c r="H132" s="199"/>
      <c r="I132" s="199"/>
      <c r="J132" s="199"/>
      <c r="K132" s="199"/>
      <c r="L132" s="199"/>
      <c r="M132" s="199"/>
      <c r="N132" s="199"/>
    </row>
    <row r="133" spans="1:16">
      <c r="A133" s="2816"/>
      <c r="B133" s="2817"/>
      <c r="C133" s="116">
        <v>2017</v>
      </c>
      <c r="D133" s="50"/>
      <c r="E133" s="41"/>
      <c r="F133" s="42"/>
      <c r="G133" s="209">
        <f t="shared" si="11"/>
        <v>0</v>
      </c>
      <c r="H133" s="199"/>
      <c r="I133" s="199"/>
      <c r="J133" s="199"/>
      <c r="K133" s="199"/>
      <c r="L133" s="199"/>
      <c r="M133" s="199"/>
      <c r="N133" s="199"/>
    </row>
    <row r="134" spans="1:16">
      <c r="A134" s="2816"/>
      <c r="B134" s="2817"/>
      <c r="C134" s="116">
        <v>2018</v>
      </c>
      <c r="D134" s="50"/>
      <c r="E134" s="41"/>
      <c r="F134" s="42"/>
      <c r="G134" s="209">
        <f t="shared" si="11"/>
        <v>0</v>
      </c>
      <c r="H134" s="199"/>
      <c r="I134" s="199"/>
      <c r="J134" s="199"/>
      <c r="K134" s="199"/>
      <c r="L134" s="199"/>
      <c r="M134" s="199"/>
      <c r="N134" s="199"/>
    </row>
    <row r="135" spans="1:16">
      <c r="A135" s="2816"/>
      <c r="B135" s="2817"/>
      <c r="C135" s="116">
        <v>2019</v>
      </c>
      <c r="D135" s="50"/>
      <c r="E135" s="41"/>
      <c r="F135" s="42"/>
      <c r="G135" s="209">
        <f t="shared" si="11"/>
        <v>0</v>
      </c>
      <c r="H135" s="199"/>
      <c r="I135" s="199"/>
      <c r="J135" s="199"/>
      <c r="K135" s="199"/>
      <c r="L135" s="199"/>
      <c r="M135" s="199"/>
      <c r="N135" s="199"/>
    </row>
    <row r="136" spans="1:16">
      <c r="A136" s="2816"/>
      <c r="B136" s="2817"/>
      <c r="C136" s="116">
        <v>2020</v>
      </c>
      <c r="D136" s="50"/>
      <c r="E136" s="41"/>
      <c r="F136" s="42"/>
      <c r="G136" s="209">
        <f t="shared" si="11"/>
        <v>0</v>
      </c>
      <c r="H136" s="199"/>
      <c r="I136" s="199"/>
      <c r="J136" s="199"/>
      <c r="K136" s="199"/>
      <c r="L136" s="199"/>
      <c r="M136" s="199"/>
      <c r="N136" s="199"/>
    </row>
    <row r="137" spans="1:16" ht="134.25" customHeight="1" thickBot="1">
      <c r="A137" s="2818"/>
      <c r="B137" s="2819"/>
      <c r="C137" s="122" t="s">
        <v>12</v>
      </c>
      <c r="D137" s="151">
        <f>SUM(D131:D136)</f>
        <v>0</v>
      </c>
      <c r="E137" s="151">
        <f t="shared" ref="E137:F137" si="12">SUM(E131:E136)</f>
        <v>23</v>
      </c>
      <c r="F137" s="151">
        <f t="shared" si="12"/>
        <v>18</v>
      </c>
      <c r="G137" s="210">
        <f>SUM(G131:G136)</f>
        <v>41</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739" t="s">
        <v>80</v>
      </c>
      <c r="B142" s="2740" t="s">
        <v>61</v>
      </c>
      <c r="C142" s="2746" t="s">
        <v>8</v>
      </c>
      <c r="D142" s="1544" t="s">
        <v>81</v>
      </c>
      <c r="E142" s="1545"/>
      <c r="F142" s="1545"/>
      <c r="G142" s="1545"/>
      <c r="H142" s="1545"/>
      <c r="I142" s="1546"/>
      <c r="J142" s="2741" t="s">
        <v>82</v>
      </c>
      <c r="K142" s="2742"/>
      <c r="L142" s="2742"/>
      <c r="M142" s="2742"/>
      <c r="N142" s="2743"/>
      <c r="O142" s="177"/>
      <c r="P142" s="177"/>
    </row>
    <row r="143" spans="1:16" ht="113.25" customHeight="1">
      <c r="A143" s="2766"/>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560"/>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561"/>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561"/>
      <c r="B146" s="2025"/>
      <c r="C146" s="116">
        <v>2016</v>
      </c>
      <c r="D146" s="50"/>
      <c r="E146" s="50"/>
      <c r="F146" s="42"/>
      <c r="G146" s="190"/>
      <c r="H146" s="190"/>
      <c r="I146" s="227">
        <f t="shared" si="13"/>
        <v>0</v>
      </c>
      <c r="J146" s="231"/>
      <c r="K146" s="232"/>
      <c r="L146" s="231"/>
      <c r="M146" s="232"/>
      <c r="N146" s="233"/>
      <c r="O146" s="177"/>
      <c r="P146" s="177"/>
    </row>
    <row r="147" spans="1:16" ht="17.25" customHeight="1">
      <c r="A147" s="2561"/>
      <c r="B147" s="2025"/>
      <c r="C147" s="116">
        <v>2017</v>
      </c>
      <c r="D147" s="50"/>
      <c r="E147" s="50"/>
      <c r="F147" s="42"/>
      <c r="G147" s="190"/>
      <c r="H147" s="190"/>
      <c r="I147" s="227">
        <f t="shared" si="13"/>
        <v>0</v>
      </c>
      <c r="J147" s="231"/>
      <c r="K147" s="232"/>
      <c r="L147" s="231"/>
      <c r="M147" s="232"/>
      <c r="N147" s="233"/>
      <c r="O147" s="177"/>
      <c r="P147" s="177"/>
    </row>
    <row r="148" spans="1:16" ht="19.5" customHeight="1">
      <c r="A148" s="2561"/>
      <c r="B148" s="2025"/>
      <c r="C148" s="116">
        <v>2018</v>
      </c>
      <c r="D148" s="50"/>
      <c r="E148" s="50"/>
      <c r="F148" s="42"/>
      <c r="G148" s="190"/>
      <c r="H148" s="190"/>
      <c r="I148" s="227">
        <f t="shared" si="13"/>
        <v>0</v>
      </c>
      <c r="J148" s="231"/>
      <c r="K148" s="232"/>
      <c r="L148" s="231"/>
      <c r="M148" s="232"/>
      <c r="N148" s="233"/>
      <c r="O148" s="177"/>
      <c r="P148" s="177"/>
    </row>
    <row r="149" spans="1:16" ht="19.5" customHeight="1">
      <c r="A149" s="2561"/>
      <c r="B149" s="2025"/>
      <c r="C149" s="116">
        <v>2019</v>
      </c>
      <c r="D149" s="50"/>
      <c r="E149" s="50"/>
      <c r="F149" s="42"/>
      <c r="G149" s="190"/>
      <c r="H149" s="190"/>
      <c r="I149" s="227">
        <f t="shared" si="13"/>
        <v>0</v>
      </c>
      <c r="J149" s="231"/>
      <c r="K149" s="232"/>
      <c r="L149" s="231"/>
      <c r="M149" s="232"/>
      <c r="N149" s="233"/>
      <c r="O149" s="177"/>
      <c r="P149" s="177"/>
    </row>
    <row r="150" spans="1:16" ht="18.75" customHeight="1">
      <c r="A150" s="2561"/>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744" t="s">
        <v>93</v>
      </c>
      <c r="B153" s="2740" t="s">
        <v>61</v>
      </c>
      <c r="C153" s="2745" t="s">
        <v>8</v>
      </c>
      <c r="D153" s="1490" t="s">
        <v>94</v>
      </c>
      <c r="E153" s="1490"/>
      <c r="F153" s="1547"/>
      <c r="G153" s="1547"/>
      <c r="H153" s="1490" t="s">
        <v>95</v>
      </c>
      <c r="I153" s="1490"/>
      <c r="J153" s="1548"/>
      <c r="K153" s="31"/>
      <c r="L153" s="31"/>
      <c r="M153" s="31"/>
      <c r="N153" s="31"/>
      <c r="O153" s="177"/>
      <c r="P153" s="177"/>
    </row>
    <row r="154" spans="1:16" ht="49.5" customHeight="1">
      <c r="A154" s="2562"/>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560"/>
      <c r="B155" s="2025"/>
      <c r="C155" s="247">
        <v>2014</v>
      </c>
      <c r="D155" s="228"/>
      <c r="E155" s="187"/>
      <c r="F155" s="229"/>
      <c r="G155" s="227">
        <f>SUM(D155:F155)</f>
        <v>0</v>
      </c>
      <c r="H155" s="228"/>
      <c r="I155" s="187"/>
      <c r="J155" s="188"/>
      <c r="O155" s="177"/>
      <c r="P155" s="177"/>
    </row>
    <row r="156" spans="1:16" ht="19.5" customHeight="1">
      <c r="A156" s="2561"/>
      <c r="B156" s="2025"/>
      <c r="C156" s="248">
        <v>2015</v>
      </c>
      <c r="D156" s="231"/>
      <c r="E156" s="190"/>
      <c r="F156" s="232"/>
      <c r="G156" s="227">
        <f t="shared" ref="G156:G161" si="15">SUM(D156:F156)</f>
        <v>0</v>
      </c>
      <c r="H156" s="231"/>
      <c r="I156" s="190"/>
      <c r="J156" s="193"/>
      <c r="O156" s="177"/>
      <c r="P156" s="177"/>
    </row>
    <row r="157" spans="1:16" ht="17.25" customHeight="1">
      <c r="A157" s="2561"/>
      <c r="B157" s="2025"/>
      <c r="C157" s="248">
        <v>2016</v>
      </c>
      <c r="D157" s="231"/>
      <c r="E157" s="190"/>
      <c r="F157" s="232"/>
      <c r="G157" s="227">
        <f t="shared" si="15"/>
        <v>0</v>
      </c>
      <c r="H157" s="231"/>
      <c r="I157" s="190"/>
      <c r="J157" s="193"/>
      <c r="O157" s="177"/>
      <c r="P157" s="177"/>
    </row>
    <row r="158" spans="1:16" ht="15" customHeight="1">
      <c r="A158" s="2561"/>
      <c r="B158" s="2025"/>
      <c r="C158" s="248">
        <v>2017</v>
      </c>
      <c r="D158" s="231"/>
      <c r="E158" s="190"/>
      <c r="F158" s="232"/>
      <c r="G158" s="227">
        <f t="shared" si="15"/>
        <v>0</v>
      </c>
      <c r="H158" s="231"/>
      <c r="I158" s="190"/>
      <c r="J158" s="193"/>
      <c r="O158" s="177"/>
      <c r="P158" s="177"/>
    </row>
    <row r="159" spans="1:16" ht="19.5" customHeight="1">
      <c r="A159" s="2561"/>
      <c r="B159" s="2025"/>
      <c r="C159" s="248">
        <v>2018</v>
      </c>
      <c r="D159" s="231"/>
      <c r="E159" s="190"/>
      <c r="F159" s="232"/>
      <c r="G159" s="227">
        <f t="shared" si="15"/>
        <v>0</v>
      </c>
      <c r="H159" s="231"/>
      <c r="I159" s="190"/>
      <c r="J159" s="193"/>
      <c r="O159" s="177"/>
      <c r="P159" s="177"/>
    </row>
    <row r="160" spans="1:16" ht="15" customHeight="1">
      <c r="A160" s="2561"/>
      <c r="B160" s="2025"/>
      <c r="C160" s="248">
        <v>2019</v>
      </c>
      <c r="D160" s="231"/>
      <c r="E160" s="190"/>
      <c r="F160" s="232"/>
      <c r="G160" s="227">
        <f t="shared" si="15"/>
        <v>0</v>
      </c>
      <c r="H160" s="231"/>
      <c r="I160" s="190"/>
      <c r="J160" s="193"/>
      <c r="O160" s="177"/>
      <c r="P160" s="177"/>
    </row>
    <row r="161" spans="1:18" ht="17.25" customHeight="1">
      <c r="A161" s="2561"/>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1491"/>
      <c r="F163" s="177"/>
      <c r="G163" s="177"/>
      <c r="H163" s="177"/>
      <c r="I163" s="177"/>
      <c r="J163" s="255"/>
      <c r="K163" s="256"/>
    </row>
    <row r="164" spans="1:18" ht="95.25" customHeight="1">
      <c r="A164" s="1549" t="s">
        <v>102</v>
      </c>
      <c r="B164" s="258" t="s">
        <v>103</v>
      </c>
      <c r="C164" s="1447" t="s">
        <v>8</v>
      </c>
      <c r="D164" s="260" t="s">
        <v>104</v>
      </c>
      <c r="E164" s="260" t="s">
        <v>105</v>
      </c>
      <c r="F164" s="1492" t="s">
        <v>106</v>
      </c>
      <c r="G164" s="260" t="s">
        <v>107</v>
      </c>
      <c r="H164" s="260" t="s">
        <v>108</v>
      </c>
      <c r="I164" s="262" t="s">
        <v>109</v>
      </c>
      <c r="J164" s="1550" t="s">
        <v>110</v>
      </c>
      <c r="K164" s="1550" t="s">
        <v>111</v>
      </c>
      <c r="L164" s="1380"/>
    </row>
    <row r="165" spans="1:18" ht="15.75" customHeight="1">
      <c r="A165" s="2011"/>
      <c r="B165" s="2012"/>
      <c r="C165" s="265">
        <v>2014</v>
      </c>
      <c r="D165" s="187"/>
      <c r="E165" s="187"/>
      <c r="F165" s="187"/>
      <c r="G165" s="187"/>
      <c r="H165" s="187"/>
      <c r="I165" s="188"/>
      <c r="J165" s="1565">
        <f>SUM(D165,F165,H165)</f>
        <v>0</v>
      </c>
      <c r="K165" s="267">
        <f>SUM(E165,G165,I165)</f>
        <v>0</v>
      </c>
      <c r="L165" s="1380"/>
    </row>
    <row r="166" spans="1:18">
      <c r="A166" s="2013"/>
      <c r="B166" s="2014"/>
      <c r="C166" s="268">
        <v>2015</v>
      </c>
      <c r="D166" s="269"/>
      <c r="E166" s="269"/>
      <c r="F166" s="269"/>
      <c r="G166" s="269"/>
      <c r="H166" s="269"/>
      <c r="I166" s="270"/>
      <c r="J166" s="1566">
        <f t="shared" ref="J166:K171" si="17">SUM(D166,F166,H166)</f>
        <v>0</v>
      </c>
      <c r="K166" s="272">
        <f t="shared" si="17"/>
        <v>0</v>
      </c>
      <c r="L166" s="1380"/>
    </row>
    <row r="167" spans="1:18">
      <c r="A167" s="2013"/>
      <c r="B167" s="2014"/>
      <c r="C167" s="268">
        <v>2016</v>
      </c>
      <c r="D167" s="269"/>
      <c r="E167" s="269"/>
      <c r="F167" s="269"/>
      <c r="G167" s="269"/>
      <c r="H167" s="269"/>
      <c r="I167" s="270"/>
      <c r="J167" s="1566">
        <f t="shared" si="17"/>
        <v>0</v>
      </c>
      <c r="K167" s="272">
        <f t="shared" si="17"/>
        <v>0</v>
      </c>
    </row>
    <row r="168" spans="1:18">
      <c r="A168" s="2013"/>
      <c r="B168" s="2014"/>
      <c r="C168" s="268">
        <v>2017</v>
      </c>
      <c r="D168" s="269"/>
      <c r="E168" s="177"/>
      <c r="F168" s="269"/>
      <c r="G168" s="269"/>
      <c r="H168" s="269"/>
      <c r="I168" s="270"/>
      <c r="J168" s="1566">
        <f t="shared" si="17"/>
        <v>0</v>
      </c>
      <c r="K168" s="272">
        <f t="shared" si="17"/>
        <v>0</v>
      </c>
    </row>
    <row r="169" spans="1:18">
      <c r="A169" s="2013"/>
      <c r="B169" s="2014"/>
      <c r="C169" s="273">
        <v>2018</v>
      </c>
      <c r="D169" s="269"/>
      <c r="E169" s="269"/>
      <c r="F169" s="269"/>
      <c r="G169" s="274"/>
      <c r="H169" s="269"/>
      <c r="I169" s="270"/>
      <c r="J169" s="1566">
        <f t="shared" si="17"/>
        <v>0</v>
      </c>
      <c r="K169" s="272">
        <f t="shared" si="17"/>
        <v>0</v>
      </c>
      <c r="L169" s="1380"/>
    </row>
    <row r="170" spans="1:18">
      <c r="A170" s="2013"/>
      <c r="B170" s="2014"/>
      <c r="C170" s="268">
        <v>2019</v>
      </c>
      <c r="D170" s="177"/>
      <c r="E170" s="269"/>
      <c r="F170" s="269"/>
      <c r="G170" s="269"/>
      <c r="H170" s="274"/>
      <c r="I170" s="270"/>
      <c r="J170" s="1566">
        <f t="shared" si="17"/>
        <v>0</v>
      </c>
      <c r="K170" s="272">
        <f t="shared" si="17"/>
        <v>0</v>
      </c>
      <c r="L170" s="1380"/>
    </row>
    <row r="171" spans="1:18">
      <c r="A171" s="2013"/>
      <c r="B171" s="2014"/>
      <c r="C171" s="273">
        <v>2020</v>
      </c>
      <c r="D171" s="269"/>
      <c r="E171" s="269"/>
      <c r="F171" s="269"/>
      <c r="G171" s="269"/>
      <c r="H171" s="269"/>
      <c r="I171" s="270"/>
      <c r="J171" s="1566">
        <f t="shared" si="17"/>
        <v>0</v>
      </c>
      <c r="K171" s="272">
        <f t="shared" si="17"/>
        <v>0</v>
      </c>
      <c r="L171" s="1380"/>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1380"/>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748" t="s">
        <v>113</v>
      </c>
      <c r="B176" s="2749" t="s">
        <v>114</v>
      </c>
      <c r="C176" s="2750" t="s">
        <v>8</v>
      </c>
      <c r="D176" s="1551" t="s">
        <v>115</v>
      </c>
      <c r="E176" s="1495"/>
      <c r="F176" s="1495"/>
      <c r="G176" s="1552"/>
      <c r="H176" s="1553"/>
      <c r="I176" s="2751" t="s">
        <v>116</v>
      </c>
      <c r="J176" s="2663"/>
      <c r="K176" s="2663"/>
      <c r="L176" s="2663"/>
      <c r="M176" s="2663"/>
      <c r="N176" s="2663"/>
      <c r="O176" s="2752"/>
    </row>
    <row r="177" spans="1:15" s="31" customFormat="1" ht="129.75" customHeight="1">
      <c r="A177" s="2767"/>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560" t="s">
        <v>485</v>
      </c>
      <c r="B178" s="2025"/>
      <c r="C178" s="112">
        <v>2014</v>
      </c>
      <c r="D178" s="33"/>
      <c r="E178" s="34"/>
      <c r="F178" s="34"/>
      <c r="G178" s="293">
        <f>SUM(D178:F178)</f>
        <v>0</v>
      </c>
      <c r="H178" s="167"/>
      <c r="I178" s="167"/>
      <c r="J178" s="34"/>
      <c r="K178" s="34"/>
      <c r="L178" s="34"/>
      <c r="M178" s="34"/>
      <c r="N178" s="34"/>
      <c r="O178" s="37"/>
    </row>
    <row r="179" spans="1:15">
      <c r="A179" s="2561"/>
      <c r="B179" s="2025"/>
      <c r="C179" s="116">
        <v>2015</v>
      </c>
      <c r="D179" s="50"/>
      <c r="E179" s="42"/>
      <c r="F179" s="42">
        <v>2</v>
      </c>
      <c r="G179" s="293">
        <f t="shared" ref="G179:G184" si="19">SUM(D179:F179)</f>
        <v>2</v>
      </c>
      <c r="H179" s="294">
        <f>I179</f>
        <v>2</v>
      </c>
      <c r="I179" s="587">
        <v>2</v>
      </c>
      <c r="J179" s="42"/>
      <c r="K179" s="42"/>
      <c r="L179" s="42"/>
      <c r="M179" s="42"/>
      <c r="N179" s="42"/>
      <c r="O179" s="99"/>
    </row>
    <row r="180" spans="1:15">
      <c r="A180" s="2561"/>
      <c r="B180" s="2025"/>
      <c r="C180" s="116">
        <v>2016</v>
      </c>
      <c r="D180" s="50">
        <f>7+5+21+1</f>
        <v>34</v>
      </c>
      <c r="E180" s="41">
        <f>2+1</f>
        <v>3</v>
      </c>
      <c r="F180" s="41">
        <f>12</f>
        <v>12</v>
      </c>
      <c r="G180" s="293">
        <f t="shared" si="19"/>
        <v>49</v>
      </c>
      <c r="H180" s="294">
        <f>7+5+12+4+6+21+2</f>
        <v>57</v>
      </c>
      <c r="I180" s="587">
        <v>49</v>
      </c>
      <c r="J180" s="42"/>
      <c r="K180" s="42"/>
      <c r="L180" s="42"/>
      <c r="M180" s="42"/>
      <c r="N180" s="42"/>
      <c r="O180" s="99"/>
    </row>
    <row r="181" spans="1:15">
      <c r="A181" s="2561"/>
      <c r="B181" s="2025"/>
      <c r="C181" s="116">
        <v>2017</v>
      </c>
      <c r="D181" s="50"/>
      <c r="E181" s="42"/>
      <c r="F181" s="42"/>
      <c r="G181" s="293">
        <f t="shared" si="19"/>
        <v>0</v>
      </c>
      <c r="H181" s="294"/>
      <c r="I181" s="118"/>
      <c r="J181" s="42"/>
      <c r="K181" s="42"/>
      <c r="L181" s="42"/>
      <c r="M181" s="42"/>
      <c r="N181" s="42"/>
      <c r="O181" s="99"/>
    </row>
    <row r="182" spans="1:15">
      <c r="A182" s="2561"/>
      <c r="B182" s="2025"/>
      <c r="C182" s="116">
        <v>2018</v>
      </c>
      <c r="D182" s="50"/>
      <c r="E182" s="42"/>
      <c r="F182" s="42"/>
      <c r="G182" s="293">
        <f t="shared" si="19"/>
        <v>0</v>
      </c>
      <c r="H182" s="294"/>
      <c r="I182" s="118"/>
      <c r="J182" s="42"/>
      <c r="K182" s="42"/>
      <c r="L182" s="42"/>
      <c r="M182" s="42"/>
      <c r="N182" s="42"/>
      <c r="O182" s="99"/>
    </row>
    <row r="183" spans="1:15">
      <c r="A183" s="2561"/>
      <c r="B183" s="2025"/>
      <c r="C183" s="116">
        <v>2019</v>
      </c>
      <c r="D183" s="50"/>
      <c r="E183" s="42"/>
      <c r="F183" s="42"/>
      <c r="G183" s="293">
        <f t="shared" si="19"/>
        <v>0</v>
      </c>
      <c r="H183" s="294"/>
      <c r="I183" s="118"/>
      <c r="J183" s="42"/>
      <c r="K183" s="42"/>
      <c r="L183" s="42"/>
      <c r="M183" s="42"/>
      <c r="N183" s="42"/>
      <c r="O183" s="99"/>
    </row>
    <row r="184" spans="1:15">
      <c r="A184" s="2561"/>
      <c r="B184" s="2025"/>
      <c r="C184" s="116">
        <v>2020</v>
      </c>
      <c r="D184" s="50"/>
      <c r="E184" s="42"/>
      <c r="F184" s="42"/>
      <c r="G184" s="293">
        <f t="shared" si="19"/>
        <v>0</v>
      </c>
      <c r="H184" s="294"/>
      <c r="I184" s="118"/>
      <c r="J184" s="42"/>
      <c r="K184" s="42"/>
      <c r="L184" s="42"/>
      <c r="M184" s="42"/>
      <c r="N184" s="42"/>
      <c r="O184" s="99"/>
    </row>
    <row r="185" spans="1:15" ht="125.25" customHeight="1" thickBot="1">
      <c r="A185" s="2046"/>
      <c r="B185" s="2027"/>
      <c r="C185" s="122" t="s">
        <v>12</v>
      </c>
      <c r="D185" s="151">
        <f>SUM(D178:D184)</f>
        <v>34</v>
      </c>
      <c r="E185" s="125">
        <f>SUM(E178:E184)</f>
        <v>3</v>
      </c>
      <c r="F185" s="125">
        <f>SUM(F178:F184)</f>
        <v>14</v>
      </c>
      <c r="G185" s="234">
        <f t="shared" ref="G185:O185" si="20">SUM(G178:G184)</f>
        <v>51</v>
      </c>
      <c r="H185" s="295">
        <f t="shared" si="20"/>
        <v>59</v>
      </c>
      <c r="I185" s="124">
        <f t="shared" si="20"/>
        <v>51</v>
      </c>
      <c r="J185" s="125">
        <f t="shared" si="20"/>
        <v>0</v>
      </c>
      <c r="K185" s="125">
        <f t="shared" si="20"/>
        <v>0</v>
      </c>
      <c r="L185" s="125">
        <f t="shared" si="20"/>
        <v>0</v>
      </c>
      <c r="M185" s="125">
        <f t="shared" si="20"/>
        <v>0</v>
      </c>
      <c r="N185" s="125">
        <f t="shared" si="20"/>
        <v>0</v>
      </c>
      <c r="O185" s="126">
        <f t="shared" si="20"/>
        <v>0</v>
      </c>
    </row>
    <row r="186" spans="1:15" ht="33" customHeight="1" thickBot="1"/>
    <row r="187" spans="1:15" ht="19.5" customHeight="1">
      <c r="A187" s="2758" t="s">
        <v>122</v>
      </c>
      <c r="B187" s="2749" t="s">
        <v>114</v>
      </c>
      <c r="C187" s="1998" t="s">
        <v>8</v>
      </c>
      <c r="D187" s="2000" t="s">
        <v>123</v>
      </c>
      <c r="E187" s="2652"/>
      <c r="F187" s="2652"/>
      <c r="G187" s="2759"/>
      <c r="H187" s="2747" t="s">
        <v>124</v>
      </c>
      <c r="I187" s="1998"/>
      <c r="J187" s="1998"/>
      <c r="K187" s="1998"/>
      <c r="L187" s="2004"/>
    </row>
    <row r="188" spans="1:15" ht="128.25">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820" t="s">
        <v>486</v>
      </c>
      <c r="B189" s="2821"/>
      <c r="C189" s="392">
        <v>2015</v>
      </c>
      <c r="D189" s="142"/>
      <c r="E189" s="115"/>
      <c r="F189" s="115"/>
      <c r="G189" s="301">
        <f>SUM(D189:F189)</f>
        <v>0</v>
      </c>
      <c r="H189" s="114"/>
      <c r="I189" s="115"/>
      <c r="J189" s="115"/>
      <c r="K189" s="115"/>
      <c r="L189" s="143"/>
    </row>
    <row r="190" spans="1:15">
      <c r="A190" s="2822"/>
      <c r="B190" s="2823"/>
      <c r="C190" s="86">
        <v>2015</v>
      </c>
      <c r="D190" s="578"/>
      <c r="E190" s="42"/>
      <c r="F190" s="42">
        <v>160</v>
      </c>
      <c r="G190" s="301">
        <f t="shared" ref="G190:G195" si="21">SUM(D190:F190)</f>
        <v>160</v>
      </c>
      <c r="H190" s="118"/>
      <c r="I190" s="42"/>
      <c r="J190" s="573">
        <v>23</v>
      </c>
      <c r="K190" s="573"/>
      <c r="L190" s="192">
        <f>G190-J190</f>
        <v>137</v>
      </c>
    </row>
    <row r="191" spans="1:15">
      <c r="A191" s="2822"/>
      <c r="B191" s="2823"/>
      <c r="C191" s="86">
        <v>2016</v>
      </c>
      <c r="D191" s="50">
        <f>157+197+315+2</f>
        <v>671</v>
      </c>
      <c r="E191" s="41">
        <f>100+35</f>
        <v>135</v>
      </c>
      <c r="F191" s="41">
        <v>24</v>
      </c>
      <c r="G191" s="301">
        <f t="shared" si="21"/>
        <v>830</v>
      </c>
      <c r="H191" s="118"/>
      <c r="I191" s="42"/>
      <c r="J191" s="42">
        <v>23</v>
      </c>
      <c r="K191" s="42"/>
      <c r="L191" s="99">
        <f>G191-J191</f>
        <v>807</v>
      </c>
    </row>
    <row r="192" spans="1:15">
      <c r="A192" s="2822"/>
      <c r="B192" s="2823"/>
      <c r="C192" s="86">
        <v>2017</v>
      </c>
      <c r="D192" s="50"/>
      <c r="E192" s="42"/>
      <c r="F192" s="42"/>
      <c r="G192" s="301">
        <f t="shared" si="21"/>
        <v>0</v>
      </c>
      <c r="H192" s="118"/>
      <c r="I192" s="42"/>
      <c r="J192" s="42"/>
      <c r="K192" s="42"/>
      <c r="L192" s="99"/>
    </row>
    <row r="193" spans="1:14">
      <c r="A193" s="2822"/>
      <c r="B193" s="2823"/>
      <c r="C193" s="86">
        <v>2018</v>
      </c>
      <c r="D193" s="50"/>
      <c r="E193" s="42"/>
      <c r="F193" s="42"/>
      <c r="G193" s="301">
        <f t="shared" si="21"/>
        <v>0</v>
      </c>
      <c r="H193" s="118"/>
      <c r="I193" s="42"/>
      <c r="J193" s="42"/>
      <c r="K193" s="42"/>
      <c r="L193" s="99"/>
    </row>
    <row r="194" spans="1:14">
      <c r="A194" s="2822"/>
      <c r="B194" s="2823"/>
      <c r="C194" s="86">
        <v>2019</v>
      </c>
      <c r="D194" s="50"/>
      <c r="E194" s="42"/>
      <c r="F194" s="42"/>
      <c r="G194" s="301">
        <f t="shared" si="21"/>
        <v>0</v>
      </c>
      <c r="H194" s="118"/>
      <c r="I194" s="42"/>
      <c r="J194" s="42"/>
      <c r="K194" s="42"/>
      <c r="L194" s="99"/>
    </row>
    <row r="195" spans="1:14">
      <c r="A195" s="2822"/>
      <c r="B195" s="2823"/>
      <c r="C195" s="86">
        <v>2020</v>
      </c>
      <c r="D195" s="50"/>
      <c r="E195" s="42"/>
      <c r="F195" s="42"/>
      <c r="G195" s="301">
        <f t="shared" si="21"/>
        <v>0</v>
      </c>
      <c r="H195" s="118"/>
      <c r="I195" s="42"/>
      <c r="J195" s="42"/>
      <c r="K195" s="42"/>
      <c r="L195" s="99"/>
    </row>
    <row r="196" spans="1:14" ht="186.75" customHeight="1" thickBot="1">
      <c r="A196" s="2824"/>
      <c r="B196" s="2825"/>
      <c r="C196" s="148" t="s">
        <v>12</v>
      </c>
      <c r="D196" s="151">
        <f t="shared" ref="D196:L196" si="22">SUM(D189:D195)</f>
        <v>671</v>
      </c>
      <c r="E196" s="125">
        <f t="shared" si="22"/>
        <v>135</v>
      </c>
      <c r="F196" s="125">
        <f t="shared" si="22"/>
        <v>184</v>
      </c>
      <c r="G196" s="304">
        <f t="shared" si="22"/>
        <v>990</v>
      </c>
      <c r="H196" s="124">
        <f t="shared" si="22"/>
        <v>0</v>
      </c>
      <c r="I196" s="125">
        <f t="shared" si="22"/>
        <v>0</v>
      </c>
      <c r="J196" s="125">
        <f t="shared" si="22"/>
        <v>46</v>
      </c>
      <c r="K196" s="125">
        <f t="shared" si="22"/>
        <v>0</v>
      </c>
      <c r="L196" s="126">
        <f t="shared" si="22"/>
        <v>944</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1554" t="s">
        <v>135</v>
      </c>
      <c r="B201" s="309" t="s">
        <v>114</v>
      </c>
      <c r="C201" s="310" t="s">
        <v>8</v>
      </c>
      <c r="D201" s="1555" t="s">
        <v>136</v>
      </c>
      <c r="E201" s="312" t="s">
        <v>137</v>
      </c>
      <c r="F201" s="312" t="s">
        <v>138</v>
      </c>
      <c r="G201" s="310" t="s">
        <v>139</v>
      </c>
      <c r="H201" s="1500" t="s">
        <v>140</v>
      </c>
      <c r="I201" s="1556" t="s">
        <v>141</v>
      </c>
      <c r="J201" s="1557" t="s">
        <v>142</v>
      </c>
      <c r="K201" s="312" t="s">
        <v>143</v>
      </c>
      <c r="L201" s="316" t="s">
        <v>144</v>
      </c>
    </row>
    <row r="202" spans="1:14" ht="15" customHeight="1">
      <c r="A202" s="2558"/>
      <c r="B202" s="1988"/>
      <c r="C202" s="84">
        <v>2014</v>
      </c>
      <c r="D202" s="33"/>
      <c r="E202" s="34"/>
      <c r="F202" s="34"/>
      <c r="G202" s="32"/>
      <c r="H202" s="317"/>
      <c r="I202" s="318"/>
      <c r="J202" s="319"/>
      <c r="K202" s="34"/>
      <c r="L202" s="37"/>
    </row>
    <row r="203" spans="1:14">
      <c r="A203" s="2558"/>
      <c r="B203" s="1988"/>
      <c r="C203" s="86">
        <v>2015</v>
      </c>
      <c r="D203" s="50"/>
      <c r="E203" s="42"/>
      <c r="F203" s="42"/>
      <c r="G203" s="39"/>
      <c r="H203" s="320"/>
      <c r="I203" s="321"/>
      <c r="J203" s="322"/>
      <c r="K203" s="42"/>
      <c r="L203" s="99"/>
    </row>
    <row r="204" spans="1:14">
      <c r="A204" s="2558"/>
      <c r="B204" s="1988"/>
      <c r="C204" s="86">
        <v>2016</v>
      </c>
      <c r="D204" s="50"/>
      <c r="E204" s="42"/>
      <c r="F204" s="42"/>
      <c r="G204" s="39"/>
      <c r="H204" s="320"/>
      <c r="I204" s="321"/>
      <c r="J204" s="322"/>
      <c r="K204" s="42"/>
      <c r="L204" s="99"/>
    </row>
    <row r="205" spans="1:14">
      <c r="A205" s="2558"/>
      <c r="B205" s="1988"/>
      <c r="C205" s="86">
        <v>2017</v>
      </c>
      <c r="D205" s="50"/>
      <c r="E205" s="42"/>
      <c r="F205" s="42"/>
      <c r="G205" s="39"/>
      <c r="H205" s="320"/>
      <c r="I205" s="321"/>
      <c r="J205" s="322"/>
      <c r="K205" s="42"/>
      <c r="L205" s="99"/>
    </row>
    <row r="206" spans="1:14">
      <c r="A206" s="2558"/>
      <c r="B206" s="1988"/>
      <c r="C206" s="86">
        <v>2018</v>
      </c>
      <c r="D206" s="50"/>
      <c r="E206" s="42"/>
      <c r="F206" s="42"/>
      <c r="G206" s="39"/>
      <c r="H206" s="320"/>
      <c r="I206" s="321"/>
      <c r="J206" s="322"/>
      <c r="K206" s="42"/>
      <c r="L206" s="99"/>
    </row>
    <row r="207" spans="1:14">
      <c r="A207" s="2558"/>
      <c r="B207" s="1988"/>
      <c r="C207" s="86">
        <v>2019</v>
      </c>
      <c r="D207" s="50"/>
      <c r="E207" s="42"/>
      <c r="F207" s="42"/>
      <c r="G207" s="39"/>
      <c r="H207" s="320"/>
      <c r="I207" s="321"/>
      <c r="J207" s="322"/>
      <c r="K207" s="42"/>
      <c r="L207" s="99"/>
    </row>
    <row r="208" spans="1:14">
      <c r="A208" s="2558"/>
      <c r="B208" s="1988"/>
      <c r="C208" s="86">
        <v>2020</v>
      </c>
      <c r="D208" s="1474"/>
      <c r="E208" s="324"/>
      <c r="F208" s="324"/>
      <c r="G208" s="325"/>
      <c r="H208" s="326"/>
      <c r="I208" s="327"/>
      <c r="J208" s="328"/>
      <c r="K208" s="324"/>
      <c r="L208" s="329"/>
    </row>
    <row r="209" spans="1:12" ht="20.25" customHeight="1" thickBot="1">
      <c r="A209" s="1989"/>
      <c r="B209" s="1990"/>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1558" t="s">
        <v>145</v>
      </c>
      <c r="B212" s="331" t="s">
        <v>146</v>
      </c>
      <c r="C212" s="332">
        <v>2014</v>
      </c>
      <c r="D212" s="333">
        <v>2015</v>
      </c>
      <c r="E212" s="333">
        <v>2016</v>
      </c>
      <c r="F212" s="333">
        <v>2017</v>
      </c>
      <c r="G212" s="333">
        <v>2018</v>
      </c>
      <c r="H212" s="333">
        <v>2019</v>
      </c>
      <c r="I212" s="334">
        <v>2020</v>
      </c>
    </row>
    <row r="213" spans="1:12" ht="15" customHeight="1">
      <c r="A213" t="s">
        <v>147</v>
      </c>
      <c r="B213" s="2826" t="s">
        <v>487</v>
      </c>
      <c r="C213" s="84"/>
      <c r="D213" s="365">
        <f>D214</f>
        <v>3699.9799999999996</v>
      </c>
      <c r="E213" s="365">
        <f>E214+E217</f>
        <v>258323.45</v>
      </c>
      <c r="F213" s="147"/>
      <c r="G213" s="147"/>
      <c r="H213" s="147"/>
      <c r="I213" s="335"/>
    </row>
    <row r="214" spans="1:12">
      <c r="A214" t="s">
        <v>149</v>
      </c>
      <c r="B214" s="2827"/>
      <c r="C214" s="84"/>
      <c r="D214" s="147">
        <f>9884.72-6184.74</f>
        <v>3699.9799999999996</v>
      </c>
      <c r="E214" s="520">
        <f>258323.45-E217</f>
        <v>118319.45000000001</v>
      </c>
      <c r="F214" s="147"/>
      <c r="G214" s="147"/>
      <c r="H214" s="147"/>
      <c r="I214" s="335"/>
    </row>
    <row r="215" spans="1:12">
      <c r="A215" t="s">
        <v>150</v>
      </c>
      <c r="B215" s="2827"/>
      <c r="C215" s="84"/>
      <c r="D215" s="147"/>
      <c r="E215" s="147"/>
      <c r="F215" s="147"/>
      <c r="G215" s="147"/>
      <c r="H215" s="147"/>
      <c r="I215" s="335"/>
    </row>
    <row r="216" spans="1:12">
      <c r="A216" t="s">
        <v>151</v>
      </c>
      <c r="B216" s="2827"/>
      <c r="C216" s="84"/>
      <c r="D216" s="147"/>
      <c r="E216" s="147"/>
      <c r="F216" s="147"/>
      <c r="G216" s="147"/>
      <c r="H216" s="147"/>
      <c r="I216" s="335"/>
    </row>
    <row r="217" spans="1:12">
      <c r="A217" t="s">
        <v>152</v>
      </c>
      <c r="B217" s="2827"/>
      <c r="C217" s="84"/>
      <c r="D217" s="147"/>
      <c r="E217" s="147">
        <f>83945+56059</f>
        <v>140004</v>
      </c>
      <c r="F217" s="147"/>
      <c r="G217" s="147"/>
      <c r="H217" s="147"/>
      <c r="I217" s="335"/>
    </row>
    <row r="218" spans="1:12" ht="30">
      <c r="A218" s="31" t="s">
        <v>153</v>
      </c>
      <c r="B218" s="2827"/>
      <c r="C218" s="84"/>
      <c r="D218" s="147">
        <f>93716.16-D214</f>
        <v>90016.180000000008</v>
      </c>
      <c r="E218" s="520">
        <f>363218.44-E214-E217</f>
        <v>104894.98999999999</v>
      </c>
      <c r="F218" s="147"/>
      <c r="G218" s="147"/>
      <c r="H218" s="147"/>
      <c r="I218" s="335"/>
    </row>
    <row r="219" spans="1:12" ht="409.6" customHeight="1" thickBot="1">
      <c r="A219" s="1473"/>
      <c r="B219" s="2828"/>
      <c r="C219" s="54" t="s">
        <v>12</v>
      </c>
      <c r="D219" s="337">
        <f>SUM(D214:D218)</f>
        <v>93716.160000000003</v>
      </c>
      <c r="E219" s="337">
        <f t="shared" ref="E219:I219" si="24">SUM(E214:E218)</f>
        <v>363218.44</v>
      </c>
      <c r="F219" s="337">
        <f t="shared" si="24"/>
        <v>0</v>
      </c>
      <c r="G219" s="337">
        <f t="shared" si="24"/>
        <v>0</v>
      </c>
      <c r="H219" s="337">
        <f t="shared" si="24"/>
        <v>0</v>
      </c>
      <c r="I219" s="337">
        <f t="shared" si="24"/>
        <v>0</v>
      </c>
      <c r="K219" s="1622"/>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Y236"/>
  <sheetViews>
    <sheetView topLeftCell="A205" workbookViewId="0">
      <selection activeCell="E226" sqref="E226"/>
    </sheetView>
  </sheetViews>
  <sheetFormatPr defaultColWidth="8.85546875" defaultRowHeight="15"/>
  <cols>
    <col min="1" max="1" width="90.5703125" style="8"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409" t="s">
        <v>0</v>
      </c>
      <c r="B1" s="2076" t="s">
        <v>186</v>
      </c>
      <c r="C1" s="2077"/>
      <c r="D1" s="2077"/>
      <c r="E1" s="2077"/>
      <c r="F1" s="2077"/>
    </row>
    <row r="2" spans="1:25" s="2" customFormat="1" ht="20.100000000000001" customHeight="1" thickBot="1">
      <c r="A2" s="5"/>
    </row>
    <row r="3" spans="1:25" s="5" customFormat="1" ht="20.100000000000001" customHeight="1">
      <c r="A3" s="410" t="s">
        <v>1</v>
      </c>
      <c r="B3" s="411"/>
      <c r="C3" s="411"/>
      <c r="D3" s="411"/>
      <c r="E3" s="411"/>
      <c r="F3" s="2140"/>
      <c r="G3" s="2140"/>
      <c r="H3" s="2140"/>
      <c r="I3" s="2140"/>
      <c r="J3" s="2140"/>
      <c r="K3" s="2140"/>
      <c r="L3" s="2140"/>
      <c r="M3" s="2140"/>
      <c r="N3" s="2140"/>
      <c r="O3" s="2141"/>
    </row>
    <row r="4" spans="1:25" s="5" customFormat="1" ht="20.100000000000001" customHeight="1">
      <c r="A4" s="2080" t="s">
        <v>2</v>
      </c>
      <c r="B4" s="2081"/>
      <c r="C4" s="2081"/>
      <c r="D4" s="2081"/>
      <c r="E4" s="2081"/>
      <c r="F4" s="2081"/>
      <c r="G4" s="2081"/>
      <c r="H4" s="2081"/>
      <c r="I4" s="2081"/>
      <c r="J4" s="2081"/>
      <c r="K4" s="2081"/>
      <c r="L4" s="2081"/>
      <c r="M4" s="2081"/>
      <c r="N4" s="2081"/>
      <c r="O4" s="2082"/>
    </row>
    <row r="5" spans="1:25" s="5" customFormat="1" ht="20.100000000000001" customHeight="1">
      <c r="A5" s="2080"/>
      <c r="B5" s="2081"/>
      <c r="C5" s="2081"/>
      <c r="D5" s="2081"/>
      <c r="E5" s="2081"/>
      <c r="F5" s="2081"/>
      <c r="G5" s="2081"/>
      <c r="H5" s="2081"/>
      <c r="I5" s="2081"/>
      <c r="J5" s="2081"/>
      <c r="K5" s="2081"/>
      <c r="L5" s="2081"/>
      <c r="M5" s="2081"/>
      <c r="N5" s="2081"/>
      <c r="O5" s="2082"/>
    </row>
    <row r="6" spans="1:25" s="5" customFormat="1" ht="20.100000000000001" customHeight="1">
      <c r="A6" s="2080"/>
      <c r="B6" s="2081"/>
      <c r="C6" s="2081"/>
      <c r="D6" s="2081"/>
      <c r="E6" s="2081"/>
      <c r="F6" s="2081"/>
      <c r="G6" s="2081"/>
      <c r="H6" s="2081"/>
      <c r="I6" s="2081"/>
      <c r="J6" s="2081"/>
      <c r="K6" s="2081"/>
      <c r="L6" s="2081"/>
      <c r="M6" s="2081"/>
      <c r="N6" s="2081"/>
      <c r="O6" s="2082"/>
    </row>
    <row r="7" spans="1:25" s="5" customFormat="1" ht="20.100000000000001" customHeight="1">
      <c r="A7" s="2080"/>
      <c r="B7" s="2081"/>
      <c r="C7" s="2081"/>
      <c r="D7" s="2081"/>
      <c r="E7" s="2081"/>
      <c r="F7" s="2081"/>
      <c r="G7" s="2081"/>
      <c r="H7" s="2081"/>
      <c r="I7" s="2081"/>
      <c r="J7" s="2081"/>
      <c r="K7" s="2081"/>
      <c r="L7" s="2081"/>
      <c r="M7" s="2081"/>
      <c r="N7" s="2081"/>
      <c r="O7" s="2082"/>
    </row>
    <row r="8" spans="1:25" s="5" customFormat="1" ht="20.100000000000001" customHeight="1">
      <c r="A8" s="2080"/>
      <c r="B8" s="2081"/>
      <c r="C8" s="2081"/>
      <c r="D8" s="2081"/>
      <c r="E8" s="2081"/>
      <c r="F8" s="2081"/>
      <c r="G8" s="2081"/>
      <c r="H8" s="2081"/>
      <c r="I8" s="2081"/>
      <c r="J8" s="2081"/>
      <c r="K8" s="2081"/>
      <c r="L8" s="2081"/>
      <c r="M8" s="2081"/>
      <c r="N8" s="2081"/>
      <c r="O8" s="2082"/>
    </row>
    <row r="9" spans="1:25" s="5" customFormat="1" ht="20.100000000000001" customHeight="1">
      <c r="A9" s="2080"/>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c r="A11" s="5"/>
    </row>
    <row r="13" spans="1:25" ht="21">
      <c r="A13" s="412"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413"/>
      <c r="B15" s="414"/>
      <c r="C15" s="11"/>
      <c r="D15" s="2142" t="s">
        <v>4</v>
      </c>
      <c r="E15" s="2143"/>
      <c r="F15" s="2143"/>
      <c r="G15" s="2143"/>
      <c r="H15" s="12"/>
      <c r="I15" s="13" t="s">
        <v>5</v>
      </c>
      <c r="J15" s="14"/>
      <c r="K15" s="14"/>
      <c r="L15" s="14"/>
      <c r="M15" s="14"/>
      <c r="N15" s="14"/>
      <c r="O15" s="15"/>
      <c r="P15" s="16"/>
      <c r="Q15" s="17"/>
      <c r="R15" s="18"/>
      <c r="S15" s="18"/>
      <c r="T15" s="18"/>
      <c r="U15" s="18"/>
      <c r="V15" s="18"/>
      <c r="W15" s="16"/>
      <c r="X15" s="16"/>
      <c r="Y15" s="17"/>
    </row>
    <row r="16" spans="1:25" s="31" customFormat="1" ht="129" customHeight="1">
      <c r="A16" s="20"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144"/>
      <c r="B17" s="2144" t="s">
        <v>169</v>
      </c>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144"/>
      <c r="B18" s="2144"/>
      <c r="C18" s="39">
        <v>2015</v>
      </c>
      <c r="D18" s="50">
        <v>11</v>
      </c>
      <c r="E18" s="42"/>
      <c r="F18" s="42"/>
      <c r="G18" s="35">
        <f>SUM(D18:F18)</f>
        <v>11</v>
      </c>
      <c r="H18" s="51">
        <v>2</v>
      </c>
      <c r="I18" s="42">
        <v>3</v>
      </c>
      <c r="J18" s="42"/>
      <c r="K18" s="42">
        <v>1</v>
      </c>
      <c r="L18" s="42">
        <v>2</v>
      </c>
      <c r="M18" s="42">
        <v>2</v>
      </c>
      <c r="N18" s="42"/>
      <c r="O18" s="52">
        <v>1</v>
      </c>
      <c r="P18" s="38"/>
      <c r="Q18" s="38"/>
      <c r="R18" s="38"/>
      <c r="S18" s="38"/>
      <c r="T18" s="38"/>
      <c r="U18" s="38"/>
      <c r="V18" s="38"/>
      <c r="W18" s="38"/>
      <c r="X18" s="38"/>
      <c r="Y18" s="38"/>
    </row>
    <row r="19" spans="1:25">
      <c r="A19" s="2144"/>
      <c r="B19" s="2144"/>
      <c r="C19" s="39">
        <v>2016</v>
      </c>
      <c r="D19" s="50">
        <v>23</v>
      </c>
      <c r="E19" s="42"/>
      <c r="F19" s="42">
        <v>1</v>
      </c>
      <c r="G19" s="35">
        <f t="shared" si="0"/>
        <v>24</v>
      </c>
      <c r="H19" s="51"/>
      <c r="I19" s="42">
        <v>7</v>
      </c>
      <c r="J19" s="42"/>
      <c r="K19" s="42">
        <v>14</v>
      </c>
      <c r="L19" s="42"/>
      <c r="M19" s="42">
        <v>2</v>
      </c>
      <c r="N19" s="42"/>
      <c r="O19" s="52">
        <v>1</v>
      </c>
      <c r="P19" s="38"/>
      <c r="Q19" s="38"/>
      <c r="R19" s="38"/>
      <c r="S19" s="38"/>
      <c r="T19" s="38"/>
      <c r="U19" s="38"/>
      <c r="V19" s="38"/>
      <c r="W19" s="38"/>
      <c r="X19" s="38"/>
      <c r="Y19" s="38"/>
    </row>
    <row r="20" spans="1:25">
      <c r="A20" s="2144"/>
      <c r="B20" s="2144"/>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2144"/>
      <c r="B21" s="2144"/>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2144"/>
      <c r="B22" s="2144"/>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2144"/>
      <c r="B23" s="2144"/>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138" customHeight="1" thickBot="1">
      <c r="A24" s="2145"/>
      <c r="B24" s="2145"/>
      <c r="C24" s="54" t="s">
        <v>12</v>
      </c>
      <c r="D24" s="55">
        <f>SUM(D17:D23)</f>
        <v>34</v>
      </c>
      <c r="E24" s="56">
        <f>SUM(E17:E23)</f>
        <v>0</v>
      </c>
      <c r="F24" s="56">
        <f>SUM(F17:F23)</f>
        <v>1</v>
      </c>
      <c r="G24" s="57">
        <f>SUM(D24:F24)</f>
        <v>35</v>
      </c>
      <c r="H24" s="58">
        <f>SUM(H17:H23)</f>
        <v>2</v>
      </c>
      <c r="I24" s="59">
        <f>SUM(I17:I23)</f>
        <v>10</v>
      </c>
      <c r="J24" s="59">
        <f t="shared" ref="J24:N24" si="1">SUM(J17:J23)</f>
        <v>0</v>
      </c>
      <c r="K24" s="59">
        <f t="shared" si="1"/>
        <v>15</v>
      </c>
      <c r="L24" s="59">
        <f t="shared" si="1"/>
        <v>2</v>
      </c>
      <c r="M24" s="59">
        <f t="shared" si="1"/>
        <v>4</v>
      </c>
      <c r="N24" s="59">
        <f t="shared" si="1"/>
        <v>0</v>
      </c>
      <c r="O24" s="60">
        <f>SUM(O17:O23)</f>
        <v>2</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413"/>
      <c r="B26" s="414"/>
      <c r="C26" s="63"/>
      <c r="D26" s="2146" t="s">
        <v>4</v>
      </c>
      <c r="E26" s="2147"/>
      <c r="F26" s="2147"/>
      <c r="G26" s="2148"/>
      <c r="H26" s="16"/>
      <c r="I26" s="17"/>
      <c r="J26" s="18"/>
      <c r="K26" s="18"/>
      <c r="L26" s="18"/>
      <c r="M26" s="18"/>
      <c r="N26" s="18"/>
      <c r="O26" s="16"/>
      <c r="P26" s="16"/>
    </row>
    <row r="27" spans="1:25" s="31" customFormat="1" ht="93" customHeight="1">
      <c r="A27" s="64"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144"/>
      <c r="B28" s="2144" t="s">
        <v>170</v>
      </c>
      <c r="C28" s="68">
        <v>2014</v>
      </c>
      <c r="D28" s="36"/>
      <c r="E28" s="34"/>
      <c r="F28" s="34"/>
      <c r="G28" s="69">
        <f>SUM(D28:F28)</f>
        <v>0</v>
      </c>
      <c r="H28" s="38"/>
      <c r="I28" s="38"/>
      <c r="J28" s="38"/>
      <c r="K28" s="38"/>
      <c r="L28" s="38"/>
      <c r="M28" s="38"/>
      <c r="N28" s="38"/>
      <c r="O28" s="38"/>
      <c r="P28" s="38"/>
      <c r="Q28" s="8"/>
    </row>
    <row r="29" spans="1:25">
      <c r="A29" s="2144"/>
      <c r="B29" s="2144"/>
      <c r="C29" s="70">
        <v>2015</v>
      </c>
      <c r="D29" s="51">
        <v>1583</v>
      </c>
      <c r="E29" s="42"/>
      <c r="F29" s="42"/>
      <c r="G29" s="69">
        <f t="shared" ref="G29:G35" si="2">SUM(D29:F29)</f>
        <v>1583</v>
      </c>
      <c r="H29" s="38"/>
      <c r="I29" s="38"/>
      <c r="J29" s="38"/>
      <c r="K29" s="38"/>
      <c r="L29" s="38"/>
      <c r="M29" s="38"/>
      <c r="N29" s="38"/>
      <c r="O29" s="38"/>
      <c r="P29" s="38"/>
      <c r="Q29" s="8"/>
    </row>
    <row r="30" spans="1:25">
      <c r="A30" s="2144"/>
      <c r="B30" s="2144"/>
      <c r="C30" s="70">
        <v>2016</v>
      </c>
      <c r="D30" s="51">
        <v>4198</v>
      </c>
      <c r="E30" s="42"/>
      <c r="F30" s="42">
        <v>100</v>
      </c>
      <c r="G30" s="69">
        <f t="shared" si="2"/>
        <v>4298</v>
      </c>
      <c r="H30" s="38"/>
      <c r="I30" s="38"/>
      <c r="J30" s="38"/>
      <c r="K30" s="38"/>
      <c r="L30" s="38"/>
      <c r="M30" s="38"/>
      <c r="N30" s="38"/>
      <c r="O30" s="38"/>
      <c r="P30" s="38"/>
      <c r="Q30" s="8"/>
    </row>
    <row r="31" spans="1:25">
      <c r="A31" s="2144"/>
      <c r="B31" s="2144"/>
      <c r="C31" s="70">
        <v>2017</v>
      </c>
      <c r="D31" s="51"/>
      <c r="E31" s="42"/>
      <c r="F31" s="42"/>
      <c r="G31" s="69">
        <f t="shared" si="2"/>
        <v>0</v>
      </c>
      <c r="H31" s="38"/>
      <c r="I31" s="38"/>
      <c r="J31" s="38"/>
      <c r="K31" s="38"/>
      <c r="L31" s="38"/>
      <c r="M31" s="38"/>
      <c r="N31" s="38"/>
      <c r="O31" s="38"/>
      <c r="P31" s="38"/>
      <c r="Q31" s="8"/>
    </row>
    <row r="32" spans="1:25">
      <c r="A32" s="2144"/>
      <c r="B32" s="2144"/>
      <c r="C32" s="70">
        <v>2018</v>
      </c>
      <c r="D32" s="51"/>
      <c r="E32" s="42"/>
      <c r="F32" s="42"/>
      <c r="G32" s="69">
        <f>SUM(D32:F32)</f>
        <v>0</v>
      </c>
      <c r="H32" s="38"/>
      <c r="I32" s="38"/>
      <c r="J32" s="38"/>
      <c r="K32" s="38"/>
      <c r="L32" s="38"/>
      <c r="M32" s="38"/>
      <c r="N32" s="38"/>
      <c r="O32" s="38"/>
      <c r="P32" s="38"/>
      <c r="Q32" s="8"/>
    </row>
    <row r="33" spans="1:17">
      <c r="A33" s="2144"/>
      <c r="B33" s="2144"/>
      <c r="C33" s="72">
        <v>2019</v>
      </c>
      <c r="D33" s="51"/>
      <c r="E33" s="42"/>
      <c r="F33" s="42"/>
      <c r="G33" s="69">
        <f t="shared" si="2"/>
        <v>0</v>
      </c>
      <c r="H33" s="38"/>
      <c r="I33" s="38"/>
      <c r="J33" s="38"/>
      <c r="K33" s="38"/>
      <c r="L33" s="38"/>
      <c r="M33" s="38"/>
      <c r="N33" s="38"/>
      <c r="O33" s="38"/>
      <c r="P33" s="38"/>
      <c r="Q33" s="8"/>
    </row>
    <row r="34" spans="1:17">
      <c r="A34" s="2144"/>
      <c r="B34" s="2144"/>
      <c r="C34" s="70">
        <v>2020</v>
      </c>
      <c r="D34" s="51"/>
      <c r="E34" s="42"/>
      <c r="F34" s="42"/>
      <c r="G34" s="69">
        <f t="shared" si="2"/>
        <v>0</v>
      </c>
      <c r="H34" s="38"/>
      <c r="I34" s="38"/>
      <c r="J34" s="38"/>
      <c r="K34" s="38"/>
      <c r="L34" s="38"/>
      <c r="M34" s="38"/>
      <c r="N34" s="38"/>
      <c r="O34" s="38"/>
      <c r="P34" s="38"/>
      <c r="Q34" s="8"/>
    </row>
    <row r="35" spans="1:17" ht="141.75" customHeight="1" thickBot="1">
      <c r="A35" s="2145"/>
      <c r="B35" s="2145"/>
      <c r="C35" s="73" t="s">
        <v>12</v>
      </c>
      <c r="D35" s="58">
        <f>SUM(D28:D34)</f>
        <v>5781</v>
      </c>
      <c r="E35" s="56">
        <f>SUM(E28:E34)</f>
        <v>0</v>
      </c>
      <c r="F35" s="56">
        <f>SUM(F28:F34)</f>
        <v>100</v>
      </c>
      <c r="G35" s="60">
        <f t="shared" si="2"/>
        <v>5881</v>
      </c>
      <c r="H35" s="38"/>
      <c r="I35" s="38"/>
      <c r="J35" s="38"/>
      <c r="K35" s="38"/>
      <c r="L35" s="38"/>
      <c r="M35" s="38"/>
      <c r="N35" s="38"/>
      <c r="O35" s="38"/>
      <c r="P35" s="38"/>
      <c r="Q35" s="8"/>
    </row>
    <row r="36" spans="1:17">
      <c r="A36" s="415"/>
      <c r="B36" s="74"/>
      <c r="C36" s="62"/>
      <c r="H36" s="8"/>
      <c r="I36" s="8"/>
      <c r="J36" s="8"/>
      <c r="K36" s="8"/>
      <c r="L36" s="8"/>
      <c r="M36" s="8"/>
      <c r="N36" s="8"/>
      <c r="O36" s="8"/>
      <c r="P36" s="8"/>
      <c r="Q36" s="8"/>
    </row>
    <row r="37" spans="1:17" ht="21" customHeight="1">
      <c r="A37" s="416" t="s">
        <v>24</v>
      </c>
      <c r="B37" s="75"/>
      <c r="C37" s="76"/>
      <c r="D37" s="76"/>
      <c r="E37" s="76"/>
      <c r="F37" s="38"/>
      <c r="G37" s="38"/>
      <c r="H37" s="38"/>
      <c r="I37" s="77"/>
      <c r="J37" s="77"/>
      <c r="K37" s="77"/>
    </row>
    <row r="38" spans="1:17" ht="12.75" customHeight="1" thickBot="1">
      <c r="G38" s="38"/>
      <c r="H38" s="38"/>
    </row>
    <row r="39" spans="1:17" ht="88.5" customHeight="1">
      <c r="A39" s="417" t="s">
        <v>25</v>
      </c>
      <c r="B39" s="363" t="s">
        <v>7</v>
      </c>
      <c r="C39" s="80" t="s">
        <v>8</v>
      </c>
      <c r="D39" s="418" t="s">
        <v>26</v>
      </c>
      <c r="E39" s="352" t="s">
        <v>27</v>
      </c>
      <c r="F39" s="353"/>
      <c r="G39" s="30"/>
      <c r="H39" s="30"/>
    </row>
    <row r="40" spans="1:17">
      <c r="A40" s="2149"/>
      <c r="B40" s="2149" t="s">
        <v>171</v>
      </c>
      <c r="C40" s="84">
        <v>2014</v>
      </c>
      <c r="D40" s="33"/>
      <c r="E40" s="32"/>
      <c r="F40" s="8"/>
      <c r="G40" s="38"/>
      <c r="H40" s="38"/>
    </row>
    <row r="41" spans="1:17">
      <c r="A41" s="2149"/>
      <c r="B41" s="2149"/>
      <c r="C41" s="86">
        <v>2015</v>
      </c>
      <c r="D41" s="50">
        <v>33846</v>
      </c>
      <c r="E41" s="39">
        <v>8682</v>
      </c>
      <c r="F41" s="8"/>
      <c r="G41" s="38"/>
      <c r="H41" s="38"/>
    </row>
    <row r="42" spans="1:17">
      <c r="A42" s="2149"/>
      <c r="B42" s="2149"/>
      <c r="C42" s="86">
        <v>2016</v>
      </c>
      <c r="D42" s="50">
        <f>50289+13282</f>
        <v>63571</v>
      </c>
      <c r="E42" s="39">
        <f>19000+8297</f>
        <v>27297</v>
      </c>
      <c r="F42" s="8"/>
      <c r="G42" s="38"/>
      <c r="H42" s="38"/>
    </row>
    <row r="43" spans="1:17">
      <c r="A43" s="2149"/>
      <c r="B43" s="2149"/>
      <c r="C43" s="86">
        <v>2017</v>
      </c>
      <c r="D43" s="50"/>
      <c r="E43" s="39"/>
      <c r="F43" s="8"/>
      <c r="G43" s="38"/>
      <c r="H43" s="38"/>
    </row>
    <row r="44" spans="1:17">
      <c r="A44" s="2149"/>
      <c r="B44" s="2149"/>
      <c r="C44" s="86">
        <v>2018</v>
      </c>
      <c r="D44" s="50"/>
      <c r="E44" s="39"/>
      <c r="F44" s="8"/>
      <c r="G44" s="38"/>
      <c r="H44" s="38"/>
    </row>
    <row r="45" spans="1:17">
      <c r="A45" s="2149"/>
      <c r="B45" s="2149"/>
      <c r="C45" s="86">
        <v>2019</v>
      </c>
      <c r="D45" s="50"/>
      <c r="E45" s="39"/>
      <c r="F45" s="8"/>
      <c r="G45" s="38"/>
      <c r="H45" s="38"/>
    </row>
    <row r="46" spans="1:17">
      <c r="A46" s="2149"/>
      <c r="B46" s="2149"/>
      <c r="C46" s="86">
        <v>2020</v>
      </c>
      <c r="D46" s="50"/>
      <c r="E46" s="39"/>
      <c r="F46" s="8"/>
      <c r="G46" s="38"/>
      <c r="H46" s="38"/>
    </row>
    <row r="47" spans="1:17" ht="42.75" customHeight="1" thickBot="1">
      <c r="A47" s="2150"/>
      <c r="B47" s="2150"/>
      <c r="C47" s="54" t="s">
        <v>12</v>
      </c>
      <c r="D47" s="55">
        <f>SUM(D40:D46)</f>
        <v>97417</v>
      </c>
      <c r="E47" s="419">
        <f>SUM(E40:E46)</f>
        <v>35979</v>
      </c>
      <c r="F47" s="121"/>
      <c r="G47" s="38"/>
      <c r="H47" s="38"/>
    </row>
    <row r="48" spans="1:17" s="38" customFormat="1" ht="15.75" thickBot="1">
      <c r="A48" s="420"/>
      <c r="B48" s="92"/>
      <c r="C48" s="93"/>
    </row>
    <row r="49" spans="1:15" ht="83.25" customHeight="1">
      <c r="A49" s="94" t="s">
        <v>29</v>
      </c>
      <c r="B49" s="363" t="s">
        <v>7</v>
      </c>
      <c r="C49" s="95" t="s">
        <v>8</v>
      </c>
      <c r="D49" s="418" t="s">
        <v>30</v>
      </c>
      <c r="E49" s="96" t="s">
        <v>31</v>
      </c>
      <c r="F49" s="96" t="s">
        <v>32</v>
      </c>
      <c r="G49" s="96" t="s">
        <v>33</v>
      </c>
      <c r="H49" s="96" t="s">
        <v>34</v>
      </c>
      <c r="I49" s="96" t="s">
        <v>35</v>
      </c>
      <c r="J49" s="96" t="s">
        <v>36</v>
      </c>
      <c r="K49" s="97" t="s">
        <v>37</v>
      </c>
    </row>
    <row r="50" spans="1:15" ht="17.25" customHeight="1">
      <c r="A50" s="2005" t="s">
        <v>172</v>
      </c>
      <c r="B50" s="2012"/>
      <c r="C50" s="98" t="s">
        <v>38</v>
      </c>
      <c r="D50" s="33"/>
      <c r="E50" s="34"/>
      <c r="F50" s="34"/>
      <c r="G50" s="34"/>
      <c r="H50" s="34"/>
      <c r="I50" s="34"/>
      <c r="J50" s="34"/>
      <c r="K50" s="37"/>
    </row>
    <row r="51" spans="1:15" ht="15" customHeight="1">
      <c r="A51" s="2007"/>
      <c r="B51" s="2014"/>
      <c r="C51" s="86">
        <v>2014</v>
      </c>
      <c r="D51" s="50"/>
      <c r="E51" s="42"/>
      <c r="F51" s="42"/>
      <c r="G51" s="42"/>
      <c r="H51" s="42"/>
      <c r="I51" s="42"/>
      <c r="J51" s="42"/>
      <c r="K51" s="99"/>
    </row>
    <row r="52" spans="1:15">
      <c r="A52" s="2007"/>
      <c r="B52" s="2014"/>
      <c r="C52" s="86">
        <v>2015</v>
      </c>
      <c r="D52" s="50">
        <v>1</v>
      </c>
      <c r="E52" s="42"/>
      <c r="F52" s="42"/>
      <c r="G52" s="42">
        <v>1883</v>
      </c>
      <c r="H52" s="42"/>
      <c r="I52" s="42"/>
      <c r="J52" s="42">
        <v>49</v>
      </c>
      <c r="K52" s="99">
        <v>1000</v>
      </c>
    </row>
    <row r="53" spans="1:15">
      <c r="A53" s="2007"/>
      <c r="B53" s="2014"/>
      <c r="C53" s="86">
        <v>2016</v>
      </c>
      <c r="D53" s="50">
        <v>1</v>
      </c>
      <c r="E53" s="42"/>
      <c r="F53" s="42"/>
      <c r="G53" s="42">
        <v>1928</v>
      </c>
      <c r="H53" s="42"/>
      <c r="I53" s="42"/>
      <c r="J53" s="42">
        <v>113</v>
      </c>
      <c r="K53" s="99">
        <v>1981</v>
      </c>
    </row>
    <row r="54" spans="1:15">
      <c r="A54" s="2007"/>
      <c r="B54" s="2014"/>
      <c r="C54" s="86">
        <v>2017</v>
      </c>
      <c r="D54" s="50"/>
      <c r="E54" s="42"/>
      <c r="F54" s="42"/>
      <c r="G54" s="42"/>
      <c r="H54" s="42"/>
      <c r="I54" s="42"/>
      <c r="J54" s="42"/>
      <c r="K54" s="99"/>
    </row>
    <row r="55" spans="1:15">
      <c r="A55" s="2007"/>
      <c r="B55" s="2014"/>
      <c r="C55" s="86">
        <v>2018</v>
      </c>
      <c r="D55" s="50"/>
      <c r="E55" s="42"/>
      <c r="F55" s="42"/>
      <c r="G55" s="42"/>
      <c r="H55" s="42"/>
      <c r="I55" s="42"/>
      <c r="J55" s="42"/>
      <c r="K55" s="99"/>
    </row>
    <row r="56" spans="1:15">
      <c r="A56" s="2007"/>
      <c r="B56" s="2014"/>
      <c r="C56" s="86">
        <v>2019</v>
      </c>
      <c r="D56" s="50"/>
      <c r="E56" s="42"/>
      <c r="F56" s="42"/>
      <c r="G56" s="42"/>
      <c r="H56" s="42"/>
      <c r="I56" s="42"/>
      <c r="J56" s="42"/>
      <c r="K56" s="99"/>
    </row>
    <row r="57" spans="1:15">
      <c r="A57" s="2007"/>
      <c r="B57" s="2014"/>
      <c r="C57" s="86">
        <v>2020</v>
      </c>
      <c r="D57" s="50"/>
      <c r="E57" s="42"/>
      <c r="F57" s="42"/>
      <c r="G57" s="42"/>
      <c r="H57" s="42"/>
      <c r="I57" s="42"/>
      <c r="J57" s="42"/>
      <c r="K57" s="100"/>
    </row>
    <row r="58" spans="1:15" ht="20.25" customHeight="1" thickBot="1">
      <c r="A58" s="2009"/>
      <c r="B58" s="2016"/>
      <c r="C58" s="54" t="s">
        <v>12</v>
      </c>
      <c r="D58" s="55">
        <f>SUM(D51:D57)</f>
        <v>2</v>
      </c>
      <c r="E58" s="56">
        <f>SUM(E51:E57)</f>
        <v>0</v>
      </c>
      <c r="F58" s="56">
        <f>SUM(F51:F57)</f>
        <v>0</v>
      </c>
      <c r="G58" s="56">
        <f>SUM(G51:G57)</f>
        <v>3811</v>
      </c>
      <c r="H58" s="56">
        <f>SUM(H51:H57)</f>
        <v>0</v>
      </c>
      <c r="I58" s="56">
        <f t="shared" ref="I58" si="3">SUM(I51:I57)</f>
        <v>0</v>
      </c>
      <c r="J58" s="56">
        <f>SUM(J51:J57)</f>
        <v>162</v>
      </c>
      <c r="K58" s="60">
        <f>SUM(K50:K56)</f>
        <v>2981</v>
      </c>
    </row>
    <row r="59" spans="1:15" ht="15.75" thickBot="1"/>
    <row r="60" spans="1:15" ht="21" customHeight="1">
      <c r="A60" s="2151" t="s">
        <v>39</v>
      </c>
      <c r="B60" s="421"/>
      <c r="C60" s="2152" t="s">
        <v>8</v>
      </c>
      <c r="D60" s="2153" t="s">
        <v>40</v>
      </c>
      <c r="E60" s="102" t="s">
        <v>5</v>
      </c>
      <c r="F60" s="360"/>
      <c r="G60" s="360"/>
      <c r="H60" s="360"/>
      <c r="I60" s="360"/>
      <c r="J60" s="360"/>
      <c r="K60" s="360"/>
      <c r="L60" s="361"/>
    </row>
    <row r="61" spans="1:15" ht="115.5" customHeight="1">
      <c r="A61" s="2100"/>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031" t="s">
        <v>173</v>
      </c>
      <c r="B62" s="2025"/>
      <c r="C62" s="112">
        <v>2014</v>
      </c>
      <c r="D62" s="113"/>
      <c r="E62" s="114"/>
      <c r="F62" s="115"/>
      <c r="G62" s="115"/>
      <c r="H62" s="115"/>
      <c r="I62" s="115"/>
      <c r="J62" s="115"/>
      <c r="K62" s="115"/>
      <c r="L62" s="37"/>
      <c r="M62" s="8"/>
      <c r="N62" s="8"/>
      <c r="O62" s="8"/>
    </row>
    <row r="63" spans="1:15">
      <c r="A63" s="2024"/>
      <c r="B63" s="2025"/>
      <c r="C63" s="116">
        <v>2015</v>
      </c>
      <c r="D63" s="117">
        <v>3</v>
      </c>
      <c r="E63" s="118"/>
      <c r="F63" s="42">
        <v>1</v>
      </c>
      <c r="G63" s="42"/>
      <c r="H63" s="42">
        <v>1</v>
      </c>
      <c r="I63" s="42"/>
      <c r="J63" s="42">
        <v>1</v>
      </c>
      <c r="K63" s="42"/>
      <c r="L63" s="99"/>
      <c r="M63" s="8"/>
      <c r="N63" s="8"/>
      <c r="O63" s="8"/>
    </row>
    <row r="64" spans="1:15">
      <c r="A64" s="2024"/>
      <c r="B64" s="2025"/>
      <c r="C64" s="116">
        <v>2016</v>
      </c>
      <c r="D64" s="117">
        <v>109</v>
      </c>
      <c r="E64" s="118"/>
      <c r="F64" s="42"/>
      <c r="G64" s="42"/>
      <c r="H64" s="42">
        <v>4</v>
      </c>
      <c r="I64" s="42"/>
      <c r="J64" s="42"/>
      <c r="K64" s="42"/>
      <c r="L64" s="99">
        <v>105</v>
      </c>
      <c r="M64" s="8"/>
      <c r="N64" s="8"/>
      <c r="O64" s="8"/>
    </row>
    <row r="65" spans="1:20">
      <c r="A65" s="2024"/>
      <c r="B65" s="2025"/>
      <c r="C65" s="116">
        <v>2017</v>
      </c>
      <c r="D65" s="117"/>
      <c r="E65" s="118"/>
      <c r="F65" s="42"/>
      <c r="G65" s="42"/>
      <c r="H65" s="42"/>
      <c r="I65" s="42"/>
      <c r="J65" s="42"/>
      <c r="K65" s="42"/>
      <c r="L65" s="99"/>
      <c r="M65" s="8"/>
      <c r="N65" s="8"/>
      <c r="O65" s="8"/>
    </row>
    <row r="66" spans="1:20">
      <c r="A66" s="2024"/>
      <c r="B66" s="2025"/>
      <c r="C66" s="116">
        <v>2018</v>
      </c>
      <c r="D66" s="117"/>
      <c r="E66" s="118"/>
      <c r="F66" s="42"/>
      <c r="G66" s="42"/>
      <c r="H66" s="42"/>
      <c r="I66" s="42"/>
      <c r="J66" s="42"/>
      <c r="K66" s="42"/>
      <c r="L66" s="99"/>
      <c r="M66" s="8"/>
      <c r="N66" s="8"/>
      <c r="O66" s="8"/>
    </row>
    <row r="67" spans="1:20" ht="17.25" customHeight="1">
      <c r="A67" s="2024"/>
      <c r="B67" s="2025"/>
      <c r="C67" s="116">
        <v>2019</v>
      </c>
      <c r="D67" s="117"/>
      <c r="E67" s="118"/>
      <c r="F67" s="42"/>
      <c r="G67" s="42"/>
      <c r="H67" s="42"/>
      <c r="I67" s="42"/>
      <c r="J67" s="42"/>
      <c r="K67" s="42"/>
      <c r="L67" s="99"/>
      <c r="M67" s="8"/>
      <c r="N67" s="8"/>
      <c r="O67" s="8"/>
    </row>
    <row r="68" spans="1:20" ht="16.5" customHeight="1">
      <c r="A68" s="2024"/>
      <c r="B68" s="2025"/>
      <c r="C68" s="116">
        <v>2020</v>
      </c>
      <c r="D68" s="117"/>
      <c r="E68" s="118"/>
      <c r="F68" s="42"/>
      <c r="G68" s="42"/>
      <c r="H68" s="42"/>
      <c r="I68" s="42"/>
      <c r="J68" s="42"/>
      <c r="K68" s="42"/>
      <c r="L68" s="99"/>
      <c r="M68" s="121"/>
      <c r="N68" s="121"/>
      <c r="O68" s="121"/>
    </row>
    <row r="69" spans="1:20" ht="18" customHeight="1" thickBot="1">
      <c r="A69" s="2134"/>
      <c r="B69" s="2027"/>
      <c r="C69" s="122" t="s">
        <v>12</v>
      </c>
      <c r="D69" s="123">
        <f>SUM(D62:D68)</f>
        <v>112</v>
      </c>
      <c r="E69" s="124">
        <f>SUM(E62:E68)</f>
        <v>0</v>
      </c>
      <c r="F69" s="125">
        <f t="shared" ref="F69:I69" si="4">SUM(F62:F68)</f>
        <v>1</v>
      </c>
      <c r="G69" s="125">
        <f t="shared" si="4"/>
        <v>0</v>
      </c>
      <c r="H69" s="125">
        <f t="shared" si="4"/>
        <v>5</v>
      </c>
      <c r="I69" s="125">
        <f t="shared" si="4"/>
        <v>0</v>
      </c>
      <c r="J69" s="125"/>
      <c r="K69" s="125">
        <f>SUM(K62:K68)</f>
        <v>0</v>
      </c>
      <c r="L69" s="126">
        <f>SUM(L62:L68)</f>
        <v>105</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417" t="s">
        <v>42</v>
      </c>
      <c r="B71" s="363" t="s">
        <v>7</v>
      </c>
      <c r="C71" s="80" t="s">
        <v>8</v>
      </c>
      <c r="D71" s="132" t="s">
        <v>43</v>
      </c>
      <c r="E71" s="132" t="s">
        <v>44</v>
      </c>
      <c r="F71" s="133" t="s">
        <v>45</v>
      </c>
      <c r="G71" s="364" t="s">
        <v>46</v>
      </c>
      <c r="H71" s="135" t="s">
        <v>13</v>
      </c>
      <c r="I71" s="136" t="s">
        <v>14</v>
      </c>
      <c r="J71" s="137" t="s">
        <v>15</v>
      </c>
      <c r="K71" s="136" t="s">
        <v>16</v>
      </c>
      <c r="L71" s="136" t="s">
        <v>17</v>
      </c>
      <c r="M71" s="138" t="s">
        <v>18</v>
      </c>
      <c r="N71" s="137" t="s">
        <v>19</v>
      </c>
      <c r="O71" s="139" t="s">
        <v>20</v>
      </c>
    </row>
    <row r="72" spans="1:20" ht="15" customHeight="1">
      <c r="A72" s="2144"/>
      <c r="B72" s="2144" t="s">
        <v>174</v>
      </c>
      <c r="C72" s="84">
        <v>2014</v>
      </c>
      <c r="D72" s="140"/>
      <c r="E72" s="140"/>
      <c r="F72" s="140"/>
      <c r="G72" s="141">
        <f>SUM(D72:F72)</f>
        <v>0</v>
      </c>
      <c r="H72" s="33"/>
      <c r="I72" s="142"/>
      <c r="J72" s="115"/>
      <c r="K72" s="115"/>
      <c r="L72" s="115"/>
      <c r="M72" s="115"/>
      <c r="N72" s="115"/>
      <c r="O72" s="143"/>
    </row>
    <row r="73" spans="1:20">
      <c r="A73" s="2144"/>
      <c r="B73" s="2144"/>
      <c r="C73" s="86">
        <v>2015</v>
      </c>
      <c r="D73" s="147"/>
      <c r="E73" s="147"/>
      <c r="F73" s="147"/>
      <c r="G73" s="141">
        <f t="shared" ref="G73:G78" si="5">SUM(D73:F73)</f>
        <v>0</v>
      </c>
      <c r="H73" s="50"/>
      <c r="I73" s="50"/>
      <c r="J73" s="42"/>
      <c r="K73" s="42"/>
      <c r="L73" s="42"/>
      <c r="M73" s="42"/>
      <c r="N73" s="42"/>
      <c r="O73" s="99"/>
    </row>
    <row r="74" spans="1:20">
      <c r="A74" s="2144"/>
      <c r="B74" s="2144"/>
      <c r="C74" s="86">
        <v>2016</v>
      </c>
      <c r="D74" s="147"/>
      <c r="E74" s="422"/>
      <c r="F74" s="147"/>
      <c r="G74" s="141">
        <f t="shared" si="5"/>
        <v>0</v>
      </c>
      <c r="H74" s="50"/>
      <c r="I74" s="50"/>
      <c r="J74" s="42"/>
      <c r="K74" s="42"/>
      <c r="L74" s="42"/>
      <c r="M74" s="42"/>
      <c r="N74" s="42"/>
      <c r="O74" s="99"/>
    </row>
    <row r="75" spans="1:20">
      <c r="A75" s="2144"/>
      <c r="B75" s="2144"/>
      <c r="C75" s="86">
        <v>2017</v>
      </c>
      <c r="D75" s="147"/>
      <c r="E75" s="147"/>
      <c r="F75" s="147"/>
      <c r="G75" s="141">
        <f t="shared" si="5"/>
        <v>0</v>
      </c>
      <c r="H75" s="50"/>
      <c r="I75" s="50"/>
      <c r="J75" s="42"/>
      <c r="K75" s="42"/>
      <c r="L75" s="42"/>
      <c r="M75" s="42"/>
      <c r="N75" s="42"/>
      <c r="O75" s="99"/>
    </row>
    <row r="76" spans="1:20">
      <c r="A76" s="2144"/>
      <c r="B76" s="2144"/>
      <c r="C76" s="86">
        <v>2018</v>
      </c>
      <c r="D76" s="147"/>
      <c r="E76" s="147"/>
      <c r="F76" s="147"/>
      <c r="G76" s="141">
        <f t="shared" si="5"/>
        <v>0</v>
      </c>
      <c r="H76" s="50"/>
      <c r="I76" s="50"/>
      <c r="J76" s="42"/>
      <c r="K76" s="42"/>
      <c r="L76" s="42"/>
      <c r="M76" s="42"/>
      <c r="N76" s="42"/>
      <c r="O76" s="99"/>
    </row>
    <row r="77" spans="1:20" ht="15.75" customHeight="1">
      <c r="A77" s="2144"/>
      <c r="B77" s="2144"/>
      <c r="C77" s="86">
        <v>2019</v>
      </c>
      <c r="D77" s="147"/>
      <c r="E77" s="147"/>
      <c r="F77" s="147"/>
      <c r="G77" s="141">
        <f t="shared" si="5"/>
        <v>0</v>
      </c>
      <c r="H77" s="50"/>
      <c r="I77" s="50"/>
      <c r="J77" s="42"/>
      <c r="K77" s="42"/>
      <c r="L77" s="42"/>
      <c r="M77" s="42"/>
      <c r="N77" s="42"/>
      <c r="O77" s="99"/>
    </row>
    <row r="78" spans="1:20" ht="17.25" customHeight="1">
      <c r="A78" s="2144"/>
      <c r="B78" s="2144"/>
      <c r="C78" s="86">
        <v>2020</v>
      </c>
      <c r="D78" s="147"/>
      <c r="E78" s="147"/>
      <c r="F78" s="147"/>
      <c r="G78" s="141">
        <f t="shared" si="5"/>
        <v>0</v>
      </c>
      <c r="H78" s="50"/>
      <c r="I78" s="50"/>
      <c r="J78" s="42"/>
      <c r="K78" s="42"/>
      <c r="L78" s="42"/>
      <c r="M78" s="42"/>
      <c r="N78" s="42"/>
      <c r="O78" s="99"/>
    </row>
    <row r="79" spans="1:20" ht="20.25" customHeight="1" thickBot="1">
      <c r="A79" s="2145"/>
      <c r="B79" s="2145"/>
      <c r="C79" s="148" t="s">
        <v>12</v>
      </c>
      <c r="D79" s="123">
        <f>SUM(D72:D78)</f>
        <v>0</v>
      </c>
      <c r="E79" s="123">
        <f>SUM(E72:E78)</f>
        <v>0</v>
      </c>
      <c r="F79" s="123">
        <f>SUM(F72:F78)</f>
        <v>0</v>
      </c>
      <c r="G79" s="149">
        <f>SUM(G72:G78)</f>
        <v>0</v>
      </c>
      <c r="H79" s="150">
        <v>0</v>
      </c>
      <c r="I79" s="151">
        <f t="shared" ref="I79:O79" si="6">SUM(I72:I78)</f>
        <v>0</v>
      </c>
      <c r="J79" s="125">
        <f t="shared" si="6"/>
        <v>0</v>
      </c>
      <c r="K79" s="125">
        <f t="shared" si="6"/>
        <v>0</v>
      </c>
      <c r="L79" s="125">
        <f t="shared" si="6"/>
        <v>0</v>
      </c>
      <c r="M79" s="125">
        <f t="shared" si="6"/>
        <v>0</v>
      </c>
      <c r="N79" s="125">
        <f t="shared" si="6"/>
        <v>0</v>
      </c>
      <c r="O79" s="126">
        <f t="shared" si="6"/>
        <v>0</v>
      </c>
    </row>
    <row r="81" spans="1:16" ht="36.75" customHeight="1">
      <c r="A81" s="152"/>
      <c r="B81" s="128"/>
      <c r="C81" s="153"/>
      <c r="D81" s="154"/>
      <c r="E81" s="121"/>
      <c r="F81" s="121"/>
      <c r="G81" s="121"/>
      <c r="H81" s="121"/>
      <c r="I81" s="121"/>
      <c r="J81" s="121"/>
      <c r="K81" s="121"/>
    </row>
    <row r="82" spans="1:16" ht="28.5" customHeight="1">
      <c r="A82" s="423" t="s">
        <v>48</v>
      </c>
      <c r="B82" s="155"/>
      <c r="C82" s="156"/>
      <c r="D82" s="156"/>
      <c r="E82" s="156"/>
      <c r="F82" s="156"/>
      <c r="G82" s="156"/>
      <c r="H82" s="156"/>
      <c r="I82" s="156"/>
      <c r="J82" s="156"/>
      <c r="K82" s="156"/>
      <c r="L82" s="157"/>
    </row>
    <row r="83" spans="1:16" ht="14.25" customHeight="1" thickBot="1">
      <c r="A83" s="424"/>
      <c r="B83" s="158"/>
    </row>
    <row r="84" spans="1:16" s="31" customFormat="1" ht="128.25" customHeight="1">
      <c r="A84" s="425" t="s">
        <v>49</v>
      </c>
      <c r="B84" s="367" t="s">
        <v>50</v>
      </c>
      <c r="C84" s="161" t="s">
        <v>8</v>
      </c>
      <c r="D84" s="368" t="s">
        <v>51</v>
      </c>
      <c r="E84" s="163" t="s">
        <v>52</v>
      </c>
      <c r="F84" s="164" t="s">
        <v>53</v>
      </c>
      <c r="G84" s="164" t="s">
        <v>54</v>
      </c>
      <c r="H84" s="164" t="s">
        <v>55</v>
      </c>
      <c r="I84" s="164" t="s">
        <v>56</v>
      </c>
      <c r="J84" s="164" t="s">
        <v>57</v>
      </c>
      <c r="K84" s="165" t="s">
        <v>58</v>
      </c>
    </row>
    <row r="85" spans="1:16" ht="15" customHeight="1">
      <c r="A85" s="2071"/>
      <c r="B85" s="2156"/>
      <c r="C85" s="84">
        <v>2014</v>
      </c>
      <c r="D85" s="166"/>
      <c r="E85" s="167"/>
      <c r="F85" s="34"/>
      <c r="G85" s="34"/>
      <c r="H85" s="34"/>
      <c r="I85" s="34"/>
      <c r="J85" s="34"/>
      <c r="K85" s="37"/>
    </row>
    <row r="86" spans="1:16">
      <c r="A86" s="2157"/>
      <c r="B86" s="2156"/>
      <c r="C86" s="86">
        <v>2015</v>
      </c>
      <c r="D86" s="168"/>
      <c r="E86" s="118"/>
      <c r="F86" s="42"/>
      <c r="G86" s="42"/>
      <c r="H86" s="42"/>
      <c r="I86" s="42"/>
      <c r="J86" s="42"/>
      <c r="K86" s="99"/>
    </row>
    <row r="87" spans="1:16">
      <c r="A87" s="2157"/>
      <c r="B87" s="2156"/>
      <c r="C87" s="86">
        <v>2016</v>
      </c>
      <c r="D87" s="168"/>
      <c r="E87" s="118"/>
      <c r="F87" s="42"/>
      <c r="G87" s="42"/>
      <c r="H87" s="42"/>
      <c r="I87" s="42"/>
      <c r="J87" s="42"/>
      <c r="K87" s="99"/>
    </row>
    <row r="88" spans="1:16">
      <c r="A88" s="2157"/>
      <c r="B88" s="2156"/>
      <c r="C88" s="86">
        <v>2017</v>
      </c>
      <c r="D88" s="168"/>
      <c r="E88" s="118"/>
      <c r="F88" s="42"/>
      <c r="G88" s="42"/>
      <c r="H88" s="42"/>
      <c r="I88" s="42"/>
      <c r="J88" s="42"/>
      <c r="K88" s="99"/>
    </row>
    <row r="89" spans="1:16">
      <c r="A89" s="2157"/>
      <c r="B89" s="2156"/>
      <c r="C89" s="86">
        <v>2018</v>
      </c>
      <c r="D89" s="168"/>
      <c r="E89" s="118"/>
      <c r="F89" s="42"/>
      <c r="G89" s="42"/>
      <c r="H89" s="42"/>
      <c r="I89" s="42"/>
      <c r="J89" s="42"/>
      <c r="K89" s="99"/>
    </row>
    <row r="90" spans="1:16">
      <c r="A90" s="2157"/>
      <c r="B90" s="2156"/>
      <c r="C90" s="86">
        <v>2019</v>
      </c>
      <c r="D90" s="168"/>
      <c r="E90" s="118"/>
      <c r="F90" s="42"/>
      <c r="G90" s="42"/>
      <c r="H90" s="42"/>
      <c r="I90" s="42"/>
      <c r="J90" s="42"/>
      <c r="K90" s="99"/>
    </row>
    <row r="91" spans="1:16">
      <c r="A91" s="2157"/>
      <c r="B91" s="2156"/>
      <c r="C91" s="86">
        <v>2020</v>
      </c>
      <c r="D91" s="168"/>
      <c r="E91" s="118"/>
      <c r="F91" s="42"/>
      <c r="G91" s="42"/>
      <c r="H91" s="42"/>
      <c r="I91" s="42"/>
      <c r="J91" s="42"/>
      <c r="K91" s="99"/>
    </row>
    <row r="92" spans="1:16" ht="18" customHeight="1" thickBot="1">
      <c r="A92" s="2158"/>
      <c r="B92" s="2159"/>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426" t="s">
        <v>59</v>
      </c>
      <c r="B94" s="170"/>
      <c r="C94" s="171"/>
      <c r="D94" s="171"/>
      <c r="E94" s="171"/>
      <c r="F94" s="171"/>
      <c r="G94" s="171"/>
      <c r="H94" s="171"/>
      <c r="I94" s="171"/>
      <c r="J94" s="171"/>
      <c r="K94" s="171"/>
      <c r="L94" s="171"/>
      <c r="M94" s="171"/>
      <c r="N94" s="172"/>
      <c r="O94" s="172"/>
      <c r="P94" s="172"/>
    </row>
    <row r="95" spans="1:16" s="77" customFormat="1" ht="15" customHeight="1" thickBot="1">
      <c r="A95" s="427"/>
      <c r="B95" s="173"/>
    </row>
    <row r="96" spans="1:16" ht="29.25" customHeight="1">
      <c r="A96" s="2127" t="s">
        <v>60</v>
      </c>
      <c r="B96" s="2128" t="s">
        <v>61</v>
      </c>
      <c r="C96" s="2132" t="s">
        <v>8</v>
      </c>
      <c r="D96" s="2130" t="s">
        <v>62</v>
      </c>
      <c r="E96" s="2131"/>
      <c r="F96" s="174" t="s">
        <v>63</v>
      </c>
      <c r="G96" s="370"/>
      <c r="H96" s="370"/>
      <c r="I96" s="370"/>
      <c r="J96" s="370"/>
      <c r="K96" s="370"/>
      <c r="L96" s="370"/>
      <c r="M96" s="371"/>
      <c r="N96" s="177"/>
      <c r="O96" s="177"/>
      <c r="P96" s="177"/>
    </row>
    <row r="97" spans="1:16" ht="100.5" customHeight="1">
      <c r="A97" s="2041"/>
      <c r="B97" s="2154"/>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031" t="s">
        <v>175</v>
      </c>
      <c r="B98" s="2156"/>
      <c r="C98" s="112">
        <v>2014</v>
      </c>
      <c r="D98" s="33"/>
      <c r="E98" s="34"/>
      <c r="F98" s="186"/>
      <c r="G98" s="187"/>
      <c r="H98" s="187"/>
      <c r="I98" s="187"/>
      <c r="J98" s="187"/>
      <c r="K98" s="187"/>
      <c r="L98" s="187"/>
      <c r="M98" s="188"/>
      <c r="N98" s="177"/>
      <c r="O98" s="177"/>
      <c r="P98" s="177"/>
    </row>
    <row r="99" spans="1:16" ht="16.5" customHeight="1">
      <c r="A99" s="2157"/>
      <c r="B99" s="2156"/>
      <c r="C99" s="116">
        <v>2015</v>
      </c>
      <c r="D99" s="50">
        <v>1</v>
      </c>
      <c r="E99" s="42">
        <v>1</v>
      </c>
      <c r="F99" s="189"/>
      <c r="G99" s="190"/>
      <c r="H99" s="190"/>
      <c r="I99" s="190"/>
      <c r="J99" s="190"/>
      <c r="K99" s="190"/>
      <c r="L99" s="190"/>
      <c r="M99" s="193">
        <v>1</v>
      </c>
      <c r="N99" s="177"/>
      <c r="O99" s="177"/>
      <c r="P99" s="177"/>
    </row>
    <row r="100" spans="1:16" ht="16.5" customHeight="1">
      <c r="A100" s="2157"/>
      <c r="B100" s="2156"/>
      <c r="C100" s="116">
        <v>2016</v>
      </c>
      <c r="D100" s="50">
        <v>1</v>
      </c>
      <c r="E100" s="42">
        <v>3</v>
      </c>
      <c r="F100" s="189"/>
      <c r="G100" s="190"/>
      <c r="H100" s="190"/>
      <c r="I100" s="190"/>
      <c r="J100" s="190"/>
      <c r="K100" s="190"/>
      <c r="L100" s="190"/>
      <c r="M100" s="193">
        <v>1</v>
      </c>
      <c r="N100" s="177"/>
      <c r="O100" s="177"/>
      <c r="P100" s="177"/>
    </row>
    <row r="101" spans="1:16" ht="16.5" customHeight="1">
      <c r="A101" s="2157"/>
      <c r="B101" s="2156"/>
      <c r="C101" s="116">
        <v>2017</v>
      </c>
      <c r="D101" s="50"/>
      <c r="E101" s="42"/>
      <c r="F101" s="189"/>
      <c r="G101" s="190"/>
      <c r="H101" s="190"/>
      <c r="I101" s="190"/>
      <c r="J101" s="190"/>
      <c r="K101" s="190"/>
      <c r="L101" s="190"/>
      <c r="M101" s="193"/>
      <c r="N101" s="177"/>
      <c r="O101" s="177"/>
      <c r="P101" s="177"/>
    </row>
    <row r="102" spans="1:16" ht="15.75" customHeight="1">
      <c r="A102" s="2157"/>
      <c r="B102" s="2156"/>
      <c r="C102" s="116">
        <v>2018</v>
      </c>
      <c r="D102" s="50"/>
      <c r="E102" s="42"/>
      <c r="F102" s="189"/>
      <c r="G102" s="190"/>
      <c r="H102" s="190"/>
      <c r="I102" s="190"/>
      <c r="J102" s="190"/>
      <c r="K102" s="190"/>
      <c r="L102" s="190"/>
      <c r="M102" s="193"/>
      <c r="N102" s="177"/>
      <c r="O102" s="177"/>
      <c r="P102" s="177"/>
    </row>
    <row r="103" spans="1:16" ht="14.25" customHeight="1">
      <c r="A103" s="2157"/>
      <c r="B103" s="2156"/>
      <c r="C103" s="116">
        <v>2019</v>
      </c>
      <c r="D103" s="50"/>
      <c r="E103" s="42"/>
      <c r="F103" s="189"/>
      <c r="G103" s="190"/>
      <c r="H103" s="190"/>
      <c r="I103" s="190"/>
      <c r="J103" s="190"/>
      <c r="K103" s="190"/>
      <c r="L103" s="190"/>
      <c r="M103" s="193"/>
      <c r="N103" s="177"/>
      <c r="O103" s="177"/>
      <c r="P103" s="177"/>
    </row>
    <row r="104" spans="1:16" ht="14.25" customHeight="1">
      <c r="A104" s="2157"/>
      <c r="B104" s="2156"/>
      <c r="C104" s="116">
        <v>2020</v>
      </c>
      <c r="D104" s="50"/>
      <c r="E104" s="42"/>
      <c r="F104" s="189"/>
      <c r="G104" s="190"/>
      <c r="H104" s="190"/>
      <c r="I104" s="190"/>
      <c r="J104" s="190"/>
      <c r="K104" s="190"/>
      <c r="L104" s="190"/>
      <c r="M104" s="193"/>
      <c r="N104" s="177"/>
      <c r="O104" s="177"/>
      <c r="P104" s="177"/>
    </row>
    <row r="105" spans="1:16" ht="19.5" customHeight="1" thickBot="1">
      <c r="A105" s="2158"/>
      <c r="B105" s="2159"/>
      <c r="C105" s="122" t="s">
        <v>12</v>
      </c>
      <c r="D105" s="151">
        <f>SUM(D98:D104)</f>
        <v>2</v>
      </c>
      <c r="E105" s="125">
        <f t="shared" ref="E105:K105" si="8">SUM(E98:E104)</f>
        <v>4</v>
      </c>
      <c r="F105" s="194">
        <f t="shared" si="8"/>
        <v>0</v>
      </c>
      <c r="G105" s="195">
        <f t="shared" si="8"/>
        <v>0</v>
      </c>
      <c r="H105" s="195">
        <f t="shared" si="8"/>
        <v>0</v>
      </c>
      <c r="I105" s="195">
        <f>SUM(I98:I104)</f>
        <v>0</v>
      </c>
      <c r="J105" s="195">
        <f t="shared" si="8"/>
        <v>0</v>
      </c>
      <c r="K105" s="195">
        <f t="shared" si="8"/>
        <v>0</v>
      </c>
      <c r="L105" s="195">
        <f>SUM(L98:L104)</f>
        <v>0</v>
      </c>
      <c r="M105" s="196">
        <f>SUM(M98:M104)</f>
        <v>2</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127" t="s">
        <v>69</v>
      </c>
      <c r="B107" s="2128" t="s">
        <v>61</v>
      </c>
      <c r="C107" s="2132" t="s">
        <v>8</v>
      </c>
      <c r="D107" s="2155" t="s">
        <v>70</v>
      </c>
      <c r="E107" s="174" t="s">
        <v>71</v>
      </c>
      <c r="F107" s="370"/>
      <c r="G107" s="370"/>
      <c r="H107" s="370"/>
      <c r="I107" s="370"/>
      <c r="J107" s="370"/>
      <c r="K107" s="370"/>
      <c r="L107" s="371"/>
      <c r="M107" s="199"/>
      <c r="N107" s="199"/>
    </row>
    <row r="108" spans="1:16" ht="103.5" customHeight="1">
      <c r="A108" s="2041"/>
      <c r="B108" s="2154"/>
      <c r="C108" s="2056"/>
      <c r="D108" s="2058"/>
      <c r="E108" s="180" t="s">
        <v>13</v>
      </c>
      <c r="F108" s="181" t="s">
        <v>66</v>
      </c>
      <c r="G108" s="182" t="s">
        <v>54</v>
      </c>
      <c r="H108" s="183" t="s">
        <v>55</v>
      </c>
      <c r="I108" s="183" t="s">
        <v>56</v>
      </c>
      <c r="J108" s="184" t="s">
        <v>67</v>
      </c>
      <c r="K108" s="182" t="s">
        <v>57</v>
      </c>
      <c r="L108" s="185" t="s">
        <v>58</v>
      </c>
      <c r="M108" s="199"/>
      <c r="N108" s="199"/>
    </row>
    <row r="109" spans="1:16">
      <c r="A109" s="2031"/>
      <c r="B109" s="2156"/>
      <c r="C109" s="112">
        <v>2014</v>
      </c>
      <c r="D109" s="34"/>
      <c r="E109" s="186"/>
      <c r="F109" s="187"/>
      <c r="G109" s="187"/>
      <c r="H109" s="187"/>
      <c r="I109" s="187"/>
      <c r="J109" s="187"/>
      <c r="K109" s="187"/>
      <c r="L109" s="188"/>
      <c r="M109" s="199"/>
      <c r="N109" s="199"/>
    </row>
    <row r="110" spans="1:16">
      <c r="A110" s="2157"/>
      <c r="B110" s="2156"/>
      <c r="C110" s="116">
        <v>2015</v>
      </c>
      <c r="D110" s="42"/>
      <c r="E110" s="189"/>
      <c r="F110" s="190"/>
      <c r="G110" s="190"/>
      <c r="H110" s="190"/>
      <c r="I110" s="190"/>
      <c r="J110" s="190"/>
      <c r="K110" s="190"/>
      <c r="L110" s="193"/>
      <c r="M110" s="199"/>
      <c r="N110" s="199"/>
    </row>
    <row r="111" spans="1:16">
      <c r="A111" s="2157"/>
      <c r="B111" s="2156"/>
      <c r="C111" s="116">
        <v>2016</v>
      </c>
      <c r="D111" s="42"/>
      <c r="E111" s="189"/>
      <c r="F111" s="190"/>
      <c r="G111" s="190"/>
      <c r="H111" s="190"/>
      <c r="I111" s="190"/>
      <c r="J111" s="190"/>
      <c r="K111" s="190"/>
      <c r="L111" s="193"/>
      <c r="M111" s="199"/>
      <c r="N111" s="199"/>
    </row>
    <row r="112" spans="1:16">
      <c r="A112" s="2157"/>
      <c r="B112" s="2156"/>
      <c r="C112" s="116">
        <v>2017</v>
      </c>
      <c r="D112" s="42"/>
      <c r="E112" s="189"/>
      <c r="F112" s="190"/>
      <c r="G112" s="190"/>
      <c r="H112" s="190"/>
      <c r="I112" s="190"/>
      <c r="J112" s="190"/>
      <c r="K112" s="190"/>
      <c r="L112" s="193"/>
      <c r="M112" s="199"/>
      <c r="N112" s="199"/>
    </row>
    <row r="113" spans="1:14">
      <c r="A113" s="2157"/>
      <c r="B113" s="2156"/>
      <c r="C113" s="116">
        <v>2018</v>
      </c>
      <c r="D113" s="42"/>
      <c r="E113" s="189"/>
      <c r="F113" s="190"/>
      <c r="G113" s="190"/>
      <c r="H113" s="190"/>
      <c r="I113" s="190"/>
      <c r="J113" s="190"/>
      <c r="K113" s="190"/>
      <c r="L113" s="193"/>
      <c r="M113" s="199"/>
      <c r="N113" s="199"/>
    </row>
    <row r="114" spans="1:14">
      <c r="A114" s="2157"/>
      <c r="B114" s="2156"/>
      <c r="C114" s="116">
        <v>2019</v>
      </c>
      <c r="D114" s="42"/>
      <c r="E114" s="189"/>
      <c r="F114" s="190"/>
      <c r="G114" s="190"/>
      <c r="H114" s="190"/>
      <c r="I114" s="190"/>
      <c r="J114" s="190"/>
      <c r="K114" s="190"/>
      <c r="L114" s="193"/>
      <c r="M114" s="199"/>
      <c r="N114" s="199"/>
    </row>
    <row r="115" spans="1:14">
      <c r="A115" s="2157"/>
      <c r="B115" s="2156"/>
      <c r="C115" s="116">
        <v>2020</v>
      </c>
      <c r="D115" s="42"/>
      <c r="E115" s="189"/>
      <c r="F115" s="190"/>
      <c r="G115" s="190"/>
      <c r="H115" s="190"/>
      <c r="I115" s="190"/>
      <c r="J115" s="190"/>
      <c r="K115" s="190"/>
      <c r="L115" s="193"/>
      <c r="M115" s="199"/>
      <c r="N115" s="199"/>
    </row>
    <row r="116" spans="1:14" ht="25.5" customHeight="1" thickBot="1">
      <c r="A116" s="2158"/>
      <c r="B116" s="2159"/>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428"/>
      <c r="B117" s="201"/>
      <c r="C117" s="77"/>
      <c r="D117" s="77"/>
      <c r="E117" s="77"/>
      <c r="F117" s="77"/>
      <c r="G117" s="77"/>
      <c r="H117" s="77"/>
      <c r="I117" s="77"/>
      <c r="J117" s="77"/>
      <c r="K117" s="77"/>
      <c r="L117" s="77"/>
      <c r="M117" s="199"/>
      <c r="N117" s="199"/>
    </row>
    <row r="118" spans="1:14" ht="15" customHeight="1">
      <c r="A118" s="2127" t="s">
        <v>72</v>
      </c>
      <c r="B118" s="2128" t="s">
        <v>61</v>
      </c>
      <c r="C118" s="2132" t="s">
        <v>8</v>
      </c>
      <c r="D118" s="2155" t="s">
        <v>73</v>
      </c>
      <c r="E118" s="174" t="s">
        <v>71</v>
      </c>
      <c r="F118" s="370"/>
      <c r="G118" s="370"/>
      <c r="H118" s="370"/>
      <c r="I118" s="370"/>
      <c r="J118" s="370"/>
      <c r="K118" s="370"/>
      <c r="L118" s="371"/>
      <c r="M118" s="199"/>
      <c r="N118" s="199"/>
    </row>
    <row r="119" spans="1:14" ht="120.75" customHeight="1">
      <c r="A119" s="2041"/>
      <c r="B119" s="2154"/>
      <c r="C119" s="2056"/>
      <c r="D119" s="2058"/>
      <c r="E119" s="180" t="s">
        <v>13</v>
      </c>
      <c r="F119" s="181" t="s">
        <v>66</v>
      </c>
      <c r="G119" s="182" t="s">
        <v>54</v>
      </c>
      <c r="H119" s="183" t="s">
        <v>55</v>
      </c>
      <c r="I119" s="183" t="s">
        <v>56</v>
      </c>
      <c r="J119" s="184" t="s">
        <v>67</v>
      </c>
      <c r="K119" s="182" t="s">
        <v>57</v>
      </c>
      <c r="L119" s="185" t="s">
        <v>58</v>
      </c>
      <c r="M119" s="199"/>
      <c r="N119" s="199"/>
    </row>
    <row r="120" spans="1:14">
      <c r="A120" s="2031"/>
      <c r="B120" s="2156"/>
      <c r="C120" s="112">
        <v>2014</v>
      </c>
      <c r="D120" s="34"/>
      <c r="E120" s="186"/>
      <c r="F120" s="187"/>
      <c r="G120" s="187"/>
      <c r="H120" s="187"/>
      <c r="I120" s="187"/>
      <c r="J120" s="187"/>
      <c r="K120" s="187"/>
      <c r="L120" s="188"/>
      <c r="M120" s="199"/>
      <c r="N120" s="199"/>
    </row>
    <row r="121" spans="1:14">
      <c r="A121" s="2157"/>
      <c r="B121" s="2156"/>
      <c r="C121" s="116">
        <v>2015</v>
      </c>
      <c r="D121" s="42"/>
      <c r="E121" s="189"/>
      <c r="F121" s="190"/>
      <c r="G121" s="190"/>
      <c r="H121" s="190"/>
      <c r="I121" s="190"/>
      <c r="J121" s="190"/>
      <c r="K121" s="190"/>
      <c r="L121" s="193"/>
      <c r="M121" s="199"/>
      <c r="N121" s="199"/>
    </row>
    <row r="122" spans="1:14">
      <c r="A122" s="2157"/>
      <c r="B122" s="2156"/>
      <c r="C122" s="116">
        <v>2016</v>
      </c>
      <c r="D122" s="42"/>
      <c r="E122" s="189"/>
      <c r="F122" s="190"/>
      <c r="G122" s="190"/>
      <c r="H122" s="190"/>
      <c r="I122" s="190"/>
      <c r="J122" s="190"/>
      <c r="K122" s="190"/>
      <c r="L122" s="193"/>
      <c r="M122" s="199"/>
      <c r="N122" s="199"/>
    </row>
    <row r="123" spans="1:14">
      <c r="A123" s="2157"/>
      <c r="B123" s="2156"/>
      <c r="C123" s="116">
        <v>2017</v>
      </c>
      <c r="D123" s="42"/>
      <c r="E123" s="189"/>
      <c r="F123" s="190"/>
      <c r="G123" s="190"/>
      <c r="H123" s="190"/>
      <c r="I123" s="190"/>
      <c r="J123" s="190"/>
      <c r="K123" s="190"/>
      <c r="L123" s="193"/>
      <c r="M123" s="199"/>
      <c r="N123" s="199"/>
    </row>
    <row r="124" spans="1:14">
      <c r="A124" s="2157"/>
      <c r="B124" s="2156"/>
      <c r="C124" s="116">
        <v>2018</v>
      </c>
      <c r="D124" s="42"/>
      <c r="E124" s="189"/>
      <c r="F124" s="190"/>
      <c r="G124" s="190"/>
      <c r="H124" s="190"/>
      <c r="I124" s="190"/>
      <c r="J124" s="190"/>
      <c r="K124" s="190"/>
      <c r="L124" s="193"/>
      <c r="M124" s="199"/>
      <c r="N124" s="199"/>
    </row>
    <row r="125" spans="1:14">
      <c r="A125" s="2157"/>
      <c r="B125" s="2156"/>
      <c r="C125" s="116">
        <v>2019</v>
      </c>
      <c r="D125" s="42"/>
      <c r="E125" s="189"/>
      <c r="F125" s="190"/>
      <c r="G125" s="190"/>
      <c r="H125" s="190"/>
      <c r="I125" s="190"/>
      <c r="J125" s="190"/>
      <c r="K125" s="190"/>
      <c r="L125" s="193"/>
      <c r="M125" s="199"/>
      <c r="N125" s="199"/>
    </row>
    <row r="126" spans="1:14">
      <c r="A126" s="2157"/>
      <c r="B126" s="2156"/>
      <c r="C126" s="116">
        <v>2020</v>
      </c>
      <c r="D126" s="42"/>
      <c r="E126" s="189"/>
      <c r="F126" s="190"/>
      <c r="G126" s="190"/>
      <c r="H126" s="190"/>
      <c r="I126" s="190"/>
      <c r="J126" s="190"/>
      <c r="K126" s="190"/>
      <c r="L126" s="193"/>
      <c r="M126" s="199"/>
      <c r="N126" s="199"/>
    </row>
    <row r="127" spans="1:14" ht="15.75" thickBot="1">
      <c r="A127" s="2158"/>
      <c r="B127" s="2159"/>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127" t="s">
        <v>74</v>
      </c>
      <c r="B129" s="2128" t="s">
        <v>61</v>
      </c>
      <c r="C129" s="372" t="s">
        <v>8</v>
      </c>
      <c r="D129" s="373" t="s">
        <v>75</v>
      </c>
      <c r="E129" s="374"/>
      <c r="F129" s="374"/>
      <c r="G129" s="375"/>
      <c r="H129" s="199"/>
      <c r="I129" s="199"/>
      <c r="J129" s="199"/>
      <c r="K129" s="199"/>
      <c r="L129" s="199"/>
      <c r="M129" s="199"/>
      <c r="N129" s="199"/>
    </row>
    <row r="130" spans="1:16" ht="77.25" customHeight="1">
      <c r="A130" s="2041"/>
      <c r="B130" s="2154"/>
      <c r="C130" s="343"/>
      <c r="D130" s="178" t="s">
        <v>76</v>
      </c>
      <c r="E130" s="207" t="s">
        <v>77</v>
      </c>
      <c r="F130" s="179" t="s">
        <v>78</v>
      </c>
      <c r="G130" s="208" t="s">
        <v>12</v>
      </c>
      <c r="H130" s="199"/>
      <c r="I130" s="199"/>
      <c r="J130" s="199"/>
      <c r="K130" s="199"/>
      <c r="L130" s="199"/>
      <c r="M130" s="199"/>
      <c r="N130" s="199"/>
    </row>
    <row r="131" spans="1:16" ht="15" customHeight="1">
      <c r="A131" s="2160"/>
      <c r="B131" s="2160"/>
      <c r="C131" s="340">
        <v>2015</v>
      </c>
      <c r="D131" s="557">
        <v>23</v>
      </c>
      <c r="E131" s="342"/>
      <c r="F131" s="342"/>
      <c r="G131" s="209">
        <f t="shared" ref="G131:G136" si="11">SUM(D131:F131)</f>
        <v>23</v>
      </c>
      <c r="H131" s="199"/>
      <c r="I131" s="199"/>
      <c r="J131" s="199"/>
      <c r="K131" s="199"/>
      <c r="L131" s="199"/>
      <c r="M131" s="199"/>
      <c r="N131" s="199"/>
    </row>
    <row r="132" spans="1:16">
      <c r="A132" s="2160"/>
      <c r="B132" s="2160"/>
      <c r="C132" s="116">
        <v>2016</v>
      </c>
      <c r="D132" s="50">
        <f>17+16+9+14</f>
        <v>56</v>
      </c>
      <c r="E132" s="42"/>
      <c r="F132" s="42"/>
      <c r="G132" s="209">
        <f t="shared" si="11"/>
        <v>56</v>
      </c>
      <c r="H132" s="199"/>
      <c r="I132" s="199"/>
      <c r="J132" s="199"/>
      <c r="K132" s="199"/>
      <c r="L132" s="199"/>
      <c r="M132" s="199"/>
      <c r="N132" s="199"/>
    </row>
    <row r="133" spans="1:16">
      <c r="A133" s="2160"/>
      <c r="B133" s="2160"/>
      <c r="C133" s="116">
        <v>2017</v>
      </c>
      <c r="D133" s="50"/>
      <c r="E133" s="42"/>
      <c r="F133" s="42"/>
      <c r="G133" s="209">
        <f t="shared" si="11"/>
        <v>0</v>
      </c>
      <c r="H133" s="199"/>
      <c r="I133" s="199"/>
      <c r="J133" s="199"/>
      <c r="K133" s="199"/>
      <c r="L133" s="199"/>
      <c r="M133" s="199"/>
      <c r="N133" s="199"/>
    </row>
    <row r="134" spans="1:16">
      <c r="A134" s="2160"/>
      <c r="B134" s="2160"/>
      <c r="C134" s="116">
        <v>2018</v>
      </c>
      <c r="D134" s="50"/>
      <c r="E134" s="42"/>
      <c r="F134" s="42"/>
      <c r="G134" s="209">
        <f t="shared" si="11"/>
        <v>0</v>
      </c>
      <c r="H134" s="199"/>
      <c r="I134" s="199"/>
      <c r="J134" s="199"/>
      <c r="K134" s="199"/>
      <c r="L134" s="199"/>
      <c r="M134" s="199"/>
      <c r="N134" s="199"/>
    </row>
    <row r="135" spans="1:16">
      <c r="A135" s="2160"/>
      <c r="B135" s="2160"/>
      <c r="C135" s="116">
        <v>2019</v>
      </c>
      <c r="D135" s="50"/>
      <c r="E135" s="42"/>
      <c r="F135" s="42"/>
      <c r="G135" s="209">
        <f t="shared" si="11"/>
        <v>0</v>
      </c>
      <c r="H135" s="199"/>
      <c r="I135" s="199"/>
      <c r="J135" s="199"/>
      <c r="K135" s="199"/>
      <c r="L135" s="199"/>
      <c r="M135" s="199"/>
      <c r="N135" s="199"/>
    </row>
    <row r="136" spans="1:16">
      <c r="A136" s="2160"/>
      <c r="B136" s="2160"/>
      <c r="C136" s="116">
        <v>2020</v>
      </c>
      <c r="D136" s="50"/>
      <c r="E136" s="42"/>
      <c r="F136" s="42"/>
      <c r="G136" s="209">
        <f t="shared" si="11"/>
        <v>0</v>
      </c>
      <c r="H136" s="199"/>
      <c r="I136" s="199"/>
      <c r="J136" s="199"/>
      <c r="K136" s="199"/>
      <c r="L136" s="199"/>
      <c r="M136" s="199"/>
      <c r="N136" s="199"/>
    </row>
    <row r="137" spans="1:16" ht="17.25" customHeight="1" thickBot="1">
      <c r="A137" s="2161"/>
      <c r="B137" s="2161"/>
      <c r="C137" s="122" t="s">
        <v>12</v>
      </c>
      <c r="D137" s="151">
        <f>SUM(D131:D136)</f>
        <v>79</v>
      </c>
      <c r="E137" s="151">
        <f t="shared" ref="E137:F137" si="12">SUM(E131:E136)</f>
        <v>0</v>
      </c>
      <c r="F137" s="151">
        <f t="shared" si="12"/>
        <v>0</v>
      </c>
      <c r="G137" s="210">
        <f>SUM(G131:G136)</f>
        <v>79</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429"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129" t="s">
        <v>80</v>
      </c>
      <c r="B142" s="2124" t="s">
        <v>61</v>
      </c>
      <c r="C142" s="2126" t="s">
        <v>8</v>
      </c>
      <c r="D142" s="376" t="s">
        <v>81</v>
      </c>
      <c r="E142" s="377"/>
      <c r="F142" s="377"/>
      <c r="G142" s="377"/>
      <c r="H142" s="377"/>
      <c r="I142" s="378"/>
      <c r="J142" s="2120" t="s">
        <v>82</v>
      </c>
      <c r="K142" s="2121"/>
      <c r="L142" s="2121"/>
      <c r="M142" s="2121"/>
      <c r="N142" s="2122"/>
      <c r="O142" s="177"/>
      <c r="P142" s="177"/>
    </row>
    <row r="143" spans="1:16" ht="113.25" customHeight="1">
      <c r="A143" s="2045"/>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031"/>
      <c r="B144" s="2156"/>
      <c r="C144" s="112">
        <v>2014</v>
      </c>
      <c r="D144" s="33"/>
      <c r="E144" s="33"/>
      <c r="F144" s="34"/>
      <c r="G144" s="187"/>
      <c r="H144" s="187"/>
      <c r="I144" s="227">
        <f>D144+F144+G144+H144</f>
        <v>0</v>
      </c>
      <c r="J144" s="228"/>
      <c r="K144" s="229"/>
      <c r="L144" s="228"/>
      <c r="M144" s="229"/>
      <c r="N144" s="230"/>
      <c r="O144" s="177"/>
      <c r="P144" s="177"/>
    </row>
    <row r="145" spans="1:16" ht="19.5" customHeight="1">
      <c r="A145" s="2157"/>
      <c r="B145" s="2156"/>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157"/>
      <c r="B146" s="2156"/>
      <c r="C146" s="116">
        <v>2016</v>
      </c>
      <c r="D146" s="50"/>
      <c r="E146" s="50"/>
      <c r="F146" s="42"/>
      <c r="G146" s="190"/>
      <c r="H146" s="190"/>
      <c r="I146" s="227">
        <f t="shared" si="13"/>
        <v>0</v>
      </c>
      <c r="J146" s="231"/>
      <c r="K146" s="232"/>
      <c r="L146" s="231"/>
      <c r="M146" s="232"/>
      <c r="N146" s="233"/>
      <c r="O146" s="177"/>
      <c r="P146" s="177"/>
    </row>
    <row r="147" spans="1:16" ht="17.25" customHeight="1">
      <c r="A147" s="2157"/>
      <c r="B147" s="2156"/>
      <c r="C147" s="116">
        <v>2017</v>
      </c>
      <c r="D147" s="50"/>
      <c r="E147" s="50"/>
      <c r="F147" s="42"/>
      <c r="G147" s="190"/>
      <c r="H147" s="190"/>
      <c r="I147" s="227">
        <f t="shared" si="13"/>
        <v>0</v>
      </c>
      <c r="J147" s="231"/>
      <c r="K147" s="232"/>
      <c r="L147" s="231"/>
      <c r="M147" s="232"/>
      <c r="N147" s="233"/>
      <c r="O147" s="177"/>
      <c r="P147" s="177"/>
    </row>
    <row r="148" spans="1:16" ht="19.5" customHeight="1">
      <c r="A148" s="2157"/>
      <c r="B148" s="2156"/>
      <c r="C148" s="116">
        <v>2018</v>
      </c>
      <c r="D148" s="50"/>
      <c r="E148" s="50"/>
      <c r="F148" s="42"/>
      <c r="G148" s="190"/>
      <c r="H148" s="190"/>
      <c r="I148" s="227">
        <f t="shared" si="13"/>
        <v>0</v>
      </c>
      <c r="J148" s="231"/>
      <c r="K148" s="232"/>
      <c r="L148" s="231"/>
      <c r="M148" s="232"/>
      <c r="N148" s="233"/>
      <c r="O148" s="177"/>
      <c r="P148" s="177"/>
    </row>
    <row r="149" spans="1:16" ht="19.5" customHeight="1">
      <c r="A149" s="2157"/>
      <c r="B149" s="2156"/>
      <c r="C149" s="116">
        <v>2019</v>
      </c>
      <c r="D149" s="50"/>
      <c r="E149" s="50"/>
      <c r="F149" s="42"/>
      <c r="G149" s="190"/>
      <c r="H149" s="190"/>
      <c r="I149" s="227">
        <f t="shared" si="13"/>
        <v>0</v>
      </c>
      <c r="J149" s="231"/>
      <c r="K149" s="232"/>
      <c r="L149" s="231"/>
      <c r="M149" s="232"/>
      <c r="N149" s="233"/>
      <c r="O149" s="177"/>
      <c r="P149" s="177"/>
    </row>
    <row r="150" spans="1:16" ht="18.75" customHeight="1">
      <c r="A150" s="2157"/>
      <c r="B150" s="2156"/>
      <c r="C150" s="116">
        <v>2020</v>
      </c>
      <c r="D150" s="50"/>
      <c r="E150" s="50"/>
      <c r="F150" s="42"/>
      <c r="G150" s="190"/>
      <c r="H150" s="190"/>
      <c r="I150" s="227">
        <f t="shared" si="13"/>
        <v>0</v>
      </c>
      <c r="J150" s="231"/>
      <c r="K150" s="232"/>
      <c r="L150" s="231"/>
      <c r="M150" s="232"/>
      <c r="N150" s="233"/>
      <c r="O150" s="177"/>
      <c r="P150" s="177"/>
    </row>
    <row r="151" spans="1:16" ht="18" customHeight="1" thickBot="1">
      <c r="A151" s="2158"/>
      <c r="B151" s="2159"/>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162" t="s">
        <v>93</v>
      </c>
      <c r="B153" s="2124" t="s">
        <v>61</v>
      </c>
      <c r="C153" s="2125" t="s">
        <v>8</v>
      </c>
      <c r="D153" s="379" t="s">
        <v>94</v>
      </c>
      <c r="E153" s="379"/>
      <c r="F153" s="380"/>
      <c r="G153" s="380"/>
      <c r="H153" s="379" t="s">
        <v>95</v>
      </c>
      <c r="I153" s="379"/>
      <c r="J153" s="381"/>
      <c r="K153" s="31"/>
      <c r="L153" s="31"/>
      <c r="M153" s="31"/>
      <c r="N153" s="31"/>
      <c r="O153" s="177"/>
      <c r="P153" s="177"/>
    </row>
    <row r="154" spans="1:16" ht="49.5" customHeight="1">
      <c r="A154" s="2033"/>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031"/>
      <c r="B155" s="2156"/>
      <c r="C155" s="247">
        <v>2014</v>
      </c>
      <c r="D155" s="228"/>
      <c r="E155" s="187"/>
      <c r="F155" s="229"/>
      <c r="G155" s="227">
        <f>SUM(D155:F155)</f>
        <v>0</v>
      </c>
      <c r="H155" s="228"/>
      <c r="I155" s="187"/>
      <c r="J155" s="188"/>
      <c r="O155" s="177"/>
      <c r="P155" s="177"/>
    </row>
    <row r="156" spans="1:16" ht="19.5" customHeight="1">
      <c r="A156" s="2157"/>
      <c r="B156" s="2156"/>
      <c r="C156" s="248">
        <v>2015</v>
      </c>
      <c r="D156" s="231"/>
      <c r="E156" s="190"/>
      <c r="F156" s="232"/>
      <c r="G156" s="227">
        <f t="shared" ref="G156:G161" si="15">SUM(D156:F156)</f>
        <v>0</v>
      </c>
      <c r="H156" s="231"/>
      <c r="I156" s="190"/>
      <c r="J156" s="193"/>
      <c r="O156" s="177"/>
      <c r="P156" s="177"/>
    </row>
    <row r="157" spans="1:16" ht="17.25" customHeight="1">
      <c r="A157" s="2157"/>
      <c r="B157" s="2156"/>
      <c r="C157" s="248">
        <v>2016</v>
      </c>
      <c r="D157" s="231"/>
      <c r="E157" s="190"/>
      <c r="F157" s="232"/>
      <c r="G157" s="227">
        <f t="shared" si="15"/>
        <v>0</v>
      </c>
      <c r="H157" s="231"/>
      <c r="I157" s="190"/>
      <c r="J157" s="193"/>
      <c r="O157" s="177"/>
      <c r="P157" s="177"/>
    </row>
    <row r="158" spans="1:16" ht="15" customHeight="1">
      <c r="A158" s="2157"/>
      <c r="B158" s="2156"/>
      <c r="C158" s="248">
        <v>2017</v>
      </c>
      <c r="D158" s="231"/>
      <c r="E158" s="190"/>
      <c r="F158" s="232"/>
      <c r="G158" s="227">
        <f t="shared" si="15"/>
        <v>0</v>
      </c>
      <c r="H158" s="231"/>
      <c r="I158" s="190"/>
      <c r="J158" s="193"/>
      <c r="O158" s="177"/>
      <c r="P158" s="177"/>
    </row>
    <row r="159" spans="1:16" ht="19.5" customHeight="1">
      <c r="A159" s="2157"/>
      <c r="B159" s="2156"/>
      <c r="C159" s="248">
        <v>2018</v>
      </c>
      <c r="D159" s="231"/>
      <c r="E159" s="190"/>
      <c r="F159" s="232"/>
      <c r="G159" s="227">
        <f t="shared" si="15"/>
        <v>0</v>
      </c>
      <c r="H159" s="231"/>
      <c r="I159" s="190"/>
      <c r="J159" s="193"/>
      <c r="O159" s="177"/>
      <c r="P159" s="177"/>
    </row>
    <row r="160" spans="1:16" ht="15" customHeight="1">
      <c r="A160" s="2157"/>
      <c r="B160" s="2156"/>
      <c r="C160" s="248">
        <v>2019</v>
      </c>
      <c r="D160" s="231"/>
      <c r="E160" s="190"/>
      <c r="F160" s="232"/>
      <c r="G160" s="227">
        <f t="shared" si="15"/>
        <v>0</v>
      </c>
      <c r="H160" s="231"/>
      <c r="I160" s="190"/>
      <c r="J160" s="193"/>
      <c r="O160" s="177"/>
      <c r="P160" s="177"/>
    </row>
    <row r="161" spans="1:18" ht="17.25" customHeight="1">
      <c r="A161" s="2157"/>
      <c r="B161" s="2156"/>
      <c r="C161" s="248">
        <v>2020</v>
      </c>
      <c r="D161" s="231"/>
      <c r="E161" s="190"/>
      <c r="F161" s="232"/>
      <c r="G161" s="227">
        <f t="shared" si="15"/>
        <v>0</v>
      </c>
      <c r="H161" s="231"/>
      <c r="I161" s="190"/>
      <c r="J161" s="193"/>
      <c r="O161" s="177"/>
      <c r="P161" s="177"/>
    </row>
    <row r="162" spans="1:18" ht="15.75" thickBot="1">
      <c r="A162" s="2158"/>
      <c r="B162" s="2159"/>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382"/>
      <c r="F163" s="177"/>
      <c r="G163" s="177"/>
      <c r="H163" s="177"/>
      <c r="I163" s="177"/>
      <c r="J163" s="255"/>
      <c r="K163" s="256"/>
    </row>
    <row r="164" spans="1:18" ht="95.25" customHeight="1">
      <c r="A164" s="383" t="s">
        <v>102</v>
      </c>
      <c r="B164" s="258" t="s">
        <v>103</v>
      </c>
      <c r="C164" s="430" t="s">
        <v>8</v>
      </c>
      <c r="D164" s="260" t="s">
        <v>104</v>
      </c>
      <c r="E164" s="260" t="s">
        <v>105</v>
      </c>
      <c r="F164" s="385" t="s">
        <v>106</v>
      </c>
      <c r="G164" s="260" t="s">
        <v>107</v>
      </c>
      <c r="H164" s="260" t="s">
        <v>108</v>
      </c>
      <c r="I164" s="262" t="s">
        <v>109</v>
      </c>
      <c r="J164" s="386" t="s">
        <v>110</v>
      </c>
      <c r="K164" s="386" t="s">
        <v>111</v>
      </c>
      <c r="L164" s="264"/>
    </row>
    <row r="165" spans="1:18" ht="15.75" customHeight="1">
      <c r="A165" s="2011"/>
      <c r="B165" s="2163"/>
      <c r="C165" s="265">
        <v>2014</v>
      </c>
      <c r="D165" s="187"/>
      <c r="E165" s="187"/>
      <c r="F165" s="187"/>
      <c r="G165" s="187"/>
      <c r="H165" s="187"/>
      <c r="I165" s="188"/>
      <c r="J165" s="266">
        <f>SUM(D165,F165,H165)</f>
        <v>0</v>
      </c>
      <c r="K165" s="267">
        <f>SUM(E165,G165,I165)</f>
        <v>0</v>
      </c>
      <c r="L165" s="264"/>
    </row>
    <row r="166" spans="1:18">
      <c r="A166" s="2164"/>
      <c r="B166" s="2156"/>
      <c r="C166" s="268">
        <v>2015</v>
      </c>
      <c r="D166" s="269"/>
      <c r="E166" s="269"/>
      <c r="F166" s="269"/>
      <c r="G166" s="269"/>
      <c r="H166" s="269"/>
      <c r="I166" s="270"/>
      <c r="J166" s="271">
        <f t="shared" ref="J166:K171" si="17">SUM(D166,F166,H166)</f>
        <v>0</v>
      </c>
      <c r="K166" s="272">
        <f t="shared" si="17"/>
        <v>0</v>
      </c>
      <c r="L166" s="264"/>
    </row>
    <row r="167" spans="1:18">
      <c r="A167" s="2164"/>
      <c r="B167" s="2156"/>
      <c r="C167" s="268">
        <v>2016</v>
      </c>
      <c r="D167" s="269"/>
      <c r="E167" s="269"/>
      <c r="F167" s="269"/>
      <c r="G167" s="269"/>
      <c r="H167" s="269"/>
      <c r="I167" s="270"/>
      <c r="J167" s="271">
        <f t="shared" si="17"/>
        <v>0</v>
      </c>
      <c r="K167" s="272">
        <f t="shared" si="17"/>
        <v>0</v>
      </c>
    </row>
    <row r="168" spans="1:18">
      <c r="A168" s="2164"/>
      <c r="B168" s="2156"/>
      <c r="C168" s="268">
        <v>2017</v>
      </c>
      <c r="D168" s="269"/>
      <c r="E168" s="177"/>
      <c r="F168" s="269"/>
      <c r="G168" s="269"/>
      <c r="H168" s="269"/>
      <c r="I168" s="270"/>
      <c r="J168" s="271">
        <f t="shared" si="17"/>
        <v>0</v>
      </c>
      <c r="K168" s="272">
        <f t="shared" si="17"/>
        <v>0</v>
      </c>
    </row>
    <row r="169" spans="1:18">
      <c r="A169" s="2164"/>
      <c r="B169" s="2156"/>
      <c r="C169" s="273">
        <v>2018</v>
      </c>
      <c r="D169" s="269"/>
      <c r="E169" s="269"/>
      <c r="F169" s="269"/>
      <c r="G169" s="274"/>
      <c r="H169" s="269"/>
      <c r="I169" s="270"/>
      <c r="J169" s="271">
        <f t="shared" si="17"/>
        <v>0</v>
      </c>
      <c r="K169" s="272">
        <f t="shared" si="17"/>
        <v>0</v>
      </c>
      <c r="L169" s="264"/>
    </row>
    <row r="170" spans="1:18">
      <c r="A170" s="2164"/>
      <c r="B170" s="2156"/>
      <c r="C170" s="268">
        <v>2019</v>
      </c>
      <c r="D170" s="177"/>
      <c r="E170" s="269"/>
      <c r="F170" s="269"/>
      <c r="G170" s="269"/>
      <c r="H170" s="274"/>
      <c r="I170" s="270"/>
      <c r="J170" s="271">
        <f t="shared" si="17"/>
        <v>0</v>
      </c>
      <c r="K170" s="272">
        <f t="shared" si="17"/>
        <v>0</v>
      </c>
      <c r="L170" s="264"/>
    </row>
    <row r="171" spans="1:18">
      <c r="A171" s="2164"/>
      <c r="B171" s="2156"/>
      <c r="C171" s="273">
        <v>2020</v>
      </c>
      <c r="D171" s="269"/>
      <c r="E171" s="269"/>
      <c r="F171" s="269"/>
      <c r="G171" s="269"/>
      <c r="H171" s="269"/>
      <c r="I171" s="270"/>
      <c r="J171" s="271">
        <f t="shared" si="17"/>
        <v>0</v>
      </c>
      <c r="K171" s="272">
        <f t="shared" si="17"/>
        <v>0</v>
      </c>
      <c r="L171" s="264"/>
    </row>
    <row r="172" spans="1:18" ht="41.25" customHeight="1" thickBot="1">
      <c r="A172" s="2165"/>
      <c r="B172" s="2159"/>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264"/>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431" t="s">
        <v>112</v>
      </c>
      <c r="B174" s="279"/>
      <c r="C174" s="280"/>
      <c r="D174" s="280"/>
      <c r="E174" s="280"/>
      <c r="F174" s="280"/>
      <c r="G174" s="280"/>
      <c r="H174" s="280"/>
      <c r="I174" s="280"/>
      <c r="J174" s="280"/>
      <c r="K174" s="280"/>
      <c r="L174" s="280"/>
      <c r="M174" s="280"/>
      <c r="N174" s="280"/>
      <c r="O174" s="280"/>
    </row>
    <row r="175" spans="1:18" ht="21.75" thickBot="1">
      <c r="A175" s="432"/>
      <c r="B175" s="281"/>
    </row>
    <row r="176" spans="1:18" s="31" customFormat="1" ht="22.5" customHeight="1" thickBot="1">
      <c r="A176" s="2115" t="s">
        <v>113</v>
      </c>
      <c r="B176" s="2107" t="s">
        <v>114</v>
      </c>
      <c r="C176" s="2116" t="s">
        <v>8</v>
      </c>
      <c r="D176" s="387" t="s">
        <v>115</v>
      </c>
      <c r="E176" s="388"/>
      <c r="F176" s="388"/>
      <c r="G176" s="389"/>
      <c r="H176" s="390"/>
      <c r="I176" s="2021" t="s">
        <v>116</v>
      </c>
      <c r="J176" s="2118"/>
      <c r="K176" s="2118"/>
      <c r="L176" s="2118"/>
      <c r="M176" s="2118"/>
      <c r="N176" s="2118"/>
      <c r="O176" s="2119"/>
    </row>
    <row r="177" spans="1:15" s="31" customFormat="1" ht="129.75" customHeight="1">
      <c r="A177" s="2018"/>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166"/>
      <c r="B178" s="2166" t="s">
        <v>176</v>
      </c>
      <c r="C178" s="112">
        <v>2014</v>
      </c>
      <c r="D178" s="33"/>
      <c r="E178" s="34"/>
      <c r="F178" s="34"/>
      <c r="G178" s="293">
        <f>SUM(D178:F178)</f>
        <v>0</v>
      </c>
      <c r="H178" s="167"/>
      <c r="I178" s="167"/>
      <c r="J178" s="34"/>
      <c r="K178" s="34"/>
      <c r="L178" s="34"/>
      <c r="M178" s="34"/>
      <c r="N178" s="34"/>
      <c r="O178" s="37"/>
    </row>
    <row r="179" spans="1:15">
      <c r="A179" s="2166"/>
      <c r="B179" s="2166"/>
      <c r="C179" s="116">
        <v>2015</v>
      </c>
      <c r="D179" s="50">
        <v>2</v>
      </c>
      <c r="E179" s="42"/>
      <c r="F179" s="42"/>
      <c r="G179" s="293">
        <f t="shared" ref="G179:G184" si="19">SUM(D179:F179)</f>
        <v>2</v>
      </c>
      <c r="H179" s="294">
        <v>2</v>
      </c>
      <c r="I179" s="118"/>
      <c r="J179" s="42"/>
      <c r="K179" s="42"/>
      <c r="L179" s="42"/>
      <c r="M179" s="42">
        <v>2</v>
      </c>
      <c r="N179" s="42"/>
      <c r="O179" s="99"/>
    </row>
    <row r="180" spans="1:15">
      <c r="A180" s="2166"/>
      <c r="B180" s="2166"/>
      <c r="C180" s="116">
        <v>2016</v>
      </c>
      <c r="D180" s="50">
        <v>3</v>
      </c>
      <c r="E180" s="42"/>
      <c r="F180" s="42"/>
      <c r="G180" s="293">
        <f t="shared" si="19"/>
        <v>3</v>
      </c>
      <c r="H180" s="294">
        <v>3</v>
      </c>
      <c r="I180" s="118"/>
      <c r="J180" s="42"/>
      <c r="K180" s="42"/>
      <c r="L180" s="42"/>
      <c r="M180" s="42">
        <v>3</v>
      </c>
      <c r="N180" s="42"/>
      <c r="O180" s="99"/>
    </row>
    <row r="181" spans="1:15">
      <c r="A181" s="2166"/>
      <c r="B181" s="2166"/>
      <c r="C181" s="116">
        <v>2017</v>
      </c>
      <c r="D181" s="50"/>
      <c r="E181" s="42"/>
      <c r="F181" s="42"/>
      <c r="G181" s="293">
        <f t="shared" si="19"/>
        <v>0</v>
      </c>
      <c r="H181" s="294"/>
      <c r="I181" s="118"/>
      <c r="J181" s="42"/>
      <c r="K181" s="42"/>
      <c r="L181" s="42"/>
      <c r="M181" s="42"/>
      <c r="N181" s="42"/>
      <c r="O181" s="99"/>
    </row>
    <row r="182" spans="1:15">
      <c r="A182" s="2166"/>
      <c r="B182" s="2166"/>
      <c r="C182" s="116">
        <v>2018</v>
      </c>
      <c r="D182" s="50"/>
      <c r="E182" s="42"/>
      <c r="F182" s="42"/>
      <c r="G182" s="293">
        <f t="shared" si="19"/>
        <v>0</v>
      </c>
      <c r="H182" s="294"/>
      <c r="I182" s="118"/>
      <c r="J182" s="42"/>
      <c r="K182" s="42"/>
      <c r="L182" s="42"/>
      <c r="M182" s="42"/>
      <c r="N182" s="42"/>
      <c r="O182" s="99"/>
    </row>
    <row r="183" spans="1:15">
      <c r="A183" s="2166"/>
      <c r="B183" s="2166"/>
      <c r="C183" s="116">
        <v>2019</v>
      </c>
      <c r="D183" s="50"/>
      <c r="E183" s="42"/>
      <c r="F183" s="42"/>
      <c r="G183" s="293">
        <f t="shared" si="19"/>
        <v>0</v>
      </c>
      <c r="H183" s="294"/>
      <c r="I183" s="118"/>
      <c r="J183" s="42"/>
      <c r="K183" s="42"/>
      <c r="L183" s="42"/>
      <c r="M183" s="42"/>
      <c r="N183" s="42"/>
      <c r="O183" s="99"/>
    </row>
    <row r="184" spans="1:15">
      <c r="A184" s="2166"/>
      <c r="B184" s="2166"/>
      <c r="C184" s="116">
        <v>2020</v>
      </c>
      <c r="D184" s="50"/>
      <c r="E184" s="42"/>
      <c r="F184" s="42"/>
      <c r="G184" s="293">
        <f t="shared" si="19"/>
        <v>0</v>
      </c>
      <c r="H184" s="294"/>
      <c r="I184" s="118"/>
      <c r="J184" s="42"/>
      <c r="K184" s="42"/>
      <c r="L184" s="42"/>
      <c r="M184" s="42"/>
      <c r="N184" s="42"/>
      <c r="O184" s="99"/>
    </row>
    <row r="185" spans="1:15" ht="45" customHeight="1" thickBot="1">
      <c r="A185" s="2167"/>
      <c r="B185" s="2167"/>
      <c r="C185" s="122" t="s">
        <v>12</v>
      </c>
      <c r="D185" s="151">
        <f>SUM(D178:D184)</f>
        <v>5</v>
      </c>
      <c r="E185" s="125">
        <f>SUM(E178:E184)</f>
        <v>0</v>
      </c>
      <c r="F185" s="125">
        <f>SUM(F178:F184)</f>
        <v>0</v>
      </c>
      <c r="G185" s="234">
        <f t="shared" ref="G185:O185" si="20">SUM(G178:G184)</f>
        <v>5</v>
      </c>
      <c r="H185" s="295">
        <f t="shared" si="20"/>
        <v>5</v>
      </c>
      <c r="I185" s="124">
        <f t="shared" si="20"/>
        <v>0</v>
      </c>
      <c r="J185" s="125">
        <f t="shared" si="20"/>
        <v>0</v>
      </c>
      <c r="K185" s="125">
        <f t="shared" si="20"/>
        <v>0</v>
      </c>
      <c r="L185" s="125">
        <f t="shared" si="20"/>
        <v>0</v>
      </c>
      <c r="M185" s="125">
        <f t="shared" si="20"/>
        <v>5</v>
      </c>
      <c r="N185" s="125">
        <f t="shared" si="20"/>
        <v>0</v>
      </c>
      <c r="O185" s="126">
        <f t="shared" si="20"/>
        <v>0</v>
      </c>
    </row>
    <row r="186" spans="1:15" ht="33" customHeight="1" thickBot="1"/>
    <row r="187" spans="1:15" ht="19.5" customHeight="1">
      <c r="A187" s="1994" t="s">
        <v>122</v>
      </c>
      <c r="B187" s="2107" t="s">
        <v>114</v>
      </c>
      <c r="C187" s="1998" t="s">
        <v>8</v>
      </c>
      <c r="D187" s="2000" t="s">
        <v>123</v>
      </c>
      <c r="E187" s="2108"/>
      <c r="F187" s="2108"/>
      <c r="G187" s="2109"/>
      <c r="H187" s="2110" t="s">
        <v>124</v>
      </c>
      <c r="I187" s="1998"/>
      <c r="J187" s="1998"/>
      <c r="K187" s="1998"/>
      <c r="L187" s="2004"/>
    </row>
    <row r="188" spans="1:15" ht="90" customHeight="1">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168"/>
      <c r="B189" s="2166" t="s">
        <v>177</v>
      </c>
      <c r="C189" s="392">
        <v>2014</v>
      </c>
      <c r="D189" s="142"/>
      <c r="E189" s="115"/>
      <c r="F189" s="115"/>
      <c r="G189" s="301">
        <f>SUM(D189:F189)</f>
        <v>0</v>
      </c>
      <c r="H189" s="114"/>
      <c r="I189" s="115"/>
      <c r="J189" s="115"/>
      <c r="K189" s="115"/>
      <c r="L189" s="143"/>
    </row>
    <row r="190" spans="1:15">
      <c r="A190" s="2168"/>
      <c r="B190" s="2166"/>
      <c r="C190" s="86">
        <v>2015</v>
      </c>
      <c r="D190" s="50">
        <v>440</v>
      </c>
      <c r="E190" s="42"/>
      <c r="F190" s="42"/>
      <c r="G190" s="301">
        <f t="shared" ref="G190:G195" si="21">SUM(D190:F190)</f>
        <v>440</v>
      </c>
      <c r="H190" s="118"/>
      <c r="I190" s="42">
        <v>50</v>
      </c>
      <c r="J190" s="42"/>
      <c r="K190" s="42">
        <v>390</v>
      </c>
      <c r="L190" s="99"/>
    </row>
    <row r="191" spans="1:15">
      <c r="A191" s="2168"/>
      <c r="B191" s="2166"/>
      <c r="C191" s="86">
        <v>2016</v>
      </c>
      <c r="D191" s="50">
        <v>165</v>
      </c>
      <c r="E191" s="42"/>
      <c r="F191" s="42"/>
      <c r="G191" s="301">
        <f t="shared" si="21"/>
        <v>165</v>
      </c>
      <c r="H191" s="118"/>
      <c r="I191" s="42">
        <v>142</v>
      </c>
      <c r="J191" s="42"/>
      <c r="K191" s="42"/>
      <c r="L191" s="99">
        <v>23</v>
      </c>
    </row>
    <row r="192" spans="1:15">
      <c r="A192" s="2168"/>
      <c r="B192" s="2166"/>
      <c r="C192" s="86">
        <v>2017</v>
      </c>
      <c r="D192" s="50"/>
      <c r="E192" s="42"/>
      <c r="F192" s="42"/>
      <c r="G192" s="301">
        <f t="shared" si="21"/>
        <v>0</v>
      </c>
      <c r="H192" s="118"/>
      <c r="I192" s="42"/>
      <c r="J192" s="42"/>
      <c r="K192" s="42"/>
      <c r="L192" s="99"/>
    </row>
    <row r="193" spans="1:14">
      <c r="A193" s="2168"/>
      <c r="B193" s="2166"/>
      <c r="C193" s="86">
        <v>2018</v>
      </c>
      <c r="D193" s="50"/>
      <c r="E193" s="42"/>
      <c r="F193" s="42"/>
      <c r="G193" s="301">
        <f t="shared" si="21"/>
        <v>0</v>
      </c>
      <c r="H193" s="118"/>
      <c r="I193" s="42"/>
      <c r="J193" s="42"/>
      <c r="K193" s="42"/>
      <c r="L193" s="99"/>
    </row>
    <row r="194" spans="1:14">
      <c r="A194" s="2168"/>
      <c r="B194" s="2166"/>
      <c r="C194" s="86">
        <v>2019</v>
      </c>
      <c r="D194" s="50"/>
      <c r="E194" s="42"/>
      <c r="F194" s="42"/>
      <c r="G194" s="301">
        <f t="shared" si="21"/>
        <v>0</v>
      </c>
      <c r="H194" s="118"/>
      <c r="I194" s="42"/>
      <c r="J194" s="42"/>
      <c r="K194" s="42"/>
      <c r="L194" s="99"/>
    </row>
    <row r="195" spans="1:14">
      <c r="A195" s="2168"/>
      <c r="B195" s="2166"/>
      <c r="C195" s="86">
        <v>2020</v>
      </c>
      <c r="D195" s="50"/>
      <c r="E195" s="42"/>
      <c r="F195" s="42"/>
      <c r="G195" s="301">
        <f t="shared" si="21"/>
        <v>0</v>
      </c>
      <c r="H195" s="118"/>
      <c r="I195" s="42"/>
      <c r="J195" s="42"/>
      <c r="K195" s="42"/>
      <c r="L195" s="99"/>
    </row>
    <row r="196" spans="1:14" ht="15.75" thickBot="1">
      <c r="A196" s="2169"/>
      <c r="B196" s="2167"/>
      <c r="C196" s="148" t="s">
        <v>12</v>
      </c>
      <c r="D196" s="151">
        <f t="shared" ref="D196:L196" si="22">SUM(D189:D195)</f>
        <v>605</v>
      </c>
      <c r="E196" s="125">
        <f t="shared" si="22"/>
        <v>0</v>
      </c>
      <c r="F196" s="125">
        <f t="shared" si="22"/>
        <v>0</v>
      </c>
      <c r="G196" s="304">
        <f t="shared" si="22"/>
        <v>605</v>
      </c>
      <c r="H196" s="124">
        <f t="shared" si="22"/>
        <v>0</v>
      </c>
      <c r="I196" s="125">
        <f t="shared" si="22"/>
        <v>192</v>
      </c>
      <c r="J196" s="125">
        <f t="shared" si="22"/>
        <v>0</v>
      </c>
      <c r="K196" s="125">
        <f t="shared" si="22"/>
        <v>390</v>
      </c>
      <c r="L196" s="126">
        <f t="shared" si="22"/>
        <v>23</v>
      </c>
    </row>
    <row r="199" spans="1:14" ht="21">
      <c r="A199" s="433" t="s">
        <v>134</v>
      </c>
      <c r="B199" s="305"/>
      <c r="C199" s="306"/>
      <c r="D199" s="306"/>
      <c r="E199" s="306"/>
      <c r="F199" s="306"/>
      <c r="G199" s="306"/>
      <c r="H199" s="306"/>
      <c r="I199" s="306"/>
      <c r="J199" s="306"/>
      <c r="K199" s="306"/>
      <c r="L199" s="306"/>
      <c r="M199" s="77"/>
      <c r="N199" s="77"/>
    </row>
    <row r="200" spans="1:14" ht="10.5" customHeight="1" thickBot="1">
      <c r="A200" s="434"/>
      <c r="B200" s="307"/>
      <c r="C200" s="306"/>
      <c r="D200" s="306"/>
      <c r="E200" s="306"/>
      <c r="F200" s="306"/>
      <c r="G200" s="306"/>
      <c r="H200" s="306"/>
      <c r="I200" s="306"/>
      <c r="J200" s="306"/>
      <c r="K200" s="306"/>
      <c r="L200" s="306"/>
    </row>
    <row r="201" spans="1:14" s="31" customFormat="1" ht="101.25" customHeight="1">
      <c r="A201" s="435" t="s">
        <v>135</v>
      </c>
      <c r="B201" s="309" t="s">
        <v>114</v>
      </c>
      <c r="C201" s="310" t="s">
        <v>8</v>
      </c>
      <c r="D201" s="398" t="s">
        <v>136</v>
      </c>
      <c r="E201" s="312" t="s">
        <v>137</v>
      </c>
      <c r="F201" s="312" t="s">
        <v>138</v>
      </c>
      <c r="G201" s="310" t="s">
        <v>139</v>
      </c>
      <c r="H201" s="399" t="s">
        <v>140</v>
      </c>
      <c r="I201" s="400" t="s">
        <v>141</v>
      </c>
      <c r="J201" s="401" t="s">
        <v>142</v>
      </c>
      <c r="K201" s="312" t="s">
        <v>143</v>
      </c>
      <c r="L201" s="316" t="s">
        <v>144</v>
      </c>
    </row>
    <row r="202" spans="1:14" ht="15" customHeight="1">
      <c r="A202" s="1987"/>
      <c r="B202" s="1988"/>
      <c r="C202" s="84">
        <v>2014</v>
      </c>
      <c r="D202" s="33"/>
      <c r="E202" s="34"/>
      <c r="F202" s="34"/>
      <c r="G202" s="32"/>
      <c r="H202" s="317"/>
      <c r="I202" s="318"/>
      <c r="J202" s="319"/>
      <c r="K202" s="34"/>
      <c r="L202" s="37"/>
    </row>
    <row r="203" spans="1:14">
      <c r="A203" s="1987"/>
      <c r="B203" s="1988"/>
      <c r="C203" s="86">
        <v>2015</v>
      </c>
      <c r="D203" s="50"/>
      <c r="E203" s="42"/>
      <c r="F203" s="42"/>
      <c r="G203" s="39"/>
      <c r="H203" s="320"/>
      <c r="I203" s="321"/>
      <c r="J203" s="322"/>
      <c r="K203" s="42"/>
      <c r="L203" s="99"/>
    </row>
    <row r="204" spans="1:14">
      <c r="A204" s="1987"/>
      <c r="B204" s="1988"/>
      <c r="C204" s="86">
        <v>2016</v>
      </c>
      <c r="D204" s="50"/>
      <c r="E204" s="42"/>
      <c r="F204" s="42"/>
      <c r="G204" s="39"/>
      <c r="H204" s="320"/>
      <c r="I204" s="321"/>
      <c r="J204" s="322"/>
      <c r="K204" s="42"/>
      <c r="L204" s="99"/>
    </row>
    <row r="205" spans="1:14">
      <c r="A205" s="1987"/>
      <c r="B205" s="1988"/>
      <c r="C205" s="86">
        <v>2017</v>
      </c>
      <c r="D205" s="50"/>
      <c r="E205" s="42"/>
      <c r="F205" s="42"/>
      <c r="G205" s="39"/>
      <c r="H205" s="320"/>
      <c r="I205" s="321"/>
      <c r="J205" s="322"/>
      <c r="K205" s="42"/>
      <c r="L205" s="99"/>
    </row>
    <row r="206" spans="1:14">
      <c r="A206" s="1987"/>
      <c r="B206" s="1988"/>
      <c r="C206" s="86">
        <v>2018</v>
      </c>
      <c r="D206" s="50"/>
      <c r="E206" s="42"/>
      <c r="F206" s="42"/>
      <c r="G206" s="39"/>
      <c r="H206" s="320"/>
      <c r="I206" s="321"/>
      <c r="J206" s="322"/>
      <c r="K206" s="42"/>
      <c r="L206" s="99"/>
    </row>
    <row r="207" spans="1:14">
      <c r="A207" s="1987"/>
      <c r="B207" s="1988"/>
      <c r="C207" s="86">
        <v>2019</v>
      </c>
      <c r="D207" s="50"/>
      <c r="E207" s="42"/>
      <c r="F207" s="42"/>
      <c r="G207" s="39"/>
      <c r="H207" s="320"/>
      <c r="I207" s="321"/>
      <c r="J207" s="322"/>
      <c r="K207" s="42"/>
      <c r="L207" s="99"/>
    </row>
    <row r="208" spans="1:14">
      <c r="A208" s="1987"/>
      <c r="B208" s="1988"/>
      <c r="C208" s="86">
        <v>2020</v>
      </c>
      <c r="D208" s="323"/>
      <c r="E208" s="324"/>
      <c r="F208" s="324"/>
      <c r="G208" s="325"/>
      <c r="H208" s="326"/>
      <c r="I208" s="327"/>
      <c r="J208" s="328"/>
      <c r="K208" s="324"/>
      <c r="L208" s="329"/>
    </row>
    <row r="209" spans="1:12" ht="20.25" customHeight="1" thickBot="1">
      <c r="A209" s="1989"/>
      <c r="B209" s="1990"/>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436" t="s">
        <v>145</v>
      </c>
      <c r="B212" s="331" t="s">
        <v>146</v>
      </c>
      <c r="C212" s="332">
        <v>2014</v>
      </c>
      <c r="D212" s="333">
        <v>2015</v>
      </c>
      <c r="E212" s="333">
        <v>2016</v>
      </c>
      <c r="F212" s="333">
        <v>2017</v>
      </c>
      <c r="G212" s="333">
        <v>2018</v>
      </c>
      <c r="H212" s="333">
        <v>2019</v>
      </c>
      <c r="I212" s="334">
        <v>2020</v>
      </c>
    </row>
    <row r="213" spans="1:12" ht="15" customHeight="1">
      <c r="A213" s="8" t="s">
        <v>147</v>
      </c>
      <c r="B213" s="2170" t="s">
        <v>178</v>
      </c>
      <c r="C213" s="84"/>
      <c r="D213" s="437">
        <v>549033.13</v>
      </c>
      <c r="E213" s="147">
        <v>1132917.3899999999</v>
      </c>
      <c r="F213" s="147"/>
      <c r="G213" s="147"/>
      <c r="H213" s="147"/>
      <c r="I213" s="335"/>
    </row>
    <row r="214" spans="1:12">
      <c r="A214" s="8" t="s">
        <v>149</v>
      </c>
      <c r="B214" s="2166"/>
      <c r="C214" s="84"/>
      <c r="D214" s="403">
        <v>402308.52</v>
      </c>
      <c r="E214" s="147">
        <v>1012700.4</v>
      </c>
      <c r="F214" s="147"/>
      <c r="G214" s="147"/>
      <c r="H214" s="147"/>
      <c r="I214" s="335"/>
    </row>
    <row r="215" spans="1:12">
      <c r="A215" s="8" t="s">
        <v>150</v>
      </c>
      <c r="B215" s="2166"/>
      <c r="C215" s="84"/>
      <c r="D215" s="403">
        <v>0</v>
      </c>
      <c r="E215" s="437">
        <v>14546</v>
      </c>
      <c r="F215" s="147"/>
      <c r="G215" s="147"/>
      <c r="H215" s="147"/>
      <c r="I215" s="335"/>
    </row>
    <row r="216" spans="1:12">
      <c r="A216" s="8" t="s">
        <v>151</v>
      </c>
      <c r="B216" s="2166"/>
      <c r="C216" s="84"/>
      <c r="D216" s="403">
        <v>146724.60999999999</v>
      </c>
      <c r="E216" s="147">
        <v>94314.99</v>
      </c>
      <c r="F216" s="147"/>
      <c r="G216" s="147"/>
      <c r="H216" s="147"/>
      <c r="I216" s="335"/>
    </row>
    <row r="217" spans="1:12">
      <c r="A217" s="8" t="s">
        <v>152</v>
      </c>
      <c r="B217" s="2166"/>
      <c r="C217" s="84"/>
      <c r="D217" s="403">
        <v>0</v>
      </c>
      <c r="E217" s="437">
        <v>11356</v>
      </c>
      <c r="F217" s="147"/>
      <c r="G217" s="147"/>
      <c r="H217" s="147"/>
      <c r="I217" s="335"/>
    </row>
    <row r="218" spans="1:12" ht="30">
      <c r="A218" s="19" t="s">
        <v>153</v>
      </c>
      <c r="B218" s="2166"/>
      <c r="C218" s="84"/>
      <c r="D218" s="438">
        <v>102907.23</v>
      </c>
      <c r="E218" s="439">
        <v>368221.83</v>
      </c>
      <c r="F218" s="147"/>
      <c r="G218" s="147"/>
      <c r="H218" s="147"/>
      <c r="I218" s="335"/>
    </row>
    <row r="219" spans="1:12" ht="15.75" thickBot="1">
      <c r="A219" s="336"/>
      <c r="B219" s="2167"/>
      <c r="C219" s="54" t="s">
        <v>12</v>
      </c>
      <c r="D219" s="337">
        <f>SUM(D214:D218)</f>
        <v>651940.36</v>
      </c>
      <c r="E219" s="337">
        <f t="shared" ref="E219:I219" si="24">SUM(E214:E218)</f>
        <v>1501139.2200000002</v>
      </c>
      <c r="F219" s="337">
        <f t="shared" si="24"/>
        <v>0</v>
      </c>
      <c r="G219" s="337">
        <f t="shared" si="24"/>
        <v>0</v>
      </c>
      <c r="H219" s="337">
        <f t="shared" si="24"/>
        <v>0</v>
      </c>
      <c r="I219" s="337">
        <f t="shared" si="24"/>
        <v>0</v>
      </c>
    </row>
    <row r="227" spans="1:5">
      <c r="A227" s="19"/>
      <c r="C227" s="440"/>
    </row>
    <row r="228" spans="1:5">
      <c r="C228" s="440"/>
    </row>
    <row r="231" spans="1:5">
      <c r="C231" s="440"/>
    </row>
    <row r="236" spans="1:5">
      <c r="E236" s="440"/>
    </row>
  </sheetData>
  <mergeCells count="63">
    <mergeCell ref="H187:L187"/>
    <mergeCell ref="A189:A196"/>
    <mergeCell ref="B189:B196"/>
    <mergeCell ref="A202:B209"/>
    <mergeCell ref="B213:B219"/>
    <mergeCell ref="D187:G187"/>
    <mergeCell ref="A178:A185"/>
    <mergeCell ref="B178:B185"/>
    <mergeCell ref="A187:A188"/>
    <mergeCell ref="B187:B188"/>
    <mergeCell ref="C187:C188"/>
    <mergeCell ref="I176:O176"/>
    <mergeCell ref="C142:C143"/>
    <mergeCell ref="J142:N142"/>
    <mergeCell ref="A144:B151"/>
    <mergeCell ref="A153:A154"/>
    <mergeCell ref="B153:B154"/>
    <mergeCell ref="C153:C154"/>
    <mergeCell ref="A142:A143"/>
    <mergeCell ref="B142:B143"/>
    <mergeCell ref="A155:B162"/>
    <mergeCell ref="A165:B172"/>
    <mergeCell ref="A176:A177"/>
    <mergeCell ref="B176:B177"/>
    <mergeCell ref="C176:C177"/>
    <mergeCell ref="A120:B127"/>
    <mergeCell ref="A129:A130"/>
    <mergeCell ref="B129:B130"/>
    <mergeCell ref="A131:A137"/>
    <mergeCell ref="B131:B137"/>
    <mergeCell ref="A118:A119"/>
    <mergeCell ref="B118:B119"/>
    <mergeCell ref="C118:C119"/>
    <mergeCell ref="D118:D119"/>
    <mergeCell ref="A85:B92"/>
    <mergeCell ref="A96:A97"/>
    <mergeCell ref="B96:B97"/>
    <mergeCell ref="C96:C97"/>
    <mergeCell ref="D96:E96"/>
    <mergeCell ref="A98:B105"/>
    <mergeCell ref="A107:A108"/>
    <mergeCell ref="B107:B108"/>
    <mergeCell ref="C107:C108"/>
    <mergeCell ref="D107:D108"/>
    <mergeCell ref="A109:B116"/>
    <mergeCell ref="A60:A61"/>
    <mergeCell ref="C60:C61"/>
    <mergeCell ref="D60:D61"/>
    <mergeCell ref="A62:B69"/>
    <mergeCell ref="A72:A79"/>
    <mergeCell ref="B72:B79"/>
    <mergeCell ref="A50:B58"/>
    <mergeCell ref="B1:F1"/>
    <mergeCell ref="F3:O3"/>
    <mergeCell ref="A4:O10"/>
    <mergeCell ref="D15:G15"/>
    <mergeCell ref="A17:A24"/>
    <mergeCell ref="B17:B24"/>
    <mergeCell ref="D26:G26"/>
    <mergeCell ref="A28:A35"/>
    <mergeCell ref="B28:B35"/>
    <mergeCell ref="A40:A47"/>
    <mergeCell ref="B40:B47"/>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0"/>
  <dimension ref="A1:Y227"/>
  <sheetViews>
    <sheetView topLeftCell="A202" workbookViewId="0">
      <selection activeCell="E219" sqref="E219"/>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23" customWidth="1"/>
    <col min="14" max="14" width="14" customWidth="1"/>
    <col min="15" max="15" width="13.5703125" customWidth="1"/>
    <col min="16" max="25" width="13.7109375" customWidth="1"/>
  </cols>
  <sheetData>
    <row r="1" spans="1:25" s="2" customFormat="1" ht="31.5">
      <c r="A1" s="1" t="s">
        <v>0</v>
      </c>
      <c r="B1" s="2076" t="s">
        <v>504</v>
      </c>
      <c r="C1" s="2077"/>
      <c r="D1" s="2077"/>
      <c r="E1" s="2077"/>
      <c r="F1" s="2077"/>
    </row>
    <row r="2" spans="1:25" s="2" customFormat="1" ht="20.100000000000001" customHeight="1" thickBot="1"/>
    <row r="3" spans="1:25" s="5" customFormat="1" ht="20.100000000000001" customHeight="1">
      <c r="A3" s="1571" t="s">
        <v>1</v>
      </c>
      <c r="B3" s="1572"/>
      <c r="C3" s="1572"/>
      <c r="D3" s="1572"/>
      <c r="E3" s="1572"/>
      <c r="F3" s="2768"/>
      <c r="G3" s="2768"/>
      <c r="H3" s="2768"/>
      <c r="I3" s="2768"/>
      <c r="J3" s="2768"/>
      <c r="K3" s="2768"/>
      <c r="L3" s="2768"/>
      <c r="M3" s="2768"/>
      <c r="N3" s="2768"/>
      <c r="O3" s="2769"/>
    </row>
    <row r="4" spans="1:25" s="5" customFormat="1" ht="20.100000000000001" customHeight="1">
      <c r="A4" s="2760" t="s">
        <v>2</v>
      </c>
      <c r="B4" s="2081"/>
      <c r="C4" s="2081"/>
      <c r="D4" s="2081"/>
      <c r="E4" s="2081"/>
      <c r="F4" s="2081"/>
      <c r="G4" s="2081"/>
      <c r="H4" s="2081"/>
      <c r="I4" s="2081"/>
      <c r="J4" s="2081"/>
      <c r="K4" s="2081"/>
      <c r="L4" s="2081"/>
      <c r="M4" s="2081"/>
      <c r="N4" s="2081"/>
      <c r="O4" s="2082"/>
    </row>
    <row r="5" spans="1:25" s="5" customFormat="1" ht="20.100000000000001" customHeight="1">
      <c r="A5" s="2566"/>
      <c r="B5" s="2081"/>
      <c r="C5" s="2081"/>
      <c r="D5" s="2081"/>
      <c r="E5" s="2081"/>
      <c r="F5" s="2081"/>
      <c r="G5" s="2081"/>
      <c r="H5" s="2081"/>
      <c r="I5" s="2081"/>
      <c r="J5" s="2081"/>
      <c r="K5" s="2081"/>
      <c r="L5" s="2081"/>
      <c r="M5" s="2081"/>
      <c r="N5" s="2081"/>
      <c r="O5" s="2082"/>
    </row>
    <row r="6" spans="1:25" s="5" customFormat="1" ht="20.100000000000001" customHeight="1">
      <c r="A6" s="2566"/>
      <c r="B6" s="2081"/>
      <c r="C6" s="2081"/>
      <c r="D6" s="2081"/>
      <c r="E6" s="2081"/>
      <c r="F6" s="2081"/>
      <c r="G6" s="2081"/>
      <c r="H6" s="2081"/>
      <c r="I6" s="2081"/>
      <c r="J6" s="2081"/>
      <c r="K6" s="2081"/>
      <c r="L6" s="2081"/>
      <c r="M6" s="2081"/>
      <c r="N6" s="2081"/>
      <c r="O6" s="2082"/>
    </row>
    <row r="7" spans="1:25" s="5" customFormat="1" ht="20.100000000000001" customHeight="1">
      <c r="A7" s="2566"/>
      <c r="B7" s="2081"/>
      <c r="C7" s="2081"/>
      <c r="D7" s="2081"/>
      <c r="E7" s="2081"/>
      <c r="F7" s="2081"/>
      <c r="G7" s="2081"/>
      <c r="H7" s="2081"/>
      <c r="I7" s="2081"/>
      <c r="J7" s="2081"/>
      <c r="K7" s="2081"/>
      <c r="L7" s="2081"/>
      <c r="M7" s="2081"/>
      <c r="N7" s="2081"/>
      <c r="O7" s="2082"/>
    </row>
    <row r="8" spans="1:25" s="5" customFormat="1" ht="20.100000000000001" customHeight="1">
      <c r="A8" s="2566"/>
      <c r="B8" s="2081"/>
      <c r="C8" s="2081"/>
      <c r="D8" s="2081"/>
      <c r="E8" s="2081"/>
      <c r="F8" s="2081"/>
      <c r="G8" s="2081"/>
      <c r="H8" s="2081"/>
      <c r="I8" s="2081"/>
      <c r="J8" s="2081"/>
      <c r="K8" s="2081"/>
      <c r="L8" s="2081"/>
      <c r="M8" s="2081"/>
      <c r="N8" s="2081"/>
      <c r="O8" s="2082"/>
    </row>
    <row r="9" spans="1:25" s="5" customFormat="1" ht="20.100000000000001" customHeight="1">
      <c r="A9" s="2566"/>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1628"/>
      <c r="B15" s="1629"/>
      <c r="C15" s="11"/>
      <c r="D15" s="2718" t="s">
        <v>4</v>
      </c>
      <c r="E15" s="2829"/>
      <c r="F15" s="2829"/>
      <c r="G15" s="2829"/>
      <c r="H15" s="1520"/>
      <c r="I15" s="13" t="s">
        <v>5</v>
      </c>
      <c r="J15" s="14"/>
      <c r="K15" s="14"/>
      <c r="L15" s="14"/>
      <c r="M15" s="14"/>
      <c r="N15" s="14"/>
      <c r="O15" s="15"/>
      <c r="P15" s="16"/>
      <c r="Q15" s="17"/>
      <c r="R15" s="18"/>
      <c r="S15" s="18"/>
      <c r="T15" s="18"/>
      <c r="U15" s="18"/>
      <c r="V15" s="18"/>
      <c r="W15" s="16"/>
      <c r="X15" s="16"/>
      <c r="Y15" s="17"/>
    </row>
    <row r="16" spans="1:25" s="31" customFormat="1" ht="129" customHeight="1">
      <c r="A16" s="1567"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550" t="s">
        <v>488</v>
      </c>
      <c r="B17" s="19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551"/>
      <c r="B18" s="1988"/>
      <c r="C18" s="39">
        <v>2015</v>
      </c>
      <c r="D18" s="50"/>
      <c r="E18" s="42"/>
      <c r="F18" s="42"/>
      <c r="G18" s="35">
        <f>SUM(D18:F18)</f>
        <v>0</v>
      </c>
      <c r="H18" s="51"/>
      <c r="I18" s="42"/>
      <c r="J18" s="42"/>
      <c r="K18" s="42"/>
      <c r="L18" s="42"/>
      <c r="M18" s="42"/>
      <c r="N18" s="42"/>
      <c r="O18" s="52"/>
      <c r="P18" s="38"/>
      <c r="Q18" s="38"/>
      <c r="R18" s="38"/>
      <c r="S18" s="38"/>
      <c r="T18" s="38"/>
      <c r="U18" s="38"/>
      <c r="V18" s="38"/>
      <c r="W18" s="38"/>
      <c r="X18" s="38"/>
      <c r="Y18" s="38"/>
    </row>
    <row r="19" spans="1:25">
      <c r="A19" s="2551"/>
      <c r="B19" s="1988"/>
      <c r="C19" s="39">
        <v>2016</v>
      </c>
      <c r="D19" s="50">
        <v>5</v>
      </c>
      <c r="E19" s="42"/>
      <c r="F19" s="42"/>
      <c r="G19" s="35">
        <f t="shared" si="0"/>
        <v>5</v>
      </c>
      <c r="H19" s="51">
        <v>4</v>
      </c>
      <c r="I19" s="42">
        <v>1</v>
      </c>
      <c r="J19" s="42"/>
      <c r="K19" s="42"/>
      <c r="L19" s="42"/>
      <c r="M19" s="42"/>
      <c r="N19" s="42"/>
      <c r="O19" s="52"/>
      <c r="P19" s="38" t="s">
        <v>489</v>
      </c>
      <c r="Q19" s="38" t="s">
        <v>490</v>
      </c>
      <c r="R19" s="38"/>
      <c r="S19" s="38"/>
      <c r="T19" s="38"/>
      <c r="U19" s="38"/>
      <c r="V19" s="38"/>
      <c r="W19" s="38"/>
      <c r="X19" s="38"/>
      <c r="Y19" s="38"/>
    </row>
    <row r="20" spans="1:25">
      <c r="A20" s="2551"/>
      <c r="B20" s="1988"/>
      <c r="C20" s="39">
        <v>2017</v>
      </c>
      <c r="D20" s="40"/>
      <c r="E20" s="42"/>
      <c r="F20" s="42"/>
      <c r="G20" s="35">
        <f t="shared" si="0"/>
        <v>0</v>
      </c>
      <c r="H20" s="43"/>
      <c r="I20" s="41"/>
      <c r="J20" s="42"/>
      <c r="K20" s="42"/>
      <c r="L20" s="42"/>
      <c r="M20" s="42"/>
      <c r="N20" s="42"/>
      <c r="O20" s="52"/>
      <c r="P20" s="38" t="s">
        <v>491</v>
      </c>
      <c r="Q20" s="38"/>
      <c r="R20" s="38"/>
      <c r="S20" s="38"/>
      <c r="T20" s="38"/>
      <c r="U20" s="38"/>
      <c r="V20" s="38"/>
      <c r="W20" s="38"/>
      <c r="X20" s="38"/>
      <c r="Y20" s="38"/>
    </row>
    <row r="21" spans="1:25">
      <c r="A21" s="2551"/>
      <c r="B21" s="1988"/>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2551"/>
      <c r="B22" s="1988"/>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2551"/>
      <c r="B23" s="1988"/>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19.5" customHeight="1" thickBot="1">
      <c r="A24" s="1989"/>
      <c r="B24" s="1990"/>
      <c r="C24" s="54" t="s">
        <v>12</v>
      </c>
      <c r="D24" s="55">
        <f>SUM(D17:D23)</f>
        <v>5</v>
      </c>
      <c r="E24" s="56">
        <f>SUM(E17:E23)</f>
        <v>0</v>
      </c>
      <c r="F24" s="56">
        <f>SUM(F17:F23)</f>
        <v>0</v>
      </c>
      <c r="G24" s="57">
        <f>SUM(D24:F24)</f>
        <v>5</v>
      </c>
      <c r="H24" s="58">
        <f>SUM(H17:H23)</f>
        <v>4</v>
      </c>
      <c r="I24" s="59">
        <f>SUM(I17:I23)</f>
        <v>1</v>
      </c>
      <c r="J24" s="59">
        <f t="shared" ref="J24:N24" si="1">SUM(J17:J23)</f>
        <v>0</v>
      </c>
      <c r="K24" s="59">
        <f t="shared" si="1"/>
        <v>0</v>
      </c>
      <c r="L24" s="59">
        <f t="shared" si="1"/>
        <v>0</v>
      </c>
      <c r="M24" s="59">
        <f t="shared" si="1"/>
        <v>0</v>
      </c>
      <c r="N24" s="59">
        <f t="shared" si="1"/>
        <v>0</v>
      </c>
      <c r="O24" s="60">
        <f>SUM(O17:O23)</f>
        <v>0</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1628"/>
      <c r="B26" s="1629"/>
      <c r="C26" s="63"/>
      <c r="D26" s="2723" t="s">
        <v>4</v>
      </c>
      <c r="E26" s="2830"/>
      <c r="F26" s="2830"/>
      <c r="G26" s="2831"/>
      <c r="H26" s="16"/>
      <c r="I26" s="17"/>
      <c r="J26" s="18"/>
      <c r="K26" s="18"/>
      <c r="L26" s="18"/>
      <c r="M26" s="18"/>
      <c r="N26" s="18"/>
      <c r="O26" s="16"/>
      <c r="P26" s="16"/>
    </row>
    <row r="27" spans="1:25" s="31" customFormat="1" ht="93" customHeight="1">
      <c r="A27" s="1364" t="s">
        <v>22</v>
      </c>
      <c r="B27" s="21" t="s">
        <v>7</v>
      </c>
      <c r="C27" s="65" t="s">
        <v>8</v>
      </c>
      <c r="D27" s="66" t="s">
        <v>9</v>
      </c>
      <c r="E27" s="24" t="s">
        <v>10</v>
      </c>
      <c r="F27" s="24" t="s">
        <v>11</v>
      </c>
      <c r="G27" s="67" t="s">
        <v>12</v>
      </c>
      <c r="H27" s="30" t="s">
        <v>221</v>
      </c>
      <c r="I27" s="30"/>
      <c r="J27" s="30"/>
      <c r="K27" s="30"/>
      <c r="L27" s="30"/>
      <c r="M27" s="30"/>
      <c r="N27" s="30"/>
      <c r="O27" s="30"/>
      <c r="P27" s="30"/>
      <c r="Q27" s="19"/>
    </row>
    <row r="28" spans="1:25" ht="15" customHeight="1">
      <c r="A28" s="2550"/>
      <c r="B28" s="1988"/>
      <c r="C28" s="68">
        <v>2014</v>
      </c>
      <c r="D28" s="36"/>
      <c r="E28" s="34"/>
      <c r="F28" s="34"/>
      <c r="G28" s="69">
        <f>SUM(D28:F28)</f>
        <v>0</v>
      </c>
      <c r="H28" s="38"/>
      <c r="I28" s="38"/>
      <c r="J28" s="38"/>
      <c r="K28" s="38"/>
      <c r="L28" s="38"/>
      <c r="M28" s="38"/>
      <c r="N28" s="38"/>
      <c r="O28" s="38"/>
      <c r="P28" s="38"/>
      <c r="Q28" s="8"/>
    </row>
    <row r="29" spans="1:25">
      <c r="A29" s="2551"/>
      <c r="B29" s="1988"/>
      <c r="C29" s="70">
        <v>2015</v>
      </c>
      <c r="D29" s="51"/>
      <c r="E29" s="42"/>
      <c r="F29" s="42"/>
      <c r="G29" s="69">
        <f t="shared" ref="G29:G35" si="2">SUM(D29:F29)</f>
        <v>0</v>
      </c>
      <c r="H29" s="38"/>
      <c r="I29" s="38"/>
      <c r="J29" s="38"/>
      <c r="K29" s="38"/>
      <c r="L29" s="38"/>
      <c r="M29" s="38"/>
      <c r="N29" s="38"/>
      <c r="O29" s="38"/>
      <c r="P29" s="38"/>
      <c r="Q29" s="8"/>
    </row>
    <row r="30" spans="1:25">
      <c r="A30" s="2551"/>
      <c r="B30" s="1988"/>
      <c r="C30" s="70">
        <v>2016</v>
      </c>
      <c r="D30" s="51">
        <v>248</v>
      </c>
      <c r="E30" s="42"/>
      <c r="F30" s="42"/>
      <c r="G30" s="69">
        <f t="shared" si="2"/>
        <v>248</v>
      </c>
      <c r="H30" s="38"/>
      <c r="I30" s="38"/>
      <c r="J30" s="38"/>
      <c r="K30" s="38"/>
      <c r="L30" s="38"/>
      <c r="M30" s="38"/>
      <c r="N30" s="38"/>
      <c r="O30" s="38"/>
      <c r="P30" s="38"/>
      <c r="Q30" s="8"/>
    </row>
    <row r="31" spans="1:25">
      <c r="A31" s="2551"/>
      <c r="B31" s="1988"/>
      <c r="C31" s="70">
        <v>2017</v>
      </c>
      <c r="D31" s="51"/>
      <c r="E31" s="42"/>
      <c r="F31" s="42"/>
      <c r="G31" s="69">
        <f t="shared" si="2"/>
        <v>0</v>
      </c>
      <c r="H31" s="38"/>
      <c r="I31" s="38"/>
      <c r="J31" s="38"/>
      <c r="K31" s="38"/>
      <c r="L31" s="38"/>
      <c r="M31" s="38"/>
      <c r="N31" s="38"/>
      <c r="O31" s="38"/>
      <c r="P31" s="38"/>
      <c r="Q31" s="8"/>
    </row>
    <row r="32" spans="1:25">
      <c r="A32" s="2551"/>
      <c r="B32" s="1988"/>
      <c r="C32" s="70">
        <v>2018</v>
      </c>
      <c r="D32" s="51"/>
      <c r="E32" s="42"/>
      <c r="F32" s="42"/>
      <c r="G32" s="69">
        <f>SUM(D32:F32)</f>
        <v>0</v>
      </c>
      <c r="H32" s="38"/>
      <c r="I32" s="38"/>
      <c r="J32" s="38"/>
      <c r="K32" s="38"/>
      <c r="L32" s="38"/>
      <c r="M32" s="38"/>
      <c r="N32" s="38"/>
      <c r="O32" s="38"/>
      <c r="P32" s="38"/>
      <c r="Q32" s="8"/>
    </row>
    <row r="33" spans="1:17">
      <c r="A33" s="2551"/>
      <c r="B33" s="1988"/>
      <c r="C33" s="72">
        <v>2019</v>
      </c>
      <c r="D33" s="51"/>
      <c r="E33" s="42"/>
      <c r="F33" s="42"/>
      <c r="G33" s="69">
        <f t="shared" si="2"/>
        <v>0</v>
      </c>
      <c r="H33" s="38"/>
      <c r="I33" s="38"/>
      <c r="J33" s="38"/>
      <c r="K33" s="38"/>
      <c r="L33" s="38"/>
      <c r="M33" s="38"/>
      <c r="N33" s="38"/>
      <c r="O33" s="38"/>
      <c r="P33" s="38"/>
      <c r="Q33" s="8"/>
    </row>
    <row r="34" spans="1:17">
      <c r="A34" s="2551"/>
      <c r="B34" s="1988"/>
      <c r="C34" s="70">
        <v>2020</v>
      </c>
      <c r="D34" s="51"/>
      <c r="E34" s="42"/>
      <c r="F34" s="42"/>
      <c r="G34" s="69">
        <f t="shared" si="2"/>
        <v>0</v>
      </c>
      <c r="H34" s="38"/>
      <c r="I34" s="38"/>
      <c r="J34" s="38"/>
      <c r="K34" s="38"/>
      <c r="L34" s="38"/>
      <c r="M34" s="38"/>
      <c r="N34" s="38"/>
      <c r="O34" s="38"/>
      <c r="P34" s="38"/>
      <c r="Q34" s="8"/>
    </row>
    <row r="35" spans="1:17" ht="20.25" customHeight="1" thickBot="1">
      <c r="A35" s="1989"/>
      <c r="B35" s="1990"/>
      <c r="C35" s="73" t="s">
        <v>12</v>
      </c>
      <c r="D35" s="58">
        <f>SUM(D28:D34)</f>
        <v>248</v>
      </c>
      <c r="E35" s="56">
        <f>SUM(E28:E34)</f>
        <v>0</v>
      </c>
      <c r="F35" s="56">
        <f>SUM(F28:F34)</f>
        <v>0</v>
      </c>
      <c r="G35" s="60">
        <f t="shared" si="2"/>
        <v>248</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1630" t="s">
        <v>25</v>
      </c>
      <c r="B39" s="1631" t="s">
        <v>7</v>
      </c>
      <c r="C39" s="80" t="s">
        <v>8</v>
      </c>
      <c r="D39" s="1523" t="s">
        <v>26</v>
      </c>
      <c r="E39" s="352" t="s">
        <v>27</v>
      </c>
      <c r="F39" s="353"/>
      <c r="G39" s="30"/>
      <c r="H39" s="30"/>
    </row>
    <row r="40" spans="1:17">
      <c r="A40" s="2550" t="s">
        <v>492</v>
      </c>
      <c r="B40" s="1988"/>
      <c r="C40" s="84">
        <v>2014</v>
      </c>
      <c r="D40" s="33"/>
      <c r="E40" s="32"/>
      <c r="F40" s="8"/>
      <c r="G40" s="38"/>
      <c r="H40" s="38"/>
    </row>
    <row r="41" spans="1:17">
      <c r="A41" s="2551"/>
      <c r="B41" s="1988"/>
      <c r="C41" s="86">
        <v>2015</v>
      </c>
      <c r="D41" s="50">
        <v>944</v>
      </c>
      <c r="E41" s="39">
        <v>720</v>
      </c>
      <c r="F41" s="8"/>
      <c r="G41" s="38"/>
      <c r="H41" s="38"/>
    </row>
    <row r="42" spans="1:17">
      <c r="A42" s="2551"/>
      <c r="B42" s="1988"/>
      <c r="C42" s="86">
        <v>2016</v>
      </c>
      <c r="D42" s="50">
        <v>4251</v>
      </c>
      <c r="E42" s="39"/>
      <c r="F42" s="8"/>
      <c r="G42" s="38"/>
      <c r="H42" s="38"/>
    </row>
    <row r="43" spans="1:17">
      <c r="A43" s="2551"/>
      <c r="B43" s="1988"/>
      <c r="C43" s="86">
        <v>2017</v>
      </c>
      <c r="D43" s="50"/>
      <c r="E43" s="39"/>
      <c r="F43" s="8"/>
      <c r="G43" s="38"/>
      <c r="H43" s="38"/>
    </row>
    <row r="44" spans="1:17">
      <c r="A44" s="2551"/>
      <c r="B44" s="1988"/>
      <c r="C44" s="86">
        <v>2018</v>
      </c>
      <c r="D44" s="50"/>
      <c r="E44" s="39"/>
      <c r="F44" s="8"/>
      <c r="G44" s="38"/>
      <c r="H44" s="38"/>
    </row>
    <row r="45" spans="1:17">
      <c r="A45" s="2551"/>
      <c r="B45" s="1988"/>
      <c r="C45" s="86">
        <v>2019</v>
      </c>
      <c r="D45" s="50"/>
      <c r="E45" s="39"/>
      <c r="F45" s="8"/>
      <c r="G45" s="38"/>
      <c r="H45" s="38"/>
    </row>
    <row r="46" spans="1:17">
      <c r="A46" s="2551"/>
      <c r="B46" s="1988"/>
      <c r="C46" s="86">
        <v>2020</v>
      </c>
      <c r="D46" s="50"/>
      <c r="E46" s="39"/>
      <c r="F46" s="8"/>
      <c r="G46" s="38"/>
      <c r="H46" s="38"/>
    </row>
    <row r="47" spans="1:17" ht="15.75" thickBot="1">
      <c r="A47" s="1989"/>
      <c r="B47" s="1990"/>
      <c r="C47" s="54" t="s">
        <v>12</v>
      </c>
      <c r="D47" s="55">
        <f>SUM(D40:D46)</f>
        <v>5195</v>
      </c>
      <c r="E47" s="419">
        <f>SUM(E40:E46)</f>
        <v>720</v>
      </c>
      <c r="F47" s="121"/>
      <c r="G47" s="38"/>
      <c r="H47" s="38"/>
    </row>
    <row r="48" spans="1:17" s="38" customFormat="1" ht="15.75" thickBot="1">
      <c r="A48" s="1632"/>
      <c r="B48" s="92"/>
      <c r="C48" s="93"/>
    </row>
    <row r="49" spans="1:15" ht="83.25" customHeight="1">
      <c r="A49" s="1527" t="s">
        <v>29</v>
      </c>
      <c r="B49" s="1631" t="s">
        <v>7</v>
      </c>
      <c r="C49" s="95" t="s">
        <v>8</v>
      </c>
      <c r="D49" s="1523" t="s">
        <v>30</v>
      </c>
      <c r="E49" s="96" t="s">
        <v>31</v>
      </c>
      <c r="F49" s="96" t="s">
        <v>32</v>
      </c>
      <c r="G49" s="96" t="s">
        <v>33</v>
      </c>
      <c r="H49" s="96" t="s">
        <v>34</v>
      </c>
      <c r="I49" s="96" t="s">
        <v>35</v>
      </c>
      <c r="J49" s="96" t="s">
        <v>36</v>
      </c>
      <c r="K49" s="97" t="s">
        <v>37</v>
      </c>
    </row>
    <row r="50" spans="1:15" ht="17.25" customHeight="1">
      <c r="A50" s="2005" t="s">
        <v>493</v>
      </c>
      <c r="B50" s="2012"/>
      <c r="C50" s="98" t="s">
        <v>38</v>
      </c>
      <c r="D50" s="33"/>
      <c r="E50" s="34"/>
      <c r="F50" s="34"/>
      <c r="G50" s="34"/>
      <c r="H50" s="34"/>
      <c r="I50" s="34"/>
      <c r="J50" s="34"/>
      <c r="K50" s="37"/>
    </row>
    <row r="51" spans="1:15" ht="15" customHeight="1">
      <c r="A51" s="2550"/>
      <c r="B51" s="2014"/>
      <c r="C51" s="86">
        <v>2014</v>
      </c>
      <c r="D51" s="50"/>
      <c r="E51" s="42"/>
      <c r="F51" s="42"/>
      <c r="G51" s="42"/>
      <c r="H51" s="42"/>
      <c r="I51" s="42"/>
      <c r="J51" s="42"/>
      <c r="K51" s="99"/>
    </row>
    <row r="52" spans="1:15">
      <c r="A52" s="2550"/>
      <c r="B52" s="2014"/>
      <c r="C52" s="86">
        <v>2015</v>
      </c>
      <c r="D52" s="50">
        <v>1</v>
      </c>
      <c r="E52" s="42"/>
      <c r="F52" s="42"/>
      <c r="G52" s="42">
        <v>21</v>
      </c>
      <c r="H52" s="42"/>
      <c r="I52" s="42"/>
      <c r="J52" s="42">
        <v>2</v>
      </c>
      <c r="K52" s="99"/>
    </row>
    <row r="53" spans="1:15">
      <c r="A53" s="2550"/>
      <c r="B53" s="2014"/>
      <c r="C53" s="86">
        <v>2016</v>
      </c>
      <c r="D53" s="50">
        <v>1</v>
      </c>
      <c r="E53" s="42"/>
      <c r="F53" s="42"/>
      <c r="G53" s="42">
        <v>2354</v>
      </c>
      <c r="H53" s="42"/>
      <c r="I53" s="42"/>
      <c r="J53" s="42">
        <v>24</v>
      </c>
      <c r="K53" s="99"/>
    </row>
    <row r="54" spans="1:15">
      <c r="A54" s="2550"/>
      <c r="B54" s="2014"/>
      <c r="C54" s="86">
        <v>2017</v>
      </c>
      <c r="D54" s="50"/>
      <c r="E54" s="42"/>
      <c r="F54" s="42"/>
      <c r="G54" s="42"/>
      <c r="H54" s="42"/>
      <c r="I54" s="42"/>
      <c r="J54" s="42"/>
      <c r="K54" s="99"/>
    </row>
    <row r="55" spans="1:15">
      <c r="A55" s="2550"/>
      <c r="B55" s="2014"/>
      <c r="C55" s="86">
        <v>2018</v>
      </c>
      <c r="D55" s="50"/>
      <c r="E55" s="42"/>
      <c r="F55" s="42"/>
      <c r="G55" s="42"/>
      <c r="H55" s="42"/>
      <c r="I55" s="42"/>
      <c r="J55" s="42"/>
      <c r="K55" s="99"/>
    </row>
    <row r="56" spans="1:15">
      <c r="A56" s="2550"/>
      <c r="B56" s="2014"/>
      <c r="C56" s="86">
        <v>2019</v>
      </c>
      <c r="D56" s="50"/>
      <c r="E56" s="42"/>
      <c r="F56" s="42"/>
      <c r="G56" s="42"/>
      <c r="H56" s="42"/>
      <c r="I56" s="42"/>
      <c r="J56" s="42"/>
      <c r="K56" s="99"/>
    </row>
    <row r="57" spans="1:15">
      <c r="A57" s="2550"/>
      <c r="B57" s="2014"/>
      <c r="C57" s="86">
        <v>2020</v>
      </c>
      <c r="D57" s="50"/>
      <c r="E57" s="42"/>
      <c r="F57" s="42"/>
      <c r="G57" s="42"/>
      <c r="H57" s="42"/>
      <c r="I57" s="42"/>
      <c r="J57" s="42"/>
      <c r="K57" s="100"/>
    </row>
    <row r="58" spans="1:15" ht="20.25" customHeight="1" thickBot="1">
      <c r="A58" s="2009"/>
      <c r="B58" s="2016"/>
      <c r="C58" s="54" t="s">
        <v>12</v>
      </c>
      <c r="D58" s="55">
        <f>SUM(D51:D57)</f>
        <v>2</v>
      </c>
      <c r="E58" s="56">
        <f>SUM(E51:E57)</f>
        <v>0</v>
      </c>
      <c r="F58" s="56">
        <f>SUM(F51:F57)</f>
        <v>0</v>
      </c>
      <c r="G58" s="56">
        <f>SUM(G51:G57)</f>
        <v>2375</v>
      </c>
      <c r="H58" s="56">
        <f>SUM(H51:H57)</f>
        <v>0</v>
      </c>
      <c r="I58" s="56">
        <f t="shared" ref="I58" si="3">SUM(I51:I57)</f>
        <v>0</v>
      </c>
      <c r="J58" s="56">
        <f>SUM(J51:J57)</f>
        <v>26</v>
      </c>
      <c r="K58" s="60">
        <f>SUM(K50:K56)</f>
        <v>0</v>
      </c>
    </row>
    <row r="59" spans="1:15" ht="15.75" thickBot="1"/>
    <row r="60" spans="1:15" ht="21" customHeight="1">
      <c r="A60" s="2832" t="s">
        <v>39</v>
      </c>
      <c r="B60" s="1633"/>
      <c r="C60" s="2833" t="s">
        <v>8</v>
      </c>
      <c r="D60" s="2671" t="s">
        <v>40</v>
      </c>
      <c r="E60" s="1477" t="s">
        <v>5</v>
      </c>
      <c r="F60" s="1634"/>
      <c r="G60" s="1634"/>
      <c r="H60" s="1634"/>
      <c r="I60" s="1634"/>
      <c r="J60" s="1634"/>
      <c r="K60" s="1634"/>
      <c r="L60" s="1635"/>
    </row>
    <row r="61" spans="1:15" ht="115.5" customHeight="1">
      <c r="A61" s="2775"/>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552" t="s">
        <v>494</v>
      </c>
      <c r="B62" s="2025"/>
      <c r="C62" s="112">
        <v>2014</v>
      </c>
      <c r="D62" s="113"/>
      <c r="E62" s="114"/>
      <c r="F62" s="115"/>
      <c r="G62" s="115"/>
      <c r="H62" s="115"/>
      <c r="I62" s="115"/>
      <c r="J62" s="115"/>
      <c r="K62" s="115"/>
      <c r="L62" s="37"/>
      <c r="M62" s="8"/>
      <c r="N62" s="8"/>
      <c r="O62" s="8"/>
    </row>
    <row r="63" spans="1:15">
      <c r="A63" s="2553"/>
      <c r="B63" s="2025"/>
      <c r="C63" s="116">
        <v>2015</v>
      </c>
      <c r="D63" s="117">
        <v>4</v>
      </c>
      <c r="E63" s="118">
        <v>4</v>
      </c>
      <c r="F63" s="42"/>
      <c r="G63" s="42"/>
      <c r="H63" s="42"/>
      <c r="I63" s="42"/>
      <c r="J63" s="42"/>
      <c r="K63" s="42"/>
      <c r="L63" s="99"/>
      <c r="M63" s="8"/>
      <c r="N63" s="8"/>
      <c r="O63" s="8"/>
    </row>
    <row r="64" spans="1:15">
      <c r="A64" s="2553"/>
      <c r="B64" s="2025"/>
      <c r="C64" s="1623">
        <v>2016</v>
      </c>
      <c r="D64" s="119">
        <v>5</v>
      </c>
      <c r="E64" s="120">
        <v>3</v>
      </c>
      <c r="F64" s="41">
        <v>2</v>
      </c>
      <c r="G64" s="41"/>
      <c r="H64" s="41"/>
      <c r="I64" s="41"/>
      <c r="J64" s="41"/>
      <c r="K64" s="41"/>
      <c r="L64" s="44"/>
      <c r="M64" s="8"/>
      <c r="N64" s="8"/>
      <c r="O64" s="8"/>
    </row>
    <row r="65" spans="1:20">
      <c r="A65" s="2553"/>
      <c r="B65" s="2025"/>
      <c r="C65" s="116">
        <v>2017</v>
      </c>
      <c r="D65" s="117"/>
      <c r="E65" s="118"/>
      <c r="F65" s="42"/>
      <c r="G65" s="42"/>
      <c r="H65" s="42"/>
      <c r="I65" s="42"/>
      <c r="J65" s="42"/>
      <c r="K65" s="42"/>
      <c r="L65" s="99"/>
      <c r="M65" s="8"/>
      <c r="N65" s="8"/>
      <c r="O65" s="8"/>
    </row>
    <row r="66" spans="1:20">
      <c r="A66" s="2553"/>
      <c r="B66" s="2025"/>
      <c r="C66" s="116">
        <v>2018</v>
      </c>
      <c r="D66" s="117"/>
      <c r="E66" s="118"/>
      <c r="F66" s="42"/>
      <c r="G66" s="42"/>
      <c r="H66" s="42"/>
      <c r="I66" s="42"/>
      <c r="J66" s="42"/>
      <c r="K66" s="42"/>
      <c r="L66" s="99"/>
      <c r="M66" s="8"/>
      <c r="N66" s="8"/>
      <c r="O66" s="8"/>
    </row>
    <row r="67" spans="1:20" ht="17.25" customHeight="1">
      <c r="A67" s="2553"/>
      <c r="B67" s="2025"/>
      <c r="C67" s="116">
        <v>2019</v>
      </c>
      <c r="D67" s="117"/>
      <c r="E67" s="118"/>
      <c r="F67" s="42"/>
      <c r="G67" s="42"/>
      <c r="H67" s="42"/>
      <c r="I67" s="42"/>
      <c r="J67" s="42"/>
      <c r="K67" s="42"/>
      <c r="L67" s="99"/>
      <c r="M67" s="8"/>
      <c r="N67" s="8"/>
      <c r="O67" s="8"/>
    </row>
    <row r="68" spans="1:20" ht="16.5" customHeight="1">
      <c r="A68" s="2553"/>
      <c r="B68" s="2025"/>
      <c r="C68" s="116">
        <v>2020</v>
      </c>
      <c r="D68" s="117"/>
      <c r="E68" s="118"/>
      <c r="F68" s="42"/>
      <c r="G68" s="42"/>
      <c r="H68" s="42"/>
      <c r="I68" s="42"/>
      <c r="J68" s="42"/>
      <c r="K68" s="42"/>
      <c r="L68" s="99"/>
      <c r="M68" s="121"/>
      <c r="N68" s="121"/>
      <c r="O68" s="121"/>
    </row>
    <row r="69" spans="1:20" ht="18" customHeight="1" thickBot="1">
      <c r="A69" s="2134"/>
      <c r="B69" s="2027"/>
      <c r="C69" s="122" t="s">
        <v>12</v>
      </c>
      <c r="D69" s="123">
        <f>SUM(D62:D68)</f>
        <v>9</v>
      </c>
      <c r="E69" s="124">
        <f>SUM(E62:E68)</f>
        <v>7</v>
      </c>
      <c r="F69" s="125">
        <f t="shared" ref="F69:I69" si="4">SUM(F62:F68)</f>
        <v>2</v>
      </c>
      <c r="G69" s="125">
        <f t="shared" si="4"/>
        <v>0</v>
      </c>
      <c r="H69" s="125">
        <f t="shared" si="4"/>
        <v>0</v>
      </c>
      <c r="I69" s="125">
        <f t="shared" si="4"/>
        <v>0</v>
      </c>
      <c r="J69" s="125"/>
      <c r="K69" s="125">
        <f>SUM(K62:K68)</f>
        <v>0</v>
      </c>
      <c r="L69" s="126">
        <f>SUM(L62:L68)</f>
        <v>0</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1630" t="s">
        <v>42</v>
      </c>
      <c r="B71" s="1631" t="s">
        <v>7</v>
      </c>
      <c r="C71" s="80" t="s">
        <v>8</v>
      </c>
      <c r="D71" s="132" t="s">
        <v>43</v>
      </c>
      <c r="E71" s="132" t="s">
        <v>44</v>
      </c>
      <c r="F71" s="133" t="s">
        <v>45</v>
      </c>
      <c r="G71" s="1532" t="s">
        <v>46</v>
      </c>
      <c r="H71" s="135" t="s">
        <v>13</v>
      </c>
      <c r="I71" s="136" t="s">
        <v>14</v>
      </c>
      <c r="J71" s="137" t="s">
        <v>15</v>
      </c>
      <c r="K71" s="136" t="s">
        <v>16</v>
      </c>
      <c r="L71" s="136" t="s">
        <v>17</v>
      </c>
      <c r="M71" s="138" t="s">
        <v>18</v>
      </c>
      <c r="N71" s="137" t="s">
        <v>19</v>
      </c>
      <c r="O71" s="139" t="s">
        <v>20</v>
      </c>
    </row>
    <row r="72" spans="1:20" ht="15" customHeight="1">
      <c r="A72" s="2550"/>
      <c r="B72" s="2025"/>
      <c r="C72" s="84">
        <v>2014</v>
      </c>
      <c r="D72" s="140"/>
      <c r="E72" s="140"/>
      <c r="F72" s="140"/>
      <c r="G72" s="141">
        <f>SUM(D72:F72)</f>
        <v>0</v>
      </c>
      <c r="H72" s="33"/>
      <c r="I72" s="142"/>
      <c r="J72" s="115"/>
      <c r="K72" s="115"/>
      <c r="L72" s="115"/>
      <c r="M72" s="115"/>
      <c r="N72" s="115"/>
      <c r="O72" s="143"/>
    </row>
    <row r="73" spans="1:20">
      <c r="A73" s="2551"/>
      <c r="B73" s="2025"/>
      <c r="C73" s="86">
        <v>2015</v>
      </c>
      <c r="D73" s="147"/>
      <c r="E73" s="147"/>
      <c r="F73" s="147"/>
      <c r="G73" s="141">
        <f t="shared" ref="G73:G78" si="5">SUM(D73:F73)</f>
        <v>0</v>
      </c>
      <c r="H73" s="50"/>
      <c r="I73" s="50"/>
      <c r="J73" s="42"/>
      <c r="K73" s="42"/>
      <c r="L73" s="42"/>
      <c r="M73" s="42"/>
      <c r="N73" s="42"/>
      <c r="O73" s="99"/>
    </row>
    <row r="74" spans="1:20">
      <c r="A74" s="2551"/>
      <c r="B74" s="2025"/>
      <c r="C74" s="86">
        <v>2016</v>
      </c>
      <c r="D74" s="147"/>
      <c r="E74" s="147"/>
      <c r="F74" s="147"/>
      <c r="G74" s="141">
        <f t="shared" si="5"/>
        <v>0</v>
      </c>
      <c r="H74" s="50"/>
      <c r="I74" s="50"/>
      <c r="J74" s="42"/>
      <c r="K74" s="42"/>
      <c r="L74" s="42"/>
      <c r="M74" s="42"/>
      <c r="N74" s="42"/>
      <c r="O74" s="99"/>
    </row>
    <row r="75" spans="1:20">
      <c r="A75" s="2551"/>
      <c r="B75" s="2025"/>
      <c r="C75" s="86">
        <v>2017</v>
      </c>
      <c r="D75" s="147"/>
      <c r="E75" s="147"/>
      <c r="F75" s="147"/>
      <c r="G75" s="141">
        <f t="shared" si="5"/>
        <v>0</v>
      </c>
      <c r="H75" s="50"/>
      <c r="I75" s="50"/>
      <c r="J75" s="42"/>
      <c r="K75" s="42"/>
      <c r="L75" s="42"/>
      <c r="M75" s="42"/>
      <c r="N75" s="42"/>
      <c r="O75" s="99"/>
    </row>
    <row r="76" spans="1:20">
      <c r="A76" s="2551"/>
      <c r="B76" s="2025"/>
      <c r="C76" s="86">
        <v>2018</v>
      </c>
      <c r="D76" s="147"/>
      <c r="E76" s="147"/>
      <c r="F76" s="147"/>
      <c r="G76" s="141">
        <f t="shared" si="5"/>
        <v>0</v>
      </c>
      <c r="H76" s="50"/>
      <c r="I76" s="50"/>
      <c r="J76" s="42"/>
      <c r="K76" s="42"/>
      <c r="L76" s="42"/>
      <c r="M76" s="42"/>
      <c r="N76" s="42"/>
      <c r="O76" s="99"/>
    </row>
    <row r="77" spans="1:20" ht="15.75" customHeight="1">
      <c r="A77" s="2551"/>
      <c r="B77" s="2025"/>
      <c r="C77" s="86">
        <v>2019</v>
      </c>
      <c r="D77" s="147"/>
      <c r="E77" s="147"/>
      <c r="F77" s="147"/>
      <c r="G77" s="141">
        <f t="shared" si="5"/>
        <v>0</v>
      </c>
      <c r="H77" s="50"/>
      <c r="I77" s="50"/>
      <c r="J77" s="42"/>
      <c r="K77" s="42"/>
      <c r="L77" s="42"/>
      <c r="M77" s="42"/>
      <c r="N77" s="42"/>
      <c r="O77" s="99"/>
    </row>
    <row r="78" spans="1:20" ht="17.25" customHeight="1">
      <c r="A78" s="2551"/>
      <c r="B78" s="2025"/>
      <c r="C78" s="86">
        <v>2020</v>
      </c>
      <c r="D78" s="147"/>
      <c r="E78" s="147"/>
      <c r="F78" s="147"/>
      <c r="G78" s="141">
        <f t="shared" si="5"/>
        <v>0</v>
      </c>
      <c r="H78" s="50"/>
      <c r="I78" s="50"/>
      <c r="J78" s="42"/>
      <c r="K78" s="42"/>
      <c r="L78" s="42"/>
      <c r="M78" s="42"/>
      <c r="N78" s="42"/>
      <c r="O78" s="99"/>
    </row>
    <row r="79" spans="1:20" ht="20.25" customHeight="1" thickBot="1">
      <c r="A79" s="2134"/>
      <c r="B79" s="2027"/>
      <c r="C79" s="148" t="s">
        <v>12</v>
      </c>
      <c r="D79" s="123">
        <f>SUM(D72:D78)</f>
        <v>0</v>
      </c>
      <c r="E79" s="123">
        <f>SUM(E72:E78)</f>
        <v>0</v>
      </c>
      <c r="F79" s="123">
        <f>SUM(F72:F78)</f>
        <v>0</v>
      </c>
      <c r="G79" s="149">
        <f>SUM(G72:G78)</f>
        <v>0</v>
      </c>
      <c r="H79" s="150">
        <v>0</v>
      </c>
      <c r="I79" s="151">
        <f t="shared" ref="I79:O79" si="6">SUM(I72:I78)</f>
        <v>0</v>
      </c>
      <c r="J79" s="125">
        <f t="shared" si="6"/>
        <v>0</v>
      </c>
      <c r="K79" s="125">
        <f t="shared" si="6"/>
        <v>0</v>
      </c>
      <c r="L79" s="125">
        <f t="shared" si="6"/>
        <v>0</v>
      </c>
      <c r="M79" s="125">
        <f t="shared" si="6"/>
        <v>0</v>
      </c>
      <c r="N79" s="125">
        <f t="shared" si="6"/>
        <v>0</v>
      </c>
      <c r="O79" s="126">
        <f t="shared" si="6"/>
        <v>0</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1636" t="s">
        <v>49</v>
      </c>
      <c r="B84" s="1637" t="s">
        <v>50</v>
      </c>
      <c r="C84" s="161" t="s">
        <v>8</v>
      </c>
      <c r="D84" s="1538" t="s">
        <v>51</v>
      </c>
      <c r="E84" s="163" t="s">
        <v>52</v>
      </c>
      <c r="F84" s="164" t="s">
        <v>53</v>
      </c>
      <c r="G84" s="164" t="s">
        <v>54</v>
      </c>
      <c r="H84" s="164" t="s">
        <v>55</v>
      </c>
      <c r="I84" s="164" t="s">
        <v>56</v>
      </c>
      <c r="J84" s="164" t="s">
        <v>57</v>
      </c>
      <c r="K84" s="165" t="s">
        <v>58</v>
      </c>
    </row>
    <row r="85" spans="1:16" ht="15" customHeight="1">
      <c r="A85" s="2554"/>
      <c r="B85" s="2025"/>
      <c r="C85" s="84">
        <v>2014</v>
      </c>
      <c r="D85" s="166"/>
      <c r="E85" s="167"/>
      <c r="F85" s="34"/>
      <c r="G85" s="34"/>
      <c r="H85" s="34"/>
      <c r="I85" s="34"/>
      <c r="J85" s="34"/>
      <c r="K85" s="37"/>
    </row>
    <row r="86" spans="1:16">
      <c r="A86" s="2555"/>
      <c r="B86" s="2025"/>
      <c r="C86" s="86">
        <v>2015</v>
      </c>
      <c r="D86" s="168"/>
      <c r="E86" s="118"/>
      <c r="F86" s="42"/>
      <c r="G86" s="42"/>
      <c r="H86" s="42"/>
      <c r="I86" s="42"/>
      <c r="J86" s="42"/>
      <c r="K86" s="99"/>
    </row>
    <row r="87" spans="1:16">
      <c r="A87" s="2555"/>
      <c r="B87" s="2025"/>
      <c r="C87" s="86">
        <v>2016</v>
      </c>
      <c r="D87" s="168"/>
      <c r="E87" s="118"/>
      <c r="F87" s="42"/>
      <c r="G87" s="42"/>
      <c r="H87" s="42"/>
      <c r="I87" s="42"/>
      <c r="J87" s="42"/>
      <c r="K87" s="99"/>
    </row>
    <row r="88" spans="1:16">
      <c r="A88" s="2555"/>
      <c r="B88" s="2025"/>
      <c r="C88" s="86">
        <v>2017</v>
      </c>
      <c r="D88" s="168"/>
      <c r="E88" s="118"/>
      <c r="F88" s="42"/>
      <c r="G88" s="42"/>
      <c r="H88" s="42"/>
      <c r="I88" s="42"/>
      <c r="J88" s="42"/>
      <c r="K88" s="99"/>
    </row>
    <row r="89" spans="1:16">
      <c r="A89" s="2555"/>
      <c r="B89" s="2025"/>
      <c r="C89" s="86">
        <v>2018</v>
      </c>
      <c r="D89" s="168"/>
      <c r="E89" s="118"/>
      <c r="F89" s="42"/>
      <c r="G89" s="42"/>
      <c r="H89" s="42"/>
      <c r="I89" s="42"/>
      <c r="J89" s="42"/>
      <c r="K89" s="99"/>
    </row>
    <row r="90" spans="1:16">
      <c r="A90" s="2555"/>
      <c r="B90" s="2025"/>
      <c r="C90" s="86">
        <v>2019</v>
      </c>
      <c r="D90" s="168"/>
      <c r="E90" s="118"/>
      <c r="F90" s="42"/>
      <c r="G90" s="42"/>
      <c r="H90" s="42"/>
      <c r="I90" s="42"/>
      <c r="J90" s="42"/>
      <c r="K90" s="99"/>
    </row>
    <row r="91" spans="1:16">
      <c r="A91" s="2555"/>
      <c r="B91" s="2025"/>
      <c r="C91" s="86">
        <v>2020</v>
      </c>
      <c r="D91" s="168"/>
      <c r="E91" s="118"/>
      <c r="F91" s="42"/>
      <c r="G91" s="42"/>
      <c r="H91" s="42"/>
      <c r="I91" s="42"/>
      <c r="J91" s="42"/>
      <c r="K91" s="99"/>
    </row>
    <row r="92" spans="1:16" ht="18" customHeight="1" thickBot="1">
      <c r="A92" s="2073"/>
      <c r="B92" s="2027"/>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834" t="s">
        <v>60</v>
      </c>
      <c r="B96" s="2835" t="s">
        <v>61</v>
      </c>
      <c r="C96" s="2836" t="s">
        <v>8</v>
      </c>
      <c r="D96" s="2735" t="s">
        <v>62</v>
      </c>
      <c r="E96" s="2736"/>
      <c r="F96" s="1539" t="s">
        <v>63</v>
      </c>
      <c r="G96" s="1638"/>
      <c r="H96" s="1638"/>
      <c r="I96" s="1638"/>
      <c r="J96" s="1638"/>
      <c r="K96" s="1638"/>
      <c r="L96" s="1638"/>
      <c r="M96" s="1639"/>
      <c r="N96" s="177"/>
      <c r="O96" s="177"/>
      <c r="P96" s="177"/>
    </row>
    <row r="97" spans="1:16" ht="100.5" customHeight="1">
      <c r="A97" s="2778"/>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552"/>
      <c r="B98" s="2025"/>
      <c r="C98" s="112">
        <v>2014</v>
      </c>
      <c r="D98" s="33"/>
      <c r="E98" s="34"/>
      <c r="F98" s="186"/>
      <c r="G98" s="187"/>
      <c r="H98" s="187"/>
      <c r="I98" s="187"/>
      <c r="J98" s="187"/>
      <c r="K98" s="187"/>
      <c r="L98" s="187"/>
      <c r="M98" s="188"/>
      <c r="N98" s="177"/>
      <c r="O98" s="177"/>
      <c r="P98" s="177"/>
    </row>
    <row r="99" spans="1:16" ht="16.5" customHeight="1">
      <c r="A99" s="2553"/>
      <c r="B99" s="2025"/>
      <c r="C99" s="116">
        <v>2015</v>
      </c>
      <c r="D99" s="50"/>
      <c r="E99" s="42"/>
      <c r="F99" s="189"/>
      <c r="G99" s="190"/>
      <c r="H99" s="190"/>
      <c r="I99" s="190"/>
      <c r="J99" s="190"/>
      <c r="K99" s="190"/>
      <c r="L99" s="190"/>
      <c r="M99" s="193"/>
      <c r="N99" s="177"/>
      <c r="O99" s="177"/>
      <c r="P99" s="177"/>
    </row>
    <row r="100" spans="1:16" ht="16.5" customHeight="1">
      <c r="A100" s="2553"/>
      <c r="B100" s="2025"/>
      <c r="C100" s="116">
        <v>2016</v>
      </c>
      <c r="D100" s="50"/>
      <c r="E100" s="42"/>
      <c r="F100" s="189"/>
      <c r="G100" s="190"/>
      <c r="H100" s="190"/>
      <c r="I100" s="190"/>
      <c r="J100" s="190"/>
      <c r="K100" s="190"/>
      <c r="L100" s="190"/>
      <c r="M100" s="193"/>
      <c r="N100" s="177"/>
      <c r="O100" s="177"/>
      <c r="P100" s="177"/>
    </row>
    <row r="101" spans="1:16" ht="16.5" customHeight="1">
      <c r="A101" s="2553"/>
      <c r="B101" s="2025"/>
      <c r="C101" s="116">
        <v>2017</v>
      </c>
      <c r="D101" s="50"/>
      <c r="E101" s="42"/>
      <c r="F101" s="189"/>
      <c r="G101" s="190"/>
      <c r="H101" s="190"/>
      <c r="I101" s="190"/>
      <c r="J101" s="190"/>
      <c r="K101" s="190"/>
      <c r="L101" s="190"/>
      <c r="M101" s="193"/>
      <c r="N101" s="177"/>
      <c r="O101" s="177"/>
      <c r="P101" s="177"/>
    </row>
    <row r="102" spans="1:16" ht="15.75" customHeight="1">
      <c r="A102" s="2553"/>
      <c r="B102" s="2025"/>
      <c r="C102" s="116">
        <v>2018</v>
      </c>
      <c r="D102" s="50"/>
      <c r="E102" s="42"/>
      <c r="F102" s="189"/>
      <c r="G102" s="190"/>
      <c r="H102" s="190"/>
      <c r="I102" s="190"/>
      <c r="J102" s="190"/>
      <c r="K102" s="190"/>
      <c r="L102" s="190"/>
      <c r="M102" s="193"/>
      <c r="N102" s="177"/>
      <c r="O102" s="177"/>
      <c r="P102" s="177"/>
    </row>
    <row r="103" spans="1:16" ht="14.25" customHeight="1">
      <c r="A103" s="2553"/>
      <c r="B103" s="2025"/>
      <c r="C103" s="116">
        <v>2019</v>
      </c>
      <c r="D103" s="50"/>
      <c r="E103" s="42"/>
      <c r="F103" s="189"/>
      <c r="G103" s="190"/>
      <c r="H103" s="190"/>
      <c r="I103" s="190"/>
      <c r="J103" s="190"/>
      <c r="K103" s="190"/>
      <c r="L103" s="190"/>
      <c r="M103" s="193"/>
      <c r="N103" s="177"/>
      <c r="O103" s="177"/>
      <c r="P103" s="177"/>
    </row>
    <row r="104" spans="1:16" ht="14.25" customHeight="1">
      <c r="A104" s="2553"/>
      <c r="B104" s="2025"/>
      <c r="C104" s="116">
        <v>2020</v>
      </c>
      <c r="D104" s="50"/>
      <c r="E104" s="42"/>
      <c r="F104" s="189"/>
      <c r="G104" s="190"/>
      <c r="H104" s="190"/>
      <c r="I104" s="190"/>
      <c r="J104" s="190"/>
      <c r="K104" s="190"/>
      <c r="L104" s="190"/>
      <c r="M104" s="193"/>
      <c r="N104" s="177"/>
      <c r="O104" s="177"/>
      <c r="P104" s="177"/>
    </row>
    <row r="105" spans="1:16" ht="19.5" customHeight="1" thickBot="1">
      <c r="A105" s="2046"/>
      <c r="B105" s="2027"/>
      <c r="C105" s="122" t="s">
        <v>12</v>
      </c>
      <c r="D105" s="151">
        <f>SUM(D98:D104)</f>
        <v>0</v>
      </c>
      <c r="E105" s="125">
        <f t="shared" ref="E105:K105" si="8">SUM(E98:E104)</f>
        <v>0</v>
      </c>
      <c r="F105" s="194">
        <f t="shared" si="8"/>
        <v>0</v>
      </c>
      <c r="G105" s="195">
        <f t="shared" si="8"/>
        <v>0</v>
      </c>
      <c r="H105" s="195">
        <f t="shared" si="8"/>
        <v>0</v>
      </c>
      <c r="I105" s="195">
        <f>SUM(I98:I104)</f>
        <v>0</v>
      </c>
      <c r="J105" s="195">
        <f t="shared" si="8"/>
        <v>0</v>
      </c>
      <c r="K105" s="195">
        <f t="shared" si="8"/>
        <v>0</v>
      </c>
      <c r="L105" s="195">
        <f>SUM(L98:L104)</f>
        <v>0</v>
      </c>
      <c r="M105" s="196">
        <f>SUM(M98:M104)</f>
        <v>0</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834" t="s">
        <v>69</v>
      </c>
      <c r="B107" s="2835" t="s">
        <v>61</v>
      </c>
      <c r="C107" s="2836" t="s">
        <v>8</v>
      </c>
      <c r="D107" s="2670" t="s">
        <v>70</v>
      </c>
      <c r="E107" s="1539" t="s">
        <v>71</v>
      </c>
      <c r="F107" s="1638"/>
      <c r="G107" s="1638"/>
      <c r="H107" s="1638"/>
      <c r="I107" s="1638"/>
      <c r="J107" s="1638"/>
      <c r="K107" s="1638"/>
      <c r="L107" s="1639"/>
      <c r="M107" s="199"/>
      <c r="N107" s="199"/>
    </row>
    <row r="108" spans="1:16" ht="103.5" customHeight="1">
      <c r="A108" s="2778"/>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552"/>
      <c r="B109" s="2025"/>
      <c r="C109" s="112">
        <v>2014</v>
      </c>
      <c r="D109" s="34"/>
      <c r="E109" s="186"/>
      <c r="F109" s="187"/>
      <c r="G109" s="187"/>
      <c r="H109" s="187"/>
      <c r="I109" s="187"/>
      <c r="J109" s="187"/>
      <c r="K109" s="187"/>
      <c r="L109" s="188"/>
      <c r="M109" s="199"/>
      <c r="N109" s="199"/>
    </row>
    <row r="110" spans="1:16">
      <c r="A110" s="2553"/>
      <c r="B110" s="2025"/>
      <c r="C110" s="116">
        <v>2015</v>
      </c>
      <c r="D110" s="42"/>
      <c r="E110" s="189"/>
      <c r="F110" s="190"/>
      <c r="G110" s="190"/>
      <c r="H110" s="190"/>
      <c r="I110" s="190"/>
      <c r="J110" s="190"/>
      <c r="K110" s="190"/>
      <c r="L110" s="193"/>
      <c r="M110" s="199"/>
      <c r="N110" s="199"/>
    </row>
    <row r="111" spans="1:16">
      <c r="A111" s="2553"/>
      <c r="B111" s="2025"/>
      <c r="C111" s="116">
        <v>2016</v>
      </c>
      <c r="D111" s="42"/>
      <c r="E111" s="189"/>
      <c r="F111" s="190"/>
      <c r="G111" s="190"/>
      <c r="H111" s="190"/>
      <c r="I111" s="190"/>
      <c r="J111" s="190"/>
      <c r="K111" s="190"/>
      <c r="L111" s="193"/>
      <c r="M111" s="199"/>
      <c r="N111" s="199"/>
    </row>
    <row r="112" spans="1:16">
      <c r="A112" s="2553"/>
      <c r="B112" s="2025"/>
      <c r="C112" s="116">
        <v>2017</v>
      </c>
      <c r="D112" s="42"/>
      <c r="E112" s="189"/>
      <c r="F112" s="190"/>
      <c r="G112" s="190"/>
      <c r="H112" s="190"/>
      <c r="I112" s="190"/>
      <c r="J112" s="190"/>
      <c r="K112" s="190"/>
      <c r="L112" s="193"/>
      <c r="M112" s="199"/>
      <c r="N112" s="199"/>
    </row>
    <row r="113" spans="1:14">
      <c r="A113" s="2553"/>
      <c r="B113" s="2025"/>
      <c r="C113" s="116">
        <v>2018</v>
      </c>
      <c r="D113" s="42"/>
      <c r="E113" s="189"/>
      <c r="F113" s="190"/>
      <c r="G113" s="190"/>
      <c r="H113" s="190"/>
      <c r="I113" s="190"/>
      <c r="J113" s="190"/>
      <c r="K113" s="190"/>
      <c r="L113" s="193"/>
      <c r="M113" s="199"/>
      <c r="N113" s="199"/>
    </row>
    <row r="114" spans="1:14">
      <c r="A114" s="2553"/>
      <c r="B114" s="2025"/>
      <c r="C114" s="116">
        <v>2019</v>
      </c>
      <c r="D114" s="42"/>
      <c r="E114" s="189"/>
      <c r="F114" s="190"/>
      <c r="G114" s="190"/>
      <c r="H114" s="190"/>
      <c r="I114" s="190"/>
      <c r="J114" s="190"/>
      <c r="K114" s="190"/>
      <c r="L114" s="193"/>
      <c r="M114" s="199"/>
      <c r="N114" s="199"/>
    </row>
    <row r="115" spans="1:14">
      <c r="A115" s="2553"/>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834" t="s">
        <v>72</v>
      </c>
      <c r="B118" s="2835" t="s">
        <v>61</v>
      </c>
      <c r="C118" s="2836" t="s">
        <v>8</v>
      </c>
      <c r="D118" s="2670" t="s">
        <v>73</v>
      </c>
      <c r="E118" s="1539" t="s">
        <v>71</v>
      </c>
      <c r="F118" s="1638"/>
      <c r="G118" s="1638"/>
      <c r="H118" s="1638"/>
      <c r="I118" s="1638"/>
      <c r="J118" s="1638"/>
      <c r="K118" s="1638"/>
      <c r="L118" s="1639"/>
      <c r="M118" s="199"/>
      <c r="N118" s="199"/>
    </row>
    <row r="119" spans="1:14" ht="120.75" customHeight="1">
      <c r="A119" s="2778"/>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552"/>
      <c r="B120" s="2025"/>
      <c r="C120" s="112">
        <v>2014</v>
      </c>
      <c r="D120" s="34"/>
      <c r="E120" s="186"/>
      <c r="F120" s="187"/>
      <c r="G120" s="187"/>
      <c r="H120" s="187"/>
      <c r="I120" s="187"/>
      <c r="J120" s="187"/>
      <c r="K120" s="187"/>
      <c r="L120" s="188"/>
      <c r="M120" s="199"/>
      <c r="N120" s="199"/>
    </row>
    <row r="121" spans="1:14">
      <c r="A121" s="2553"/>
      <c r="B121" s="2025"/>
      <c r="C121" s="116">
        <v>2015</v>
      </c>
      <c r="D121" s="42"/>
      <c r="E121" s="189"/>
      <c r="F121" s="190"/>
      <c r="G121" s="190"/>
      <c r="H121" s="190"/>
      <c r="I121" s="190"/>
      <c r="J121" s="190"/>
      <c r="K121" s="190"/>
      <c r="L121" s="193"/>
      <c r="M121" s="199"/>
      <c r="N121" s="199"/>
    </row>
    <row r="122" spans="1:14">
      <c r="A122" s="2553"/>
      <c r="B122" s="2025"/>
      <c r="C122" s="116">
        <v>2016</v>
      </c>
      <c r="D122" s="42"/>
      <c r="E122" s="189"/>
      <c r="F122" s="190"/>
      <c r="G122" s="190"/>
      <c r="H122" s="190"/>
      <c r="I122" s="190"/>
      <c r="J122" s="190"/>
      <c r="K122" s="190"/>
      <c r="L122" s="193"/>
      <c r="M122" s="199"/>
      <c r="N122" s="199"/>
    </row>
    <row r="123" spans="1:14">
      <c r="A123" s="2553"/>
      <c r="B123" s="2025"/>
      <c r="C123" s="116">
        <v>2017</v>
      </c>
      <c r="D123" s="42"/>
      <c r="E123" s="189"/>
      <c r="F123" s="190"/>
      <c r="G123" s="190"/>
      <c r="H123" s="190"/>
      <c r="I123" s="190"/>
      <c r="J123" s="190"/>
      <c r="K123" s="190"/>
      <c r="L123" s="193"/>
      <c r="M123" s="199"/>
      <c r="N123" s="199"/>
    </row>
    <row r="124" spans="1:14">
      <c r="A124" s="2553"/>
      <c r="B124" s="2025"/>
      <c r="C124" s="116">
        <v>2018</v>
      </c>
      <c r="D124" s="42"/>
      <c r="E124" s="189"/>
      <c r="F124" s="190"/>
      <c r="G124" s="190"/>
      <c r="H124" s="190"/>
      <c r="I124" s="190"/>
      <c r="J124" s="190"/>
      <c r="K124" s="190"/>
      <c r="L124" s="193"/>
      <c r="M124" s="199"/>
      <c r="N124" s="199"/>
    </row>
    <row r="125" spans="1:14">
      <c r="A125" s="2553"/>
      <c r="B125" s="2025"/>
      <c r="C125" s="116">
        <v>2019</v>
      </c>
      <c r="D125" s="42"/>
      <c r="E125" s="189"/>
      <c r="F125" s="190"/>
      <c r="G125" s="190"/>
      <c r="H125" s="190"/>
      <c r="I125" s="190"/>
      <c r="J125" s="190"/>
      <c r="K125" s="190"/>
      <c r="L125" s="193"/>
      <c r="M125" s="199"/>
      <c r="N125" s="199"/>
    </row>
    <row r="126" spans="1:14">
      <c r="A126" s="2553"/>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834" t="s">
        <v>74</v>
      </c>
      <c r="B129" s="2835" t="s">
        <v>61</v>
      </c>
      <c r="C129" s="1640" t="s">
        <v>8</v>
      </c>
      <c r="D129" s="1542" t="s">
        <v>75</v>
      </c>
      <c r="E129" s="1641"/>
      <c r="F129" s="1641"/>
      <c r="G129" s="1543"/>
      <c r="H129" s="199"/>
      <c r="I129" s="199"/>
      <c r="J129" s="199"/>
      <c r="K129" s="199"/>
      <c r="L129" s="199"/>
      <c r="M129" s="199"/>
      <c r="N129" s="199"/>
    </row>
    <row r="130" spans="1:16" ht="77.25" customHeight="1">
      <c r="A130" s="2778"/>
      <c r="B130" s="2043"/>
      <c r="C130" s="1515"/>
      <c r="D130" s="178" t="s">
        <v>76</v>
      </c>
      <c r="E130" s="207" t="s">
        <v>77</v>
      </c>
      <c r="F130" s="179" t="s">
        <v>78</v>
      </c>
      <c r="G130" s="208" t="s">
        <v>12</v>
      </c>
      <c r="H130" s="199"/>
      <c r="I130" s="199"/>
      <c r="J130" s="199"/>
      <c r="K130" s="199"/>
      <c r="L130" s="199"/>
      <c r="M130" s="199"/>
      <c r="N130" s="199"/>
    </row>
    <row r="131" spans="1:16" ht="15" customHeight="1">
      <c r="A131" s="2550"/>
      <c r="B131" s="1988"/>
      <c r="C131" s="340">
        <v>2015</v>
      </c>
      <c r="D131" s="557"/>
      <c r="E131" s="342"/>
      <c r="F131" s="342"/>
      <c r="G131" s="209">
        <f t="shared" ref="G131:G136" si="11">SUM(D131:F131)</f>
        <v>0</v>
      </c>
      <c r="H131" s="199"/>
      <c r="I131" s="199"/>
      <c r="J131" s="199"/>
      <c r="K131" s="199"/>
      <c r="L131" s="199"/>
      <c r="M131" s="199"/>
      <c r="N131" s="199"/>
    </row>
    <row r="132" spans="1:16">
      <c r="A132" s="2551"/>
      <c r="B132" s="1988"/>
      <c r="C132" s="116">
        <v>2016</v>
      </c>
      <c r="D132" s="50"/>
      <c r="E132" s="42"/>
      <c r="F132" s="42"/>
      <c r="G132" s="209">
        <f t="shared" si="11"/>
        <v>0</v>
      </c>
      <c r="H132" s="199"/>
      <c r="I132" s="199"/>
      <c r="J132" s="199"/>
      <c r="K132" s="199"/>
      <c r="L132" s="199"/>
      <c r="M132" s="199"/>
      <c r="N132" s="199"/>
    </row>
    <row r="133" spans="1:16">
      <c r="A133" s="2551"/>
      <c r="B133" s="1988"/>
      <c r="C133" s="116">
        <v>2017</v>
      </c>
      <c r="D133" s="50"/>
      <c r="E133" s="42"/>
      <c r="F133" s="42"/>
      <c r="G133" s="209">
        <f t="shared" si="11"/>
        <v>0</v>
      </c>
      <c r="H133" s="199"/>
      <c r="I133" s="199"/>
      <c r="J133" s="199"/>
      <c r="K133" s="199"/>
      <c r="L133" s="199"/>
      <c r="M133" s="199"/>
      <c r="N133" s="199"/>
    </row>
    <row r="134" spans="1:16">
      <c r="A134" s="2551"/>
      <c r="B134" s="1988"/>
      <c r="C134" s="116">
        <v>2018</v>
      </c>
      <c r="D134" s="50"/>
      <c r="E134" s="42"/>
      <c r="F134" s="42"/>
      <c r="G134" s="209">
        <f t="shared" si="11"/>
        <v>0</v>
      </c>
      <c r="H134" s="199"/>
      <c r="I134" s="199"/>
      <c r="J134" s="199"/>
      <c r="K134" s="199"/>
      <c r="L134" s="199"/>
      <c r="M134" s="199"/>
      <c r="N134" s="199"/>
    </row>
    <row r="135" spans="1:16">
      <c r="A135" s="2551"/>
      <c r="B135" s="1988"/>
      <c r="C135" s="116">
        <v>2019</v>
      </c>
      <c r="D135" s="50"/>
      <c r="E135" s="42"/>
      <c r="F135" s="42"/>
      <c r="G135" s="209">
        <f t="shared" si="11"/>
        <v>0</v>
      </c>
      <c r="H135" s="199"/>
      <c r="I135" s="199"/>
      <c r="J135" s="199"/>
      <c r="K135" s="199"/>
      <c r="L135" s="199"/>
      <c r="M135" s="199"/>
      <c r="N135" s="199"/>
    </row>
    <row r="136" spans="1:16">
      <c r="A136" s="2551"/>
      <c r="B136" s="1988"/>
      <c r="C136" s="116">
        <v>2020</v>
      </c>
      <c r="D136" s="50"/>
      <c r="E136" s="42"/>
      <c r="F136" s="42"/>
      <c r="G136" s="209">
        <f t="shared" si="11"/>
        <v>0</v>
      </c>
      <c r="H136" s="199"/>
      <c r="I136" s="199"/>
      <c r="J136" s="199"/>
      <c r="K136" s="199"/>
      <c r="L136" s="199"/>
      <c r="M136" s="199"/>
      <c r="N136" s="199"/>
    </row>
    <row r="137" spans="1:16" ht="17.25" customHeight="1" thickBot="1">
      <c r="A137" s="1989"/>
      <c r="B137" s="1990"/>
      <c r="C137" s="122" t="s">
        <v>12</v>
      </c>
      <c r="D137" s="151">
        <f>SUM(D131:D136)</f>
        <v>0</v>
      </c>
      <c r="E137" s="151">
        <f t="shared" ref="E137:F137" si="12">SUM(E131:E136)</f>
        <v>0</v>
      </c>
      <c r="F137" s="151">
        <f t="shared" si="12"/>
        <v>0</v>
      </c>
      <c r="G137" s="210">
        <f>SUM(G131:G136)</f>
        <v>0</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837" t="s">
        <v>80</v>
      </c>
      <c r="B142" s="2838" t="s">
        <v>61</v>
      </c>
      <c r="C142" s="2844" t="s">
        <v>8</v>
      </c>
      <c r="D142" s="1642" t="s">
        <v>81</v>
      </c>
      <c r="E142" s="1643"/>
      <c r="F142" s="1643"/>
      <c r="G142" s="1643"/>
      <c r="H142" s="1643"/>
      <c r="I142" s="1644"/>
      <c r="J142" s="2839" t="s">
        <v>82</v>
      </c>
      <c r="K142" s="2840"/>
      <c r="L142" s="2840"/>
      <c r="M142" s="2840"/>
      <c r="N142" s="2841"/>
      <c r="O142" s="177"/>
      <c r="P142" s="177"/>
    </row>
    <row r="143" spans="1:16" ht="113.25" customHeight="1">
      <c r="A143" s="2782"/>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552"/>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553"/>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553"/>
      <c r="B146" s="2025"/>
      <c r="C146" s="116">
        <v>2016</v>
      </c>
      <c r="D146" s="50"/>
      <c r="E146" s="50"/>
      <c r="F146" s="42"/>
      <c r="G146" s="190"/>
      <c r="H146" s="190"/>
      <c r="I146" s="227">
        <f t="shared" si="13"/>
        <v>0</v>
      </c>
      <c r="J146" s="231"/>
      <c r="K146" s="232"/>
      <c r="L146" s="231"/>
      <c r="M146" s="232"/>
      <c r="N146" s="233"/>
      <c r="O146" s="177"/>
      <c r="P146" s="177"/>
    </row>
    <row r="147" spans="1:16" ht="17.25" customHeight="1">
      <c r="A147" s="2553"/>
      <c r="B147" s="2025"/>
      <c r="C147" s="116">
        <v>2017</v>
      </c>
      <c r="D147" s="50"/>
      <c r="E147" s="50"/>
      <c r="F147" s="42"/>
      <c r="G147" s="190"/>
      <c r="H147" s="190"/>
      <c r="I147" s="227">
        <f t="shared" si="13"/>
        <v>0</v>
      </c>
      <c r="J147" s="231"/>
      <c r="K147" s="232"/>
      <c r="L147" s="231"/>
      <c r="M147" s="232"/>
      <c r="N147" s="233"/>
      <c r="O147" s="177"/>
      <c r="P147" s="177"/>
    </row>
    <row r="148" spans="1:16" ht="19.5" customHeight="1">
      <c r="A148" s="2553"/>
      <c r="B148" s="2025"/>
      <c r="C148" s="116">
        <v>2018</v>
      </c>
      <c r="D148" s="50"/>
      <c r="E148" s="50"/>
      <c r="F148" s="42"/>
      <c r="G148" s="190"/>
      <c r="H148" s="190"/>
      <c r="I148" s="227">
        <f t="shared" si="13"/>
        <v>0</v>
      </c>
      <c r="J148" s="231"/>
      <c r="K148" s="232"/>
      <c r="L148" s="231"/>
      <c r="M148" s="232"/>
      <c r="N148" s="233"/>
      <c r="O148" s="177"/>
      <c r="P148" s="177"/>
    </row>
    <row r="149" spans="1:16" ht="19.5" customHeight="1">
      <c r="A149" s="2553"/>
      <c r="B149" s="2025"/>
      <c r="C149" s="116">
        <v>2019</v>
      </c>
      <c r="D149" s="50"/>
      <c r="E149" s="50"/>
      <c r="F149" s="42"/>
      <c r="G149" s="190"/>
      <c r="H149" s="190"/>
      <c r="I149" s="227">
        <f t="shared" si="13"/>
        <v>0</v>
      </c>
      <c r="J149" s="231"/>
      <c r="K149" s="232"/>
      <c r="L149" s="231"/>
      <c r="M149" s="232"/>
      <c r="N149" s="233"/>
      <c r="O149" s="177"/>
      <c r="P149" s="177"/>
    </row>
    <row r="150" spans="1:16" ht="18.75" customHeight="1">
      <c r="A150" s="2553"/>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842" t="s">
        <v>93</v>
      </c>
      <c r="B153" s="2838" t="s">
        <v>61</v>
      </c>
      <c r="C153" s="2843" t="s">
        <v>8</v>
      </c>
      <c r="D153" s="1645" t="s">
        <v>94</v>
      </c>
      <c r="E153" s="1645"/>
      <c r="F153" s="1646"/>
      <c r="G153" s="1646"/>
      <c r="H153" s="1645" t="s">
        <v>95</v>
      </c>
      <c r="I153" s="1645"/>
      <c r="J153" s="1647"/>
      <c r="K153" s="31"/>
      <c r="L153" s="31"/>
      <c r="M153" s="31"/>
      <c r="N153" s="31"/>
      <c r="O153" s="177"/>
      <c r="P153" s="177"/>
    </row>
    <row r="154" spans="1:16" ht="49.5" customHeight="1">
      <c r="A154" s="2556"/>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552"/>
      <c r="B155" s="2025"/>
      <c r="C155" s="247">
        <v>2014</v>
      </c>
      <c r="D155" s="228"/>
      <c r="E155" s="187"/>
      <c r="F155" s="229"/>
      <c r="G155" s="227">
        <f>SUM(D155:F155)</f>
        <v>0</v>
      </c>
      <c r="H155" s="228"/>
      <c r="I155" s="187"/>
      <c r="J155" s="188"/>
      <c r="O155" s="177"/>
      <c r="P155" s="177"/>
    </row>
    <row r="156" spans="1:16" ht="19.5" customHeight="1">
      <c r="A156" s="2553"/>
      <c r="B156" s="2025"/>
      <c r="C156" s="248">
        <v>2015</v>
      </c>
      <c r="D156" s="231"/>
      <c r="E156" s="190"/>
      <c r="F156" s="232"/>
      <c r="G156" s="227">
        <f t="shared" ref="G156:G161" si="15">SUM(D156:F156)</f>
        <v>0</v>
      </c>
      <c r="H156" s="231"/>
      <c r="I156" s="190"/>
      <c r="J156" s="193"/>
      <c r="O156" s="177"/>
      <c r="P156" s="177"/>
    </row>
    <row r="157" spans="1:16" ht="17.25" customHeight="1">
      <c r="A157" s="2553"/>
      <c r="B157" s="2025"/>
      <c r="C157" s="248">
        <v>2016</v>
      </c>
      <c r="D157" s="231"/>
      <c r="E157" s="190"/>
      <c r="F157" s="232"/>
      <c r="G157" s="227">
        <f t="shared" si="15"/>
        <v>0</v>
      </c>
      <c r="H157" s="231"/>
      <c r="I157" s="190"/>
      <c r="J157" s="193"/>
      <c r="O157" s="177"/>
      <c r="P157" s="177"/>
    </row>
    <row r="158" spans="1:16" ht="15" customHeight="1">
      <c r="A158" s="2553"/>
      <c r="B158" s="2025"/>
      <c r="C158" s="248">
        <v>2017</v>
      </c>
      <c r="D158" s="231"/>
      <c r="E158" s="190"/>
      <c r="F158" s="232"/>
      <c r="G158" s="227">
        <f t="shared" si="15"/>
        <v>0</v>
      </c>
      <c r="H158" s="231"/>
      <c r="I158" s="190"/>
      <c r="J158" s="193"/>
      <c r="O158" s="177"/>
      <c r="P158" s="177"/>
    </row>
    <row r="159" spans="1:16" ht="19.5" customHeight="1">
      <c r="A159" s="2553"/>
      <c r="B159" s="2025"/>
      <c r="C159" s="248">
        <v>2018</v>
      </c>
      <c r="D159" s="231"/>
      <c r="E159" s="190"/>
      <c r="F159" s="232"/>
      <c r="G159" s="227">
        <f t="shared" si="15"/>
        <v>0</v>
      </c>
      <c r="H159" s="231"/>
      <c r="I159" s="190"/>
      <c r="J159" s="193"/>
      <c r="O159" s="177"/>
      <c r="P159" s="177"/>
    </row>
    <row r="160" spans="1:16" ht="15" customHeight="1">
      <c r="A160" s="2553"/>
      <c r="B160" s="2025"/>
      <c r="C160" s="248">
        <v>2019</v>
      </c>
      <c r="D160" s="231"/>
      <c r="E160" s="190"/>
      <c r="F160" s="232"/>
      <c r="G160" s="227">
        <f t="shared" si="15"/>
        <v>0</v>
      </c>
      <c r="H160" s="231"/>
      <c r="I160" s="190"/>
      <c r="J160" s="193"/>
      <c r="O160" s="177"/>
      <c r="P160" s="177"/>
    </row>
    <row r="161" spans="1:18" ht="17.25" customHeight="1">
      <c r="A161" s="2553"/>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1648"/>
      <c r="F163" s="177"/>
      <c r="G163" s="177"/>
      <c r="H163" s="177"/>
      <c r="I163" s="177"/>
      <c r="J163" s="255"/>
      <c r="K163" s="256"/>
    </row>
    <row r="164" spans="1:18" ht="95.25" customHeight="1">
      <c r="A164" s="1549" t="s">
        <v>102</v>
      </c>
      <c r="B164" s="258" t="s">
        <v>103</v>
      </c>
      <c r="C164" s="1447" t="s">
        <v>8</v>
      </c>
      <c r="D164" s="260" t="s">
        <v>104</v>
      </c>
      <c r="E164" s="260" t="s">
        <v>105</v>
      </c>
      <c r="F164" s="1649" t="s">
        <v>106</v>
      </c>
      <c r="G164" s="260" t="s">
        <v>107</v>
      </c>
      <c r="H164" s="260" t="s">
        <v>108</v>
      </c>
      <c r="I164" s="262" t="s">
        <v>109</v>
      </c>
      <c r="J164" s="1550" t="s">
        <v>110</v>
      </c>
      <c r="K164" s="1550" t="s">
        <v>111</v>
      </c>
      <c r="L164" s="1371"/>
    </row>
    <row r="165" spans="1:18" ht="15.75" customHeight="1">
      <c r="A165" s="2011"/>
      <c r="B165" s="2012"/>
      <c r="C165" s="265">
        <v>2014</v>
      </c>
      <c r="D165" s="187"/>
      <c r="E165" s="187"/>
      <c r="F165" s="187"/>
      <c r="G165" s="187"/>
      <c r="H165" s="187"/>
      <c r="I165" s="188"/>
      <c r="J165" s="1569">
        <f>SUM(D165,F165,H165)</f>
        <v>0</v>
      </c>
      <c r="K165" s="267">
        <f>SUM(E165,G165,I165)</f>
        <v>0</v>
      </c>
      <c r="L165" s="1371"/>
    </row>
    <row r="166" spans="1:18">
      <c r="A166" s="2013"/>
      <c r="B166" s="2014"/>
      <c r="C166" s="268">
        <v>2015</v>
      </c>
      <c r="D166" s="269"/>
      <c r="E166" s="269"/>
      <c r="F166" s="269"/>
      <c r="G166" s="269"/>
      <c r="H166" s="269"/>
      <c r="I166" s="270"/>
      <c r="J166" s="1570">
        <f t="shared" ref="J166:K171" si="17">SUM(D166,F166,H166)</f>
        <v>0</v>
      </c>
      <c r="K166" s="272">
        <f t="shared" si="17"/>
        <v>0</v>
      </c>
      <c r="L166" s="1371"/>
    </row>
    <row r="167" spans="1:18">
      <c r="A167" s="2013"/>
      <c r="B167" s="2014"/>
      <c r="C167" s="268">
        <v>2016</v>
      </c>
      <c r="D167" s="269"/>
      <c r="E167" s="269"/>
      <c r="F167" s="269"/>
      <c r="G167" s="269"/>
      <c r="H167" s="269"/>
      <c r="I167" s="270"/>
      <c r="J167" s="1570">
        <f t="shared" si="17"/>
        <v>0</v>
      </c>
      <c r="K167" s="272">
        <f t="shared" si="17"/>
        <v>0</v>
      </c>
    </row>
    <row r="168" spans="1:18">
      <c r="A168" s="2013"/>
      <c r="B168" s="2014"/>
      <c r="C168" s="268">
        <v>2017</v>
      </c>
      <c r="D168" s="269"/>
      <c r="E168" s="177"/>
      <c r="F168" s="269"/>
      <c r="G168" s="269"/>
      <c r="H168" s="269"/>
      <c r="I168" s="270"/>
      <c r="J168" s="1570">
        <f t="shared" si="17"/>
        <v>0</v>
      </c>
      <c r="K168" s="272">
        <f t="shared" si="17"/>
        <v>0</v>
      </c>
    </row>
    <row r="169" spans="1:18">
      <c r="A169" s="2013"/>
      <c r="B169" s="2014"/>
      <c r="C169" s="273">
        <v>2018</v>
      </c>
      <c r="D169" s="269"/>
      <c r="E169" s="269"/>
      <c r="F169" s="269"/>
      <c r="G169" s="274"/>
      <c r="H169" s="269"/>
      <c r="I169" s="270"/>
      <c r="J169" s="1570">
        <f t="shared" si="17"/>
        <v>0</v>
      </c>
      <c r="K169" s="272">
        <f t="shared" si="17"/>
        <v>0</v>
      </c>
      <c r="L169" s="1371"/>
    </row>
    <row r="170" spans="1:18">
      <c r="A170" s="2013"/>
      <c r="B170" s="2014"/>
      <c r="C170" s="268">
        <v>2019</v>
      </c>
      <c r="D170" s="177"/>
      <c r="E170" s="269"/>
      <c r="F170" s="269"/>
      <c r="G170" s="269"/>
      <c r="H170" s="274"/>
      <c r="I170" s="270"/>
      <c r="J170" s="1570">
        <f t="shared" si="17"/>
        <v>0</v>
      </c>
      <c r="K170" s="272">
        <f t="shared" si="17"/>
        <v>0</v>
      </c>
      <c r="L170" s="1371"/>
    </row>
    <row r="171" spans="1:18">
      <c r="A171" s="2013"/>
      <c r="B171" s="2014"/>
      <c r="C171" s="273">
        <v>2020</v>
      </c>
      <c r="D171" s="269"/>
      <c r="E171" s="269"/>
      <c r="F171" s="269"/>
      <c r="G171" s="269"/>
      <c r="H171" s="269"/>
      <c r="I171" s="270"/>
      <c r="J171" s="1570">
        <f t="shared" si="17"/>
        <v>0</v>
      </c>
      <c r="K171" s="272">
        <f t="shared" si="17"/>
        <v>0</v>
      </c>
      <c r="L171" s="1371"/>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1371"/>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846" t="s">
        <v>113</v>
      </c>
      <c r="B176" s="2847" t="s">
        <v>114</v>
      </c>
      <c r="C176" s="2848" t="s">
        <v>8</v>
      </c>
      <c r="D176" s="1551" t="s">
        <v>115</v>
      </c>
      <c r="E176" s="1650"/>
      <c r="F176" s="1650"/>
      <c r="G176" s="1651"/>
      <c r="H176" s="1553"/>
      <c r="I176" s="2751" t="s">
        <v>116</v>
      </c>
      <c r="J176" s="2849"/>
      <c r="K176" s="2849"/>
      <c r="L176" s="2849"/>
      <c r="M176" s="2849"/>
      <c r="N176" s="2849"/>
      <c r="O176" s="2850"/>
    </row>
    <row r="177" spans="1:15" s="31" customFormat="1" ht="129.75" customHeight="1">
      <c r="A177" s="2793"/>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553" t="s">
        <v>495</v>
      </c>
      <c r="B178" s="2025"/>
      <c r="C178" s="112">
        <v>2014</v>
      </c>
      <c r="D178" s="33"/>
      <c r="E178" s="34"/>
      <c r="F178" s="34"/>
      <c r="G178" s="293">
        <f>SUM(D178:F178)</f>
        <v>0</v>
      </c>
      <c r="H178" s="167"/>
      <c r="I178" s="167"/>
      <c r="J178" s="34"/>
      <c r="K178" s="34"/>
      <c r="L178" s="34"/>
      <c r="M178" s="34"/>
      <c r="N178" s="34"/>
      <c r="O178" s="37"/>
    </row>
    <row r="179" spans="1:15">
      <c r="A179" s="2553"/>
      <c r="B179" s="2025"/>
      <c r="C179" s="116">
        <v>2015</v>
      </c>
      <c r="D179" s="50">
        <v>2</v>
      </c>
      <c r="E179" s="42"/>
      <c r="F179" s="42"/>
      <c r="G179" s="293">
        <f t="shared" ref="G179:G184" si="19">SUM(D179:F179)</f>
        <v>2</v>
      </c>
      <c r="H179" s="294"/>
      <c r="I179" s="118">
        <v>2</v>
      </c>
      <c r="J179" s="42"/>
      <c r="K179" s="42"/>
      <c r="L179" s="42"/>
      <c r="M179" s="42"/>
      <c r="N179" s="42"/>
      <c r="O179" s="99"/>
    </row>
    <row r="180" spans="1:15">
      <c r="A180" s="2553"/>
      <c r="B180" s="2025"/>
      <c r="C180" s="116">
        <v>2016</v>
      </c>
      <c r="D180" s="50">
        <v>14</v>
      </c>
      <c r="E180" s="42">
        <v>3</v>
      </c>
      <c r="F180" s="42"/>
      <c r="G180" s="293">
        <f t="shared" si="19"/>
        <v>17</v>
      </c>
      <c r="H180" s="294">
        <v>23</v>
      </c>
      <c r="I180" s="118">
        <v>14</v>
      </c>
      <c r="J180" s="42">
        <v>3</v>
      </c>
      <c r="K180" s="42"/>
      <c r="L180" s="42"/>
      <c r="M180" s="42"/>
      <c r="N180" s="42"/>
      <c r="O180" s="99"/>
    </row>
    <row r="181" spans="1:15">
      <c r="A181" s="2553"/>
      <c r="B181" s="2025"/>
      <c r="C181" s="116">
        <v>2017</v>
      </c>
      <c r="D181" s="50"/>
      <c r="E181" s="42"/>
      <c r="F181" s="42"/>
      <c r="G181" s="293">
        <f t="shared" si="19"/>
        <v>0</v>
      </c>
      <c r="H181" s="294"/>
      <c r="I181" s="118"/>
      <c r="J181" s="42"/>
      <c r="K181" s="42"/>
      <c r="L181" s="42"/>
      <c r="M181" s="42"/>
      <c r="N181" s="42"/>
      <c r="O181" s="99"/>
    </row>
    <row r="182" spans="1:15">
      <c r="A182" s="2553"/>
      <c r="B182" s="2025"/>
      <c r="C182" s="116">
        <v>2018</v>
      </c>
      <c r="D182" s="50"/>
      <c r="E182" s="42"/>
      <c r="F182" s="42"/>
      <c r="G182" s="293">
        <f t="shared" si="19"/>
        <v>0</v>
      </c>
      <c r="H182" s="294"/>
      <c r="I182" s="118"/>
      <c r="J182" s="42"/>
      <c r="K182" s="42"/>
      <c r="L182" s="42"/>
      <c r="M182" s="42"/>
      <c r="N182" s="42"/>
      <c r="O182" s="99"/>
    </row>
    <row r="183" spans="1:15">
      <c r="A183" s="2553"/>
      <c r="B183" s="2025"/>
      <c r="C183" s="116">
        <v>2019</v>
      </c>
      <c r="D183" s="50"/>
      <c r="E183" s="42"/>
      <c r="F183" s="42"/>
      <c r="G183" s="293">
        <f t="shared" si="19"/>
        <v>0</v>
      </c>
      <c r="H183" s="294"/>
      <c r="I183" s="118"/>
      <c r="J183" s="42"/>
      <c r="K183" s="42"/>
      <c r="L183" s="42"/>
      <c r="M183" s="42"/>
      <c r="N183" s="42"/>
      <c r="O183" s="99"/>
    </row>
    <row r="184" spans="1:15">
      <c r="A184" s="2553"/>
      <c r="B184" s="2025"/>
      <c r="C184" s="116">
        <v>2020</v>
      </c>
      <c r="D184" s="50"/>
      <c r="E184" s="42"/>
      <c r="F184" s="42"/>
      <c r="G184" s="293">
        <f t="shared" si="19"/>
        <v>0</v>
      </c>
      <c r="H184" s="294"/>
      <c r="I184" s="118"/>
      <c r="J184" s="42"/>
      <c r="K184" s="42"/>
      <c r="L184" s="42"/>
      <c r="M184" s="42"/>
      <c r="N184" s="42"/>
      <c r="O184" s="99"/>
    </row>
    <row r="185" spans="1:15" ht="240" customHeight="1" thickBot="1">
      <c r="A185" s="2026"/>
      <c r="B185" s="2027"/>
      <c r="C185" s="122" t="s">
        <v>12</v>
      </c>
      <c r="D185" s="151">
        <f>SUM(D178:D184)</f>
        <v>16</v>
      </c>
      <c r="E185" s="125">
        <f>SUM(E178:E184)</f>
        <v>3</v>
      </c>
      <c r="F185" s="125">
        <f>SUM(F178:F184)</f>
        <v>0</v>
      </c>
      <c r="G185" s="234">
        <f t="shared" ref="G185:O185" si="20">SUM(G178:G184)</f>
        <v>19</v>
      </c>
      <c r="H185" s="295">
        <f t="shared" si="20"/>
        <v>23</v>
      </c>
      <c r="I185" s="124">
        <f t="shared" si="20"/>
        <v>16</v>
      </c>
      <c r="J185" s="125">
        <f t="shared" si="20"/>
        <v>3</v>
      </c>
      <c r="K185" s="125">
        <f t="shared" si="20"/>
        <v>0</v>
      </c>
      <c r="L185" s="125">
        <f t="shared" si="20"/>
        <v>0</v>
      </c>
      <c r="M185" s="125">
        <f t="shared" si="20"/>
        <v>0</v>
      </c>
      <c r="N185" s="125">
        <f t="shared" si="20"/>
        <v>0</v>
      </c>
      <c r="O185" s="126">
        <f t="shared" si="20"/>
        <v>0</v>
      </c>
    </row>
    <row r="186" spans="1:15" ht="33" customHeight="1" thickBot="1"/>
    <row r="187" spans="1:15" ht="19.5" customHeight="1">
      <c r="A187" s="2758" t="s">
        <v>122</v>
      </c>
      <c r="B187" s="2847" t="s">
        <v>114</v>
      </c>
      <c r="C187" s="1998" t="s">
        <v>8</v>
      </c>
      <c r="D187" s="2000" t="s">
        <v>123</v>
      </c>
      <c r="E187" s="2845"/>
      <c r="F187" s="2845"/>
      <c r="G187" s="2759"/>
      <c r="H187" s="2747"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111" t="s">
        <v>496</v>
      </c>
      <c r="B189" s="2112"/>
      <c r="C189" s="392">
        <v>2014</v>
      </c>
      <c r="D189" s="142"/>
      <c r="E189" s="115"/>
      <c r="F189" s="115"/>
      <c r="G189" s="301">
        <f>SUM(D189:F189)</f>
        <v>0</v>
      </c>
      <c r="H189" s="114"/>
      <c r="I189" s="115"/>
      <c r="J189" s="115"/>
      <c r="K189" s="115"/>
      <c r="L189" s="143"/>
    </row>
    <row r="190" spans="1:15">
      <c r="A190" s="2557"/>
      <c r="B190" s="1988"/>
      <c r="C190" s="86">
        <v>2015</v>
      </c>
      <c r="D190" s="50">
        <v>40</v>
      </c>
      <c r="E190" s="42"/>
      <c r="F190" s="42"/>
      <c r="G190" s="301">
        <f t="shared" ref="G190:G195" si="21">SUM(D190:F190)</f>
        <v>40</v>
      </c>
      <c r="H190" s="118"/>
      <c r="I190" s="42"/>
      <c r="J190" s="42">
        <v>11</v>
      </c>
      <c r="K190" s="42">
        <v>8</v>
      </c>
      <c r="L190" s="99">
        <v>21</v>
      </c>
    </row>
    <row r="191" spans="1:15">
      <c r="A191" s="2557"/>
      <c r="B191" s="1988"/>
      <c r="C191" s="86">
        <v>2016</v>
      </c>
      <c r="D191" s="50">
        <v>279</v>
      </c>
      <c r="E191" s="42">
        <v>60</v>
      </c>
      <c r="F191" s="42"/>
      <c r="G191" s="301">
        <f t="shared" si="21"/>
        <v>339</v>
      </c>
      <c r="H191" s="118"/>
      <c r="I191" s="42"/>
      <c r="J191" s="42">
        <v>185</v>
      </c>
      <c r="K191" s="42"/>
      <c r="L191" s="99">
        <v>154</v>
      </c>
    </row>
    <row r="192" spans="1:15">
      <c r="A192" s="2557"/>
      <c r="B192" s="1988"/>
      <c r="C192" s="86">
        <v>2017</v>
      </c>
      <c r="D192" s="50"/>
      <c r="E192" s="42"/>
      <c r="F192" s="42"/>
      <c r="G192" s="301">
        <f t="shared" si="21"/>
        <v>0</v>
      </c>
      <c r="H192" s="118"/>
      <c r="I192" s="42"/>
      <c r="J192" s="42"/>
      <c r="K192" s="42"/>
      <c r="L192" s="99"/>
    </row>
    <row r="193" spans="1:14">
      <c r="A193" s="2557"/>
      <c r="B193" s="1988"/>
      <c r="C193" s="86">
        <v>2018</v>
      </c>
      <c r="D193" s="50"/>
      <c r="E193" s="42"/>
      <c r="F193" s="42"/>
      <c r="G193" s="301">
        <f t="shared" si="21"/>
        <v>0</v>
      </c>
      <c r="H193" s="118"/>
      <c r="I193" s="42"/>
      <c r="J193" s="42"/>
      <c r="K193" s="42"/>
      <c r="L193" s="99"/>
    </row>
    <row r="194" spans="1:14">
      <c r="A194" s="2557"/>
      <c r="B194" s="1988"/>
      <c r="C194" s="86">
        <v>2019</v>
      </c>
      <c r="D194" s="50"/>
      <c r="E194" s="42"/>
      <c r="F194" s="42"/>
      <c r="G194" s="301">
        <f t="shared" si="21"/>
        <v>0</v>
      </c>
      <c r="H194" s="118"/>
      <c r="I194" s="42"/>
      <c r="J194" s="42"/>
      <c r="K194" s="42"/>
      <c r="L194" s="99"/>
    </row>
    <row r="195" spans="1:14">
      <c r="A195" s="2557"/>
      <c r="B195" s="1988"/>
      <c r="C195" s="86">
        <v>2020</v>
      </c>
      <c r="D195" s="50"/>
      <c r="E195" s="42"/>
      <c r="F195" s="42"/>
      <c r="G195" s="301">
        <f t="shared" si="21"/>
        <v>0</v>
      </c>
      <c r="H195" s="118"/>
      <c r="I195" s="42"/>
      <c r="J195" s="42"/>
      <c r="K195" s="42"/>
      <c r="L195" s="99"/>
    </row>
    <row r="196" spans="1:14" ht="15.75" thickBot="1">
      <c r="A196" s="2114"/>
      <c r="B196" s="1990"/>
      <c r="C196" s="148" t="s">
        <v>12</v>
      </c>
      <c r="D196" s="151">
        <f t="shared" ref="D196:L196" si="22">SUM(D189:D195)</f>
        <v>319</v>
      </c>
      <c r="E196" s="125">
        <f t="shared" si="22"/>
        <v>60</v>
      </c>
      <c r="F196" s="125">
        <f t="shared" si="22"/>
        <v>0</v>
      </c>
      <c r="G196" s="304">
        <f t="shared" si="22"/>
        <v>379</v>
      </c>
      <c r="H196" s="124">
        <f t="shared" si="22"/>
        <v>0</v>
      </c>
      <c r="I196" s="125">
        <f t="shared" si="22"/>
        <v>0</v>
      </c>
      <c r="J196" s="125">
        <f t="shared" si="22"/>
        <v>196</v>
      </c>
      <c r="K196" s="125">
        <f t="shared" si="22"/>
        <v>8</v>
      </c>
      <c r="L196" s="126">
        <f t="shared" si="22"/>
        <v>175</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1652" t="s">
        <v>135</v>
      </c>
      <c r="B201" s="309" t="s">
        <v>114</v>
      </c>
      <c r="C201" s="310" t="s">
        <v>8</v>
      </c>
      <c r="D201" s="1555" t="s">
        <v>136</v>
      </c>
      <c r="E201" s="312" t="s">
        <v>137</v>
      </c>
      <c r="F201" s="312" t="s">
        <v>138</v>
      </c>
      <c r="G201" s="310" t="s">
        <v>139</v>
      </c>
      <c r="H201" s="1653" t="s">
        <v>140</v>
      </c>
      <c r="I201" s="1556" t="s">
        <v>141</v>
      </c>
      <c r="J201" s="1557" t="s">
        <v>142</v>
      </c>
      <c r="K201" s="312" t="s">
        <v>143</v>
      </c>
      <c r="L201" s="316" t="s">
        <v>144</v>
      </c>
    </row>
    <row r="202" spans="1:14" ht="15" customHeight="1">
      <c r="A202" s="2551"/>
      <c r="B202" s="1988"/>
      <c r="C202" s="84">
        <v>2014</v>
      </c>
      <c r="D202" s="33"/>
      <c r="E202" s="34"/>
      <c r="F202" s="34"/>
      <c r="G202" s="32"/>
      <c r="H202" s="317"/>
      <c r="I202" s="318"/>
      <c r="J202" s="319"/>
      <c r="K202" s="34"/>
      <c r="L202" s="37"/>
    </row>
    <row r="203" spans="1:14">
      <c r="A203" s="2551"/>
      <c r="B203" s="1988"/>
      <c r="C203" s="86">
        <v>2015</v>
      </c>
      <c r="D203" s="50"/>
      <c r="E203" s="42"/>
      <c r="F203" s="42"/>
      <c r="G203" s="39"/>
      <c r="H203" s="320"/>
      <c r="I203" s="321"/>
      <c r="J203" s="322"/>
      <c r="K203" s="42"/>
      <c r="L203" s="99"/>
    </row>
    <row r="204" spans="1:14">
      <c r="A204" s="2551"/>
      <c r="B204" s="1988"/>
      <c r="C204" s="86">
        <v>2016</v>
      </c>
      <c r="D204" s="50"/>
      <c r="E204" s="42"/>
      <c r="F204" s="42"/>
      <c r="G204" s="39"/>
      <c r="H204" s="320"/>
      <c r="I204" s="321"/>
      <c r="J204" s="322"/>
      <c r="K204" s="42"/>
      <c r="L204" s="99"/>
    </row>
    <row r="205" spans="1:14">
      <c r="A205" s="2551"/>
      <c r="B205" s="1988"/>
      <c r="C205" s="86">
        <v>2017</v>
      </c>
      <c r="D205" s="50"/>
      <c r="E205" s="42"/>
      <c r="F205" s="42"/>
      <c r="G205" s="39"/>
      <c r="H205" s="320"/>
      <c r="I205" s="321"/>
      <c r="J205" s="322"/>
      <c r="K205" s="42"/>
      <c r="L205" s="99"/>
    </row>
    <row r="206" spans="1:14">
      <c r="A206" s="2551"/>
      <c r="B206" s="1988"/>
      <c r="C206" s="86">
        <v>2018</v>
      </c>
      <c r="D206" s="50"/>
      <c r="E206" s="42"/>
      <c r="F206" s="42"/>
      <c r="G206" s="39"/>
      <c r="H206" s="320"/>
      <c r="I206" s="321"/>
      <c r="J206" s="322"/>
      <c r="K206" s="42"/>
      <c r="L206" s="99"/>
    </row>
    <row r="207" spans="1:14">
      <c r="A207" s="2551"/>
      <c r="B207" s="1988"/>
      <c r="C207" s="86">
        <v>2019</v>
      </c>
      <c r="D207" s="50"/>
      <c r="E207" s="42"/>
      <c r="F207" s="42"/>
      <c r="G207" s="39"/>
      <c r="H207" s="320"/>
      <c r="I207" s="321"/>
      <c r="J207" s="322"/>
      <c r="K207" s="42"/>
      <c r="L207" s="99"/>
    </row>
    <row r="208" spans="1:14">
      <c r="A208" s="2551"/>
      <c r="B208" s="1988"/>
      <c r="C208" s="86">
        <v>2020</v>
      </c>
      <c r="D208" s="1517"/>
      <c r="E208" s="324"/>
      <c r="F208" s="324"/>
      <c r="G208" s="325"/>
      <c r="H208" s="326"/>
      <c r="I208" s="327"/>
      <c r="J208" s="328"/>
      <c r="K208" s="324"/>
      <c r="L208" s="329"/>
    </row>
    <row r="209" spans="1:12" ht="20.25" customHeight="1" thickBot="1">
      <c r="A209" s="1989"/>
      <c r="B209" s="1990"/>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1654" t="s">
        <v>145</v>
      </c>
      <c r="B212" s="331" t="s">
        <v>146</v>
      </c>
      <c r="C212" s="332">
        <v>2014</v>
      </c>
      <c r="D212" s="333">
        <v>2015</v>
      </c>
      <c r="E212" s="333">
        <v>2016</v>
      </c>
      <c r="F212" s="333">
        <v>2017</v>
      </c>
      <c r="G212" s="333">
        <v>2018</v>
      </c>
      <c r="H212" s="333">
        <v>2019</v>
      </c>
      <c r="I212" s="334">
        <v>2020</v>
      </c>
    </row>
    <row r="213" spans="1:12" ht="15" customHeight="1">
      <c r="A213" t="s">
        <v>147</v>
      </c>
      <c r="B213" s="2196" t="s">
        <v>497</v>
      </c>
      <c r="C213" s="84"/>
      <c r="D213" s="147">
        <v>6482.67</v>
      </c>
      <c r="E213" s="145">
        <f>E214+E217+E216</f>
        <v>199735.73</v>
      </c>
      <c r="F213" s="147"/>
      <c r="G213" s="147"/>
      <c r="H213" s="147"/>
      <c r="I213" s="335"/>
    </row>
    <row r="214" spans="1:12">
      <c r="A214" t="s">
        <v>149</v>
      </c>
      <c r="B214" s="2168"/>
      <c r="C214" s="84"/>
      <c r="D214" s="1624"/>
      <c r="E214" s="365">
        <v>33608.25</v>
      </c>
      <c r="F214" s="147"/>
      <c r="G214" s="147"/>
      <c r="H214" s="147"/>
      <c r="I214" s="335"/>
    </row>
    <row r="215" spans="1:12">
      <c r="A215" t="s">
        <v>150</v>
      </c>
      <c r="B215" s="2168"/>
      <c r="C215" s="84"/>
      <c r="D215" s="147"/>
      <c r="E215" s="365"/>
      <c r="F215" s="147"/>
      <c r="G215" s="147"/>
      <c r="H215" s="147"/>
      <c r="I215" s="335"/>
    </row>
    <row r="216" spans="1:12">
      <c r="A216" t="s">
        <v>151</v>
      </c>
      <c r="B216" s="2168"/>
      <c r="C216" s="84"/>
      <c r="D216" s="147"/>
      <c r="E216" s="365">
        <v>9243</v>
      </c>
      <c r="F216" s="147"/>
      <c r="G216" s="147"/>
      <c r="H216" s="147"/>
      <c r="I216" s="335"/>
    </row>
    <row r="217" spans="1:12">
      <c r="A217" t="s">
        <v>152</v>
      </c>
      <c r="B217" s="2168"/>
      <c r="C217" s="84"/>
      <c r="D217" s="147">
        <v>6482.67</v>
      </c>
      <c r="E217" s="365">
        <v>156884.48000000001</v>
      </c>
      <c r="F217" s="147"/>
      <c r="G217" s="147"/>
      <c r="H217" s="147"/>
      <c r="I217" s="335"/>
    </row>
    <row r="218" spans="1:12" ht="30">
      <c r="A218" s="31" t="s">
        <v>153</v>
      </c>
      <c r="B218" s="2168"/>
      <c r="C218" s="84"/>
      <c r="D218" s="147">
        <v>95292.09</v>
      </c>
      <c r="E218" s="147">
        <v>99031.85</v>
      </c>
      <c r="F218" s="147"/>
      <c r="G218" s="147"/>
      <c r="H218" s="147"/>
      <c r="I218" s="335"/>
    </row>
    <row r="219" spans="1:12" ht="15.75" thickBot="1">
      <c r="A219" s="1516"/>
      <c r="B219" s="2169"/>
      <c r="C219" s="54" t="s">
        <v>12</v>
      </c>
      <c r="D219" s="1625">
        <f>SUM(D214:D218)</f>
        <v>101774.76</v>
      </c>
      <c r="E219" s="337">
        <f>SUM(E214:E218)</f>
        <v>298767.58</v>
      </c>
      <c r="F219" s="337">
        <f t="shared" ref="F219:I219" si="24">SUM(F214:F218)</f>
        <v>0</v>
      </c>
      <c r="G219" s="337">
        <f t="shared" si="24"/>
        <v>0</v>
      </c>
      <c r="H219" s="337">
        <f t="shared" si="24"/>
        <v>0</v>
      </c>
      <c r="I219" s="337">
        <f t="shared" si="24"/>
        <v>0</v>
      </c>
    </row>
    <row r="221" spans="1:12">
      <c r="A221" t="s">
        <v>498</v>
      </c>
    </row>
    <row r="223" spans="1:12">
      <c r="A223" t="s">
        <v>499</v>
      </c>
    </row>
    <row r="224" spans="1:12">
      <c r="A224" t="s">
        <v>500</v>
      </c>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1"/>
  <dimension ref="A1:Y227"/>
  <sheetViews>
    <sheetView topLeftCell="A208" workbookViewId="0">
      <selection activeCell="E220" sqref="E220"/>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538</v>
      </c>
      <c r="C1" s="2077"/>
      <c r="D1" s="2077"/>
      <c r="E1" s="2077"/>
      <c r="F1" s="2077"/>
    </row>
    <row r="2" spans="1:25" s="2" customFormat="1" ht="20.100000000000001" customHeight="1" thickBot="1"/>
    <row r="3" spans="1:25" s="5" customFormat="1" ht="20.100000000000001" customHeight="1">
      <c r="A3" s="1571" t="s">
        <v>1</v>
      </c>
      <c r="B3" s="1572"/>
      <c r="C3" s="1572"/>
      <c r="D3" s="1572"/>
      <c r="E3" s="1572"/>
      <c r="F3" s="2768"/>
      <c r="G3" s="2768"/>
      <c r="H3" s="2768"/>
      <c r="I3" s="2768"/>
      <c r="J3" s="2768"/>
      <c r="K3" s="2768"/>
      <c r="L3" s="2768"/>
      <c r="M3" s="2768"/>
      <c r="N3" s="2768"/>
      <c r="O3" s="2769"/>
    </row>
    <row r="4" spans="1:25" s="5" customFormat="1" ht="20.100000000000001" customHeight="1">
      <c r="A4" s="2851" t="s">
        <v>2</v>
      </c>
      <c r="B4" s="2081"/>
      <c r="C4" s="2081"/>
      <c r="D4" s="2081"/>
      <c r="E4" s="2081"/>
      <c r="F4" s="2081"/>
      <c r="G4" s="2081"/>
      <c r="H4" s="2081"/>
      <c r="I4" s="2081"/>
      <c r="J4" s="2081"/>
      <c r="K4" s="2081"/>
      <c r="L4" s="2081"/>
      <c r="M4" s="2081"/>
      <c r="N4" s="2081"/>
      <c r="O4" s="2082"/>
    </row>
    <row r="5" spans="1:25" s="5" customFormat="1" ht="20.100000000000001" customHeight="1">
      <c r="A5" s="2566"/>
      <c r="B5" s="2081"/>
      <c r="C5" s="2081"/>
      <c r="D5" s="2081"/>
      <c r="E5" s="2081"/>
      <c r="F5" s="2081"/>
      <c r="G5" s="2081"/>
      <c r="H5" s="2081"/>
      <c r="I5" s="2081"/>
      <c r="J5" s="2081"/>
      <c r="K5" s="2081"/>
      <c r="L5" s="2081"/>
      <c r="M5" s="2081"/>
      <c r="N5" s="2081"/>
      <c r="O5" s="2082"/>
    </row>
    <row r="6" spans="1:25" s="5" customFormat="1" ht="20.100000000000001" customHeight="1">
      <c r="A6" s="2566"/>
      <c r="B6" s="2081"/>
      <c r="C6" s="2081"/>
      <c r="D6" s="2081"/>
      <c r="E6" s="2081"/>
      <c r="F6" s="2081"/>
      <c r="G6" s="2081"/>
      <c r="H6" s="2081"/>
      <c r="I6" s="2081"/>
      <c r="J6" s="2081"/>
      <c r="K6" s="2081"/>
      <c r="L6" s="2081"/>
      <c r="M6" s="2081"/>
      <c r="N6" s="2081"/>
      <c r="O6" s="2082"/>
    </row>
    <row r="7" spans="1:25" s="5" customFormat="1" ht="20.100000000000001" customHeight="1">
      <c r="A7" s="2566"/>
      <c r="B7" s="2081"/>
      <c r="C7" s="2081"/>
      <c r="D7" s="2081"/>
      <c r="E7" s="2081"/>
      <c r="F7" s="2081"/>
      <c r="G7" s="2081"/>
      <c r="H7" s="2081"/>
      <c r="I7" s="2081"/>
      <c r="J7" s="2081"/>
      <c r="K7" s="2081"/>
      <c r="L7" s="2081"/>
      <c r="M7" s="2081"/>
      <c r="N7" s="2081"/>
      <c r="O7" s="2082"/>
    </row>
    <row r="8" spans="1:25" s="5" customFormat="1" ht="20.100000000000001" customHeight="1">
      <c r="A8" s="2566"/>
      <c r="B8" s="2081"/>
      <c r="C8" s="2081"/>
      <c r="D8" s="2081"/>
      <c r="E8" s="2081"/>
      <c r="F8" s="2081"/>
      <c r="G8" s="2081"/>
      <c r="H8" s="2081"/>
      <c r="I8" s="2081"/>
      <c r="J8" s="2081"/>
      <c r="K8" s="2081"/>
      <c r="L8" s="2081"/>
      <c r="M8" s="2081"/>
      <c r="N8" s="2081"/>
      <c r="O8" s="2082"/>
    </row>
    <row r="9" spans="1:25" s="5" customFormat="1" ht="20.100000000000001" customHeight="1">
      <c r="A9" s="2566"/>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1708"/>
      <c r="B15" s="1709"/>
      <c r="C15" s="11"/>
      <c r="D15" s="2718" t="s">
        <v>4</v>
      </c>
      <c r="E15" s="2852"/>
      <c r="F15" s="2852"/>
      <c r="G15" s="2852"/>
      <c r="H15" s="1520"/>
      <c r="I15" s="13" t="s">
        <v>5</v>
      </c>
      <c r="J15" s="14"/>
      <c r="K15" s="14"/>
      <c r="L15" s="14"/>
      <c r="M15" s="14"/>
      <c r="N15" s="14"/>
      <c r="O15" s="15"/>
      <c r="P15" s="16"/>
      <c r="Q15" s="17"/>
      <c r="R15" s="18"/>
      <c r="S15" s="18"/>
      <c r="T15" s="18"/>
      <c r="U15" s="18"/>
      <c r="V15" s="18"/>
      <c r="W15" s="16"/>
      <c r="X15" s="16"/>
      <c r="Y15" s="17"/>
    </row>
    <row r="16" spans="1:25" s="31" customFormat="1" ht="129" customHeight="1">
      <c r="A16" s="1697"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550" t="s">
        <v>539</v>
      </c>
      <c r="B17" s="1988"/>
      <c r="C17" s="32">
        <v>2014</v>
      </c>
      <c r="D17" s="33"/>
      <c r="E17" s="34"/>
      <c r="F17" s="34"/>
      <c r="G17" s="35">
        <v>0</v>
      </c>
      <c r="H17" s="36"/>
      <c r="I17" s="34"/>
      <c r="J17" s="34"/>
      <c r="K17" s="34"/>
      <c r="L17" s="34"/>
      <c r="M17" s="34"/>
      <c r="N17" s="34"/>
      <c r="O17" s="37"/>
      <c r="P17" s="38"/>
      <c r="Q17" s="38"/>
      <c r="R17" s="38"/>
      <c r="S17" s="38"/>
      <c r="T17" s="38"/>
      <c r="U17" s="38"/>
      <c r="V17" s="38"/>
      <c r="W17" s="38"/>
      <c r="X17" s="38"/>
      <c r="Y17" s="38"/>
    </row>
    <row r="18" spans="1:25">
      <c r="A18" s="2551"/>
      <c r="B18" s="1988"/>
      <c r="C18" s="39">
        <v>2015</v>
      </c>
      <c r="D18" s="50">
        <v>2</v>
      </c>
      <c r="E18" s="42">
        <v>0</v>
      </c>
      <c r="F18" s="42">
        <v>0</v>
      </c>
      <c r="G18" s="35">
        <v>2</v>
      </c>
      <c r="H18" s="51">
        <v>2</v>
      </c>
      <c r="I18" s="42"/>
      <c r="J18" s="42"/>
      <c r="K18" s="42"/>
      <c r="L18" s="42"/>
      <c r="M18" s="42"/>
      <c r="N18" s="42"/>
      <c r="O18" s="52"/>
      <c r="P18" s="38"/>
      <c r="Q18" s="38"/>
      <c r="R18" s="38"/>
      <c r="S18" s="38"/>
      <c r="T18" s="38"/>
      <c r="U18" s="38"/>
      <c r="V18" s="38"/>
      <c r="W18" s="38"/>
      <c r="X18" s="38"/>
      <c r="Y18" s="38"/>
    </row>
    <row r="19" spans="1:25">
      <c r="A19" s="2551"/>
      <c r="B19" s="1988"/>
      <c r="C19" s="39">
        <v>2016</v>
      </c>
      <c r="D19" s="50">
        <v>5</v>
      </c>
      <c r="E19" s="42">
        <v>0</v>
      </c>
      <c r="F19" s="42">
        <v>0</v>
      </c>
      <c r="G19" s="35">
        <v>5</v>
      </c>
      <c r="H19" s="51">
        <v>5</v>
      </c>
      <c r="I19" s="42"/>
      <c r="J19" s="42"/>
      <c r="K19" s="42"/>
      <c r="L19" s="42"/>
      <c r="M19" s="42"/>
      <c r="N19" s="42"/>
      <c r="O19" s="52"/>
      <c r="P19" s="38"/>
      <c r="Q19" s="38"/>
      <c r="R19" s="38"/>
      <c r="S19" s="38"/>
      <c r="T19" s="38"/>
      <c r="U19" s="38"/>
      <c r="V19" s="38"/>
      <c r="W19" s="38"/>
      <c r="X19" s="38"/>
      <c r="Y19" s="38"/>
    </row>
    <row r="20" spans="1:25">
      <c r="A20" s="2551"/>
      <c r="B20" s="1988"/>
      <c r="C20" s="39">
        <v>2017</v>
      </c>
      <c r="D20" s="50"/>
      <c r="E20" s="42"/>
      <c r="F20" s="42"/>
      <c r="G20" s="35">
        <v>0</v>
      </c>
      <c r="H20" s="51"/>
      <c r="I20" s="42"/>
      <c r="J20" s="42"/>
      <c r="K20" s="42"/>
      <c r="L20" s="42"/>
      <c r="M20" s="42"/>
      <c r="N20" s="42"/>
      <c r="O20" s="52"/>
      <c r="P20" s="38"/>
      <c r="Q20" s="38"/>
      <c r="R20" s="38"/>
      <c r="S20" s="38"/>
      <c r="T20" s="38"/>
      <c r="U20" s="38"/>
      <c r="V20" s="38"/>
      <c r="W20" s="38"/>
      <c r="X20" s="38"/>
      <c r="Y20" s="38"/>
    </row>
    <row r="21" spans="1:25">
      <c r="A21" s="2551"/>
      <c r="B21" s="1988"/>
      <c r="C21" s="39">
        <v>2018</v>
      </c>
      <c r="D21" s="50"/>
      <c r="E21" s="42"/>
      <c r="F21" s="42"/>
      <c r="G21" s="35">
        <v>0</v>
      </c>
      <c r="H21" s="51"/>
      <c r="I21" s="42"/>
      <c r="J21" s="42"/>
      <c r="K21" s="42"/>
      <c r="L21" s="42"/>
      <c r="M21" s="42"/>
      <c r="N21" s="42"/>
      <c r="O21" s="52"/>
      <c r="P21" s="38"/>
      <c r="Q21" s="38"/>
      <c r="R21" s="38"/>
      <c r="S21" s="38"/>
      <c r="T21" s="38"/>
      <c r="U21" s="38"/>
      <c r="V21" s="38"/>
      <c r="W21" s="38"/>
      <c r="X21" s="38"/>
      <c r="Y21" s="38"/>
    </row>
    <row r="22" spans="1:25">
      <c r="A22" s="2551"/>
      <c r="B22" s="1988"/>
      <c r="C22" s="53">
        <v>2019</v>
      </c>
      <c r="D22" s="50"/>
      <c r="E22" s="42"/>
      <c r="F22" s="42"/>
      <c r="G22" s="35">
        <v>0</v>
      </c>
      <c r="H22" s="51"/>
      <c r="I22" s="42"/>
      <c r="J22" s="42"/>
      <c r="K22" s="42"/>
      <c r="L22" s="42"/>
      <c r="M22" s="42"/>
      <c r="N22" s="42"/>
      <c r="O22" s="52"/>
      <c r="P22" s="38"/>
      <c r="Q22" s="38"/>
      <c r="R22" s="38"/>
      <c r="S22" s="38"/>
      <c r="T22" s="38"/>
      <c r="U22" s="38"/>
      <c r="V22" s="38"/>
      <c r="W22" s="38"/>
      <c r="X22" s="38"/>
      <c r="Y22" s="38"/>
    </row>
    <row r="23" spans="1:25">
      <c r="A23" s="2551"/>
      <c r="B23" s="1988"/>
      <c r="C23" s="39">
        <v>2020</v>
      </c>
      <c r="D23" s="50"/>
      <c r="E23" s="42"/>
      <c r="F23" s="42"/>
      <c r="G23" s="35">
        <v>0</v>
      </c>
      <c r="H23" s="51"/>
      <c r="I23" s="42"/>
      <c r="J23" s="42"/>
      <c r="K23" s="42"/>
      <c r="L23" s="42"/>
      <c r="M23" s="42"/>
      <c r="N23" s="42"/>
      <c r="O23" s="52"/>
      <c r="P23" s="38"/>
      <c r="Q23" s="38"/>
      <c r="R23" s="38"/>
      <c r="S23" s="38"/>
      <c r="T23" s="38"/>
      <c r="U23" s="38"/>
      <c r="V23" s="38"/>
      <c r="W23" s="38"/>
      <c r="X23" s="38"/>
      <c r="Y23" s="38"/>
    </row>
    <row r="24" spans="1:25" ht="101.25" customHeight="1" thickBot="1">
      <c r="A24" s="1989"/>
      <c r="B24" s="1990"/>
      <c r="C24" s="54" t="s">
        <v>12</v>
      </c>
      <c r="D24" s="55">
        <v>7</v>
      </c>
      <c r="E24" s="56">
        <v>0</v>
      </c>
      <c r="F24" s="56">
        <v>0</v>
      </c>
      <c r="G24" s="57">
        <v>7</v>
      </c>
      <c r="H24" s="58">
        <v>7</v>
      </c>
      <c r="I24" s="59">
        <v>0</v>
      </c>
      <c r="J24" s="59">
        <v>0</v>
      </c>
      <c r="K24" s="59">
        <v>0</v>
      </c>
      <c r="L24" s="59">
        <v>0</v>
      </c>
      <c r="M24" s="59">
        <v>0</v>
      </c>
      <c r="N24" s="59">
        <v>0</v>
      </c>
      <c r="O24" s="60">
        <v>0</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1708"/>
      <c r="B26" s="1709"/>
      <c r="C26" s="63"/>
      <c r="D26" s="2723" t="s">
        <v>4</v>
      </c>
      <c r="E26" s="2853"/>
      <c r="F26" s="2853"/>
      <c r="G26" s="2854"/>
      <c r="H26" s="16"/>
      <c r="I26" s="17"/>
      <c r="J26" s="18"/>
      <c r="K26" s="18"/>
      <c r="L26" s="18"/>
      <c r="M26" s="18"/>
      <c r="N26" s="18"/>
      <c r="O26" s="16"/>
      <c r="P26" s="16"/>
    </row>
    <row r="27" spans="1:25" s="31" customFormat="1" ht="93" customHeight="1">
      <c r="A27" s="1364"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550" t="s">
        <v>540</v>
      </c>
      <c r="B28" s="1988"/>
      <c r="C28" s="68">
        <v>2014</v>
      </c>
      <c r="D28" s="36"/>
      <c r="E28" s="34"/>
      <c r="F28" s="34"/>
      <c r="G28" s="69">
        <v>0</v>
      </c>
      <c r="H28" s="38"/>
      <c r="I28" s="38"/>
      <c r="J28" s="38"/>
      <c r="K28" s="38"/>
      <c r="L28" s="38"/>
      <c r="M28" s="38"/>
      <c r="N28" s="38"/>
      <c r="O28" s="38"/>
      <c r="P28" s="38"/>
      <c r="Q28" s="8"/>
    </row>
    <row r="29" spans="1:25">
      <c r="A29" s="2551"/>
      <c r="B29" s="1988"/>
      <c r="C29" s="70">
        <v>2015</v>
      </c>
      <c r="D29" s="51">
        <v>80</v>
      </c>
      <c r="E29" s="42"/>
      <c r="F29" s="42"/>
      <c r="G29" s="69">
        <v>80</v>
      </c>
      <c r="H29" s="38"/>
      <c r="I29" s="38"/>
      <c r="J29" s="38"/>
      <c r="K29" s="38"/>
      <c r="L29" s="38"/>
      <c r="M29" s="38"/>
      <c r="N29" s="38"/>
      <c r="O29" s="38"/>
      <c r="P29" s="38"/>
      <c r="Q29" s="8"/>
    </row>
    <row r="30" spans="1:25">
      <c r="A30" s="2551"/>
      <c r="B30" s="1988"/>
      <c r="C30" s="70">
        <v>2016</v>
      </c>
      <c r="D30" s="346">
        <v>1000</v>
      </c>
      <c r="E30" s="42"/>
      <c r="F30" s="42"/>
      <c r="G30" s="69">
        <v>1000</v>
      </c>
      <c r="H30" s="38"/>
      <c r="I30" s="38"/>
      <c r="J30" s="38"/>
      <c r="K30" s="38"/>
      <c r="L30" s="38"/>
      <c r="M30" s="38"/>
      <c r="N30" s="38"/>
      <c r="O30" s="38"/>
      <c r="P30" s="38"/>
      <c r="Q30" s="8"/>
    </row>
    <row r="31" spans="1:25">
      <c r="A31" s="2551"/>
      <c r="B31" s="1988"/>
      <c r="C31" s="70">
        <v>2017</v>
      </c>
      <c r="D31" s="51"/>
      <c r="E31" s="42"/>
      <c r="F31" s="42"/>
      <c r="G31" s="69">
        <v>0</v>
      </c>
      <c r="H31" s="38"/>
      <c r="I31" s="38"/>
      <c r="J31" s="38"/>
      <c r="K31" s="38"/>
      <c r="L31" s="38"/>
      <c r="M31" s="38"/>
      <c r="N31" s="38"/>
      <c r="O31" s="38"/>
      <c r="P31" s="38"/>
      <c r="Q31" s="8"/>
    </row>
    <row r="32" spans="1:25">
      <c r="A32" s="2551"/>
      <c r="B32" s="1988"/>
      <c r="C32" s="70">
        <v>2018</v>
      </c>
      <c r="D32" s="51"/>
      <c r="E32" s="42"/>
      <c r="F32" s="42"/>
      <c r="G32" s="69">
        <v>0</v>
      </c>
      <c r="H32" s="38"/>
      <c r="I32" s="38"/>
      <c r="J32" s="38"/>
      <c r="K32" s="38"/>
      <c r="L32" s="38"/>
      <c r="M32" s="38"/>
      <c r="N32" s="38"/>
      <c r="O32" s="38"/>
      <c r="P32" s="38"/>
      <c r="Q32" s="8"/>
    </row>
    <row r="33" spans="1:17">
      <c r="A33" s="2551"/>
      <c r="B33" s="1988"/>
      <c r="C33" s="72">
        <v>2019</v>
      </c>
      <c r="D33" s="51"/>
      <c r="E33" s="42"/>
      <c r="F33" s="42"/>
      <c r="G33" s="69">
        <v>0</v>
      </c>
      <c r="H33" s="38"/>
      <c r="I33" s="38"/>
      <c r="J33" s="38"/>
      <c r="K33" s="38"/>
      <c r="L33" s="38"/>
      <c r="M33" s="38"/>
      <c r="N33" s="38"/>
      <c r="O33" s="38"/>
      <c r="P33" s="38"/>
      <c r="Q33" s="8"/>
    </row>
    <row r="34" spans="1:17">
      <c r="A34" s="2551"/>
      <c r="B34" s="1988"/>
      <c r="C34" s="70">
        <v>2020</v>
      </c>
      <c r="D34" s="51"/>
      <c r="E34" s="42"/>
      <c r="F34" s="42"/>
      <c r="G34" s="69">
        <v>0</v>
      </c>
      <c r="H34" s="38"/>
      <c r="I34" s="38"/>
      <c r="J34" s="38"/>
      <c r="K34" s="38"/>
      <c r="L34" s="38"/>
      <c r="M34" s="38"/>
      <c r="N34" s="38"/>
      <c r="O34" s="38"/>
      <c r="P34" s="38"/>
      <c r="Q34" s="8"/>
    </row>
    <row r="35" spans="1:17" ht="195" customHeight="1" thickBot="1">
      <c r="A35" s="1989"/>
      <c r="B35" s="1990"/>
      <c r="C35" s="73" t="s">
        <v>12</v>
      </c>
      <c r="D35" s="58">
        <v>1080</v>
      </c>
      <c r="E35" s="56">
        <v>0</v>
      </c>
      <c r="F35" s="56">
        <v>0</v>
      </c>
      <c r="G35" s="60">
        <v>1080</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1710" t="s">
        <v>25</v>
      </c>
      <c r="B39" s="1711" t="s">
        <v>7</v>
      </c>
      <c r="C39" s="80" t="s">
        <v>8</v>
      </c>
      <c r="D39" s="1523" t="s">
        <v>26</v>
      </c>
      <c r="E39" s="352" t="s">
        <v>27</v>
      </c>
      <c r="F39" s="353"/>
      <c r="G39" s="30"/>
      <c r="H39" s="30"/>
    </row>
    <row r="40" spans="1:17">
      <c r="A40" s="2550" t="s">
        <v>541</v>
      </c>
      <c r="B40" s="1988"/>
      <c r="C40" s="84">
        <v>2014</v>
      </c>
      <c r="D40" s="33"/>
      <c r="E40" s="32"/>
      <c r="F40" s="8"/>
      <c r="G40" s="38"/>
      <c r="H40" s="38"/>
    </row>
    <row r="41" spans="1:17">
      <c r="A41" s="2551"/>
      <c r="B41" s="1988"/>
      <c r="C41" s="86">
        <v>2015</v>
      </c>
      <c r="D41" s="50">
        <v>0</v>
      </c>
      <c r="E41" s="39">
        <v>0</v>
      </c>
      <c r="F41" s="8"/>
      <c r="G41" s="38"/>
      <c r="H41" s="38"/>
    </row>
    <row r="42" spans="1:17">
      <c r="A42" s="2551"/>
      <c r="B42" s="1988"/>
      <c r="C42" s="86">
        <v>2016</v>
      </c>
      <c r="D42" s="354">
        <v>1788</v>
      </c>
      <c r="E42" s="39">
        <v>1234</v>
      </c>
      <c r="F42" s="8"/>
      <c r="G42" s="38"/>
      <c r="H42" s="38"/>
    </row>
    <row r="43" spans="1:17">
      <c r="A43" s="2551"/>
      <c r="B43" s="1988"/>
      <c r="C43" s="86">
        <v>2017</v>
      </c>
      <c r="D43" s="50"/>
      <c r="E43" s="39"/>
      <c r="F43" s="8"/>
      <c r="G43" s="38"/>
      <c r="H43" s="38"/>
    </row>
    <row r="44" spans="1:17">
      <c r="A44" s="2551"/>
      <c r="B44" s="1988"/>
      <c r="C44" s="86">
        <v>2018</v>
      </c>
      <c r="D44" s="50"/>
      <c r="E44" s="39"/>
      <c r="F44" s="8"/>
      <c r="G44" s="38"/>
      <c r="H44" s="38"/>
    </row>
    <row r="45" spans="1:17">
      <c r="A45" s="2551"/>
      <c r="B45" s="1988"/>
      <c r="C45" s="86">
        <v>2019</v>
      </c>
      <c r="D45" s="50"/>
      <c r="E45" s="39"/>
      <c r="F45" s="8"/>
      <c r="G45" s="38"/>
      <c r="H45" s="38"/>
    </row>
    <row r="46" spans="1:17">
      <c r="A46" s="2551"/>
      <c r="B46" s="1988"/>
      <c r="C46" s="86">
        <v>2020</v>
      </c>
      <c r="D46" s="50"/>
      <c r="E46" s="39"/>
      <c r="F46" s="8"/>
      <c r="G46" s="38"/>
      <c r="H46" s="38"/>
    </row>
    <row r="47" spans="1:17" ht="15.75" thickBot="1">
      <c r="A47" s="1989"/>
      <c r="B47" s="1990"/>
      <c r="C47" s="54" t="s">
        <v>12</v>
      </c>
      <c r="D47" s="55">
        <v>1788</v>
      </c>
      <c r="E47" s="419">
        <v>1234</v>
      </c>
      <c r="F47" s="121"/>
      <c r="G47" s="38"/>
      <c r="H47" s="38"/>
    </row>
    <row r="48" spans="1:17" s="38" customFormat="1" ht="15.75" thickBot="1">
      <c r="A48" s="1712"/>
      <c r="B48" s="92"/>
      <c r="C48" s="93"/>
    </row>
    <row r="49" spans="1:15" ht="83.25" customHeight="1">
      <c r="A49" s="1527" t="s">
        <v>29</v>
      </c>
      <c r="B49" s="1711" t="s">
        <v>7</v>
      </c>
      <c r="C49" s="95" t="s">
        <v>8</v>
      </c>
      <c r="D49" s="1523" t="s">
        <v>30</v>
      </c>
      <c r="E49" s="96" t="s">
        <v>31</v>
      </c>
      <c r="F49" s="96" t="s">
        <v>32</v>
      </c>
      <c r="G49" s="96" t="s">
        <v>33</v>
      </c>
      <c r="H49" s="96" t="s">
        <v>34</v>
      </c>
      <c r="I49" s="96" t="s">
        <v>35</v>
      </c>
      <c r="J49" s="96" t="s">
        <v>36</v>
      </c>
      <c r="K49" s="97" t="s">
        <v>37</v>
      </c>
    </row>
    <row r="50" spans="1:15" ht="17.25" customHeight="1">
      <c r="A50" s="2005"/>
      <c r="B50" s="2012"/>
      <c r="C50" s="98" t="s">
        <v>38</v>
      </c>
      <c r="D50" s="33"/>
      <c r="E50" s="34"/>
      <c r="F50" s="34"/>
      <c r="G50" s="34"/>
      <c r="H50" s="34"/>
      <c r="I50" s="34"/>
      <c r="J50" s="34"/>
      <c r="K50" s="37"/>
    </row>
    <row r="51" spans="1:15" ht="15" customHeight="1">
      <c r="A51" s="2550"/>
      <c r="B51" s="2014"/>
      <c r="C51" s="86">
        <v>2014</v>
      </c>
      <c r="D51" s="50"/>
      <c r="E51" s="42"/>
      <c r="F51" s="42"/>
      <c r="G51" s="42"/>
      <c r="H51" s="42"/>
      <c r="I51" s="42"/>
      <c r="J51" s="42"/>
      <c r="K51" s="99"/>
    </row>
    <row r="52" spans="1:15">
      <c r="A52" s="2550"/>
      <c r="B52" s="2014"/>
      <c r="C52" s="86">
        <v>2015</v>
      </c>
      <c r="D52" s="50"/>
      <c r="E52" s="42"/>
      <c r="F52" s="42"/>
      <c r="G52" s="42"/>
      <c r="H52" s="42"/>
      <c r="I52" s="42"/>
      <c r="J52" s="42"/>
      <c r="K52" s="99"/>
    </row>
    <row r="53" spans="1:15">
      <c r="A53" s="2550"/>
      <c r="B53" s="2014"/>
      <c r="C53" s="86">
        <v>2016</v>
      </c>
      <c r="D53" s="50"/>
      <c r="E53" s="42"/>
      <c r="F53" s="42"/>
      <c r="G53" s="42"/>
      <c r="H53" s="42"/>
      <c r="I53" s="42"/>
      <c r="J53" s="42"/>
      <c r="K53" s="99"/>
    </row>
    <row r="54" spans="1:15">
      <c r="A54" s="2550"/>
      <c r="B54" s="2014"/>
      <c r="C54" s="86">
        <v>2017</v>
      </c>
      <c r="D54" s="50"/>
      <c r="E54" s="42"/>
      <c r="F54" s="42"/>
      <c r="G54" s="42"/>
      <c r="H54" s="42"/>
      <c r="I54" s="42"/>
      <c r="J54" s="42"/>
      <c r="K54" s="99"/>
    </row>
    <row r="55" spans="1:15">
      <c r="A55" s="2550"/>
      <c r="B55" s="2014"/>
      <c r="C55" s="86">
        <v>2018</v>
      </c>
      <c r="D55" s="50"/>
      <c r="E55" s="42"/>
      <c r="F55" s="42"/>
      <c r="G55" s="42"/>
      <c r="H55" s="42"/>
      <c r="I55" s="42"/>
      <c r="J55" s="42"/>
      <c r="K55" s="99"/>
    </row>
    <row r="56" spans="1:15">
      <c r="A56" s="2550"/>
      <c r="B56" s="2014"/>
      <c r="C56" s="86">
        <v>2019</v>
      </c>
      <c r="D56" s="50"/>
      <c r="E56" s="42"/>
      <c r="F56" s="42"/>
      <c r="G56" s="42"/>
      <c r="H56" s="42"/>
      <c r="I56" s="42"/>
      <c r="J56" s="42"/>
      <c r="K56" s="99"/>
    </row>
    <row r="57" spans="1:15">
      <c r="A57" s="2550"/>
      <c r="B57" s="2014"/>
      <c r="C57" s="86">
        <v>2020</v>
      </c>
      <c r="D57" s="50"/>
      <c r="E57" s="42"/>
      <c r="F57" s="42"/>
      <c r="G57" s="42"/>
      <c r="H57" s="42"/>
      <c r="I57" s="42"/>
      <c r="J57" s="42"/>
      <c r="K57" s="100"/>
    </row>
    <row r="58" spans="1:15" ht="20.25" customHeight="1" thickBot="1">
      <c r="A58" s="2009"/>
      <c r="B58" s="2016"/>
      <c r="C58" s="54" t="s">
        <v>12</v>
      </c>
      <c r="D58" s="55">
        <v>0</v>
      </c>
      <c r="E58" s="56">
        <v>0</v>
      </c>
      <c r="F58" s="56">
        <v>0</v>
      </c>
      <c r="G58" s="56">
        <v>0</v>
      </c>
      <c r="H58" s="56">
        <v>0</v>
      </c>
      <c r="I58" s="56">
        <v>0</v>
      </c>
      <c r="J58" s="56">
        <v>0</v>
      </c>
      <c r="K58" s="60">
        <v>0</v>
      </c>
    </row>
    <row r="59" spans="1:15" ht="15.75" thickBot="1"/>
    <row r="60" spans="1:15" ht="21" customHeight="1">
      <c r="A60" s="2855" t="s">
        <v>39</v>
      </c>
      <c r="B60" s="1713"/>
      <c r="C60" s="2857" t="s">
        <v>8</v>
      </c>
      <c r="D60" s="2671" t="s">
        <v>40</v>
      </c>
      <c r="E60" s="1477" t="s">
        <v>5</v>
      </c>
      <c r="F60" s="1714"/>
      <c r="G60" s="1714"/>
      <c r="H60" s="1714"/>
      <c r="I60" s="1714"/>
      <c r="J60" s="1714"/>
      <c r="K60" s="1714"/>
      <c r="L60" s="1715"/>
    </row>
    <row r="61" spans="1:15" ht="115.5" customHeight="1">
      <c r="A61" s="2856"/>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552" t="s">
        <v>542</v>
      </c>
      <c r="B62" s="2025"/>
      <c r="C62" s="112">
        <v>2014</v>
      </c>
      <c r="D62" s="113"/>
      <c r="E62" s="114"/>
      <c r="F62" s="115"/>
      <c r="G62" s="115"/>
      <c r="H62" s="115"/>
      <c r="I62" s="115"/>
      <c r="J62" s="115"/>
      <c r="K62" s="115"/>
      <c r="L62" s="37"/>
      <c r="M62" s="8"/>
      <c r="N62" s="8"/>
      <c r="O62" s="8"/>
    </row>
    <row r="63" spans="1:15">
      <c r="A63" s="2553"/>
      <c r="B63" s="2025"/>
      <c r="C63" s="116">
        <v>2015</v>
      </c>
      <c r="D63" s="117"/>
      <c r="E63" s="118"/>
      <c r="F63" s="42"/>
      <c r="G63" s="42"/>
      <c r="H63" s="42"/>
      <c r="I63" s="42"/>
      <c r="J63" s="42"/>
      <c r="K63" s="42"/>
      <c r="L63" s="99"/>
      <c r="M63" s="8"/>
      <c r="N63" s="8"/>
      <c r="O63" s="8"/>
    </row>
    <row r="64" spans="1:15">
      <c r="A64" s="2553"/>
      <c r="B64" s="2025"/>
      <c r="C64" s="116">
        <v>2016</v>
      </c>
      <c r="D64" s="1716">
        <v>24</v>
      </c>
      <c r="E64" s="1717">
        <v>24</v>
      </c>
      <c r="F64" s="42"/>
      <c r="G64" s="42"/>
      <c r="H64" s="42"/>
      <c r="I64" s="42"/>
      <c r="J64" s="42"/>
      <c r="K64" s="42"/>
      <c r="L64" s="99"/>
      <c r="M64" s="8"/>
      <c r="N64" s="8"/>
      <c r="O64" s="8"/>
    </row>
    <row r="65" spans="1:20">
      <c r="A65" s="2553"/>
      <c r="B65" s="2025"/>
      <c r="C65" s="116">
        <v>2017</v>
      </c>
      <c r="D65" s="117"/>
      <c r="E65" s="118"/>
      <c r="F65" s="42"/>
      <c r="G65" s="42"/>
      <c r="H65" s="42"/>
      <c r="I65" s="42"/>
      <c r="J65" s="42"/>
      <c r="K65" s="42"/>
      <c r="L65" s="99"/>
      <c r="M65" s="8"/>
      <c r="N65" s="8"/>
      <c r="O65" s="8"/>
    </row>
    <row r="66" spans="1:20">
      <c r="A66" s="2553"/>
      <c r="B66" s="2025"/>
      <c r="C66" s="116">
        <v>2018</v>
      </c>
      <c r="D66" s="117"/>
      <c r="E66" s="118"/>
      <c r="F66" s="42"/>
      <c r="G66" s="42"/>
      <c r="H66" s="42"/>
      <c r="I66" s="42"/>
      <c r="J66" s="42"/>
      <c r="K66" s="42"/>
      <c r="L66" s="99"/>
      <c r="M66" s="8"/>
      <c r="N66" s="8"/>
      <c r="O66" s="8"/>
    </row>
    <row r="67" spans="1:20" ht="17.25" customHeight="1">
      <c r="A67" s="2553"/>
      <c r="B67" s="2025"/>
      <c r="C67" s="116">
        <v>2019</v>
      </c>
      <c r="D67" s="117"/>
      <c r="E67" s="118"/>
      <c r="F67" s="42"/>
      <c r="G67" s="42"/>
      <c r="H67" s="42"/>
      <c r="I67" s="42"/>
      <c r="J67" s="42"/>
      <c r="K67" s="42"/>
      <c r="L67" s="99"/>
      <c r="M67" s="8"/>
      <c r="N67" s="8"/>
      <c r="O67" s="8"/>
    </row>
    <row r="68" spans="1:20" ht="16.5" customHeight="1">
      <c r="A68" s="2553"/>
      <c r="B68" s="2025"/>
      <c r="C68" s="116">
        <v>2020</v>
      </c>
      <c r="D68" s="117"/>
      <c r="E68" s="118"/>
      <c r="F68" s="42"/>
      <c r="G68" s="42"/>
      <c r="H68" s="42"/>
      <c r="I68" s="42"/>
      <c r="J68" s="42"/>
      <c r="K68" s="42"/>
      <c r="L68" s="99"/>
      <c r="M68" s="121"/>
      <c r="N68" s="121"/>
      <c r="O68" s="121"/>
    </row>
    <row r="69" spans="1:20" ht="18" customHeight="1" thickBot="1">
      <c r="A69" s="2134"/>
      <c r="B69" s="2027"/>
      <c r="C69" s="122" t="s">
        <v>12</v>
      </c>
      <c r="D69" s="123">
        <v>24</v>
      </c>
      <c r="E69" s="124">
        <v>24</v>
      </c>
      <c r="F69" s="125">
        <v>0</v>
      </c>
      <c r="G69" s="125">
        <v>0</v>
      </c>
      <c r="H69" s="125">
        <v>0</v>
      </c>
      <c r="I69" s="125">
        <v>0</v>
      </c>
      <c r="J69" s="125"/>
      <c r="K69" s="125">
        <v>0</v>
      </c>
      <c r="L69" s="126">
        <v>0</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1710" t="s">
        <v>42</v>
      </c>
      <c r="B71" s="1711" t="s">
        <v>7</v>
      </c>
      <c r="C71" s="80" t="s">
        <v>8</v>
      </c>
      <c r="D71" s="132" t="s">
        <v>43</v>
      </c>
      <c r="E71" s="132" t="s">
        <v>44</v>
      </c>
      <c r="F71" s="133" t="s">
        <v>45</v>
      </c>
      <c r="G71" s="1532" t="s">
        <v>46</v>
      </c>
      <c r="H71" s="135" t="s">
        <v>13</v>
      </c>
      <c r="I71" s="136" t="s">
        <v>14</v>
      </c>
      <c r="J71" s="137" t="s">
        <v>15</v>
      </c>
      <c r="K71" s="136" t="s">
        <v>16</v>
      </c>
      <c r="L71" s="136" t="s">
        <v>17</v>
      </c>
      <c r="M71" s="138" t="s">
        <v>18</v>
      </c>
      <c r="N71" s="137" t="s">
        <v>19</v>
      </c>
      <c r="O71" s="139" t="s">
        <v>20</v>
      </c>
    </row>
    <row r="72" spans="1:20" ht="15" customHeight="1">
      <c r="A72" s="2550"/>
      <c r="B72" s="2025"/>
      <c r="C72" s="84">
        <v>2014</v>
      </c>
      <c r="D72" s="140"/>
      <c r="E72" s="140"/>
      <c r="F72" s="140"/>
      <c r="G72" s="141">
        <v>0</v>
      </c>
      <c r="H72" s="33"/>
      <c r="I72" s="142"/>
      <c r="J72" s="115"/>
      <c r="K72" s="115"/>
      <c r="L72" s="115"/>
      <c r="M72" s="115"/>
      <c r="N72" s="115"/>
      <c r="O72" s="143"/>
    </row>
    <row r="73" spans="1:20">
      <c r="A73" s="2551"/>
      <c r="B73" s="2025"/>
      <c r="C73" s="86">
        <v>2015</v>
      </c>
      <c r="D73" s="147"/>
      <c r="E73" s="147"/>
      <c r="F73" s="147"/>
      <c r="G73" s="141">
        <v>0</v>
      </c>
      <c r="H73" s="50"/>
      <c r="I73" s="50"/>
      <c r="J73" s="42"/>
      <c r="K73" s="42"/>
      <c r="L73" s="42"/>
      <c r="M73" s="42"/>
      <c r="N73" s="42"/>
      <c r="O73" s="99"/>
    </row>
    <row r="74" spans="1:20">
      <c r="A74" s="2551"/>
      <c r="B74" s="2025"/>
      <c r="C74" s="86">
        <v>2016</v>
      </c>
      <c r="D74" s="147"/>
      <c r="E74" s="147"/>
      <c r="F74" s="147"/>
      <c r="G74" s="141">
        <v>0</v>
      </c>
      <c r="H74" s="50"/>
      <c r="I74" s="50"/>
      <c r="J74" s="42"/>
      <c r="K74" s="42"/>
      <c r="L74" s="42"/>
      <c r="M74" s="42"/>
      <c r="N74" s="42"/>
      <c r="O74" s="99"/>
    </row>
    <row r="75" spans="1:20">
      <c r="A75" s="2551"/>
      <c r="B75" s="2025"/>
      <c r="C75" s="86">
        <v>2017</v>
      </c>
      <c r="D75" s="147"/>
      <c r="E75" s="147"/>
      <c r="F75" s="147"/>
      <c r="G75" s="141">
        <v>0</v>
      </c>
      <c r="H75" s="50"/>
      <c r="I75" s="50"/>
      <c r="J75" s="42"/>
      <c r="K75" s="42"/>
      <c r="L75" s="42"/>
      <c r="M75" s="42"/>
      <c r="N75" s="42"/>
      <c r="O75" s="99"/>
    </row>
    <row r="76" spans="1:20">
      <c r="A76" s="2551"/>
      <c r="B76" s="2025"/>
      <c r="C76" s="86">
        <v>2018</v>
      </c>
      <c r="D76" s="147"/>
      <c r="E76" s="147"/>
      <c r="F76" s="147"/>
      <c r="G76" s="141">
        <v>0</v>
      </c>
      <c r="H76" s="50"/>
      <c r="I76" s="50"/>
      <c r="J76" s="42"/>
      <c r="K76" s="42"/>
      <c r="L76" s="42"/>
      <c r="M76" s="42"/>
      <c r="N76" s="42"/>
      <c r="O76" s="99"/>
    </row>
    <row r="77" spans="1:20" ht="15.75" customHeight="1">
      <c r="A77" s="2551"/>
      <c r="B77" s="2025"/>
      <c r="C77" s="86">
        <v>2019</v>
      </c>
      <c r="D77" s="147"/>
      <c r="E77" s="147"/>
      <c r="F77" s="147"/>
      <c r="G77" s="141">
        <v>0</v>
      </c>
      <c r="H77" s="50"/>
      <c r="I77" s="50"/>
      <c r="J77" s="42"/>
      <c r="K77" s="42"/>
      <c r="L77" s="42"/>
      <c r="M77" s="42"/>
      <c r="N77" s="42"/>
      <c r="O77" s="99"/>
    </row>
    <row r="78" spans="1:20" ht="17.25" customHeight="1">
      <c r="A78" s="2551"/>
      <c r="B78" s="2025"/>
      <c r="C78" s="86">
        <v>2020</v>
      </c>
      <c r="D78" s="147"/>
      <c r="E78" s="147"/>
      <c r="F78" s="147"/>
      <c r="G78" s="141">
        <v>0</v>
      </c>
      <c r="H78" s="50"/>
      <c r="I78" s="50"/>
      <c r="J78" s="42"/>
      <c r="K78" s="42"/>
      <c r="L78" s="42"/>
      <c r="M78" s="42"/>
      <c r="N78" s="42"/>
      <c r="O78" s="99"/>
    </row>
    <row r="79" spans="1:20" ht="20.25" customHeight="1" thickBot="1">
      <c r="A79" s="2134"/>
      <c r="B79" s="2027"/>
      <c r="C79" s="148" t="s">
        <v>12</v>
      </c>
      <c r="D79" s="123">
        <v>0</v>
      </c>
      <c r="E79" s="123">
        <v>0</v>
      </c>
      <c r="F79" s="123">
        <v>0</v>
      </c>
      <c r="G79" s="149">
        <v>0</v>
      </c>
      <c r="H79" s="150">
        <v>0</v>
      </c>
      <c r="I79" s="151">
        <v>0</v>
      </c>
      <c r="J79" s="125">
        <v>0</v>
      </c>
      <c r="K79" s="125">
        <v>0</v>
      </c>
      <c r="L79" s="125">
        <v>0</v>
      </c>
      <c r="M79" s="125">
        <v>0</v>
      </c>
      <c r="N79" s="125">
        <v>0</v>
      </c>
      <c r="O79" s="126">
        <v>0</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1718" t="s">
        <v>49</v>
      </c>
      <c r="B84" s="1719" t="s">
        <v>50</v>
      </c>
      <c r="C84" s="161" t="s">
        <v>8</v>
      </c>
      <c r="D84" s="1538" t="s">
        <v>51</v>
      </c>
      <c r="E84" s="163" t="s">
        <v>52</v>
      </c>
      <c r="F84" s="164" t="s">
        <v>53</v>
      </c>
      <c r="G84" s="164" t="s">
        <v>54</v>
      </c>
      <c r="H84" s="164" t="s">
        <v>55</v>
      </c>
      <c r="I84" s="164" t="s">
        <v>56</v>
      </c>
      <c r="J84" s="164" t="s">
        <v>57</v>
      </c>
      <c r="K84" s="165" t="s">
        <v>58</v>
      </c>
    </row>
    <row r="85" spans="1:16" ht="15" customHeight="1">
      <c r="A85" s="2567"/>
      <c r="B85" s="2025"/>
      <c r="C85" s="84">
        <v>2014</v>
      </c>
      <c r="D85" s="166"/>
      <c r="E85" s="167"/>
      <c r="F85" s="34"/>
      <c r="G85" s="34"/>
      <c r="H85" s="34"/>
      <c r="I85" s="34"/>
      <c r="J85" s="34"/>
      <c r="K85" s="37"/>
    </row>
    <row r="86" spans="1:16">
      <c r="A86" s="2555"/>
      <c r="B86" s="2025"/>
      <c r="C86" s="86">
        <v>2015</v>
      </c>
      <c r="D86" s="168"/>
      <c r="E86" s="118"/>
      <c r="F86" s="42"/>
      <c r="G86" s="42"/>
      <c r="H86" s="42"/>
      <c r="I86" s="42"/>
      <c r="J86" s="42"/>
      <c r="K86" s="99"/>
    </row>
    <row r="87" spans="1:16">
      <c r="A87" s="2555"/>
      <c r="B87" s="2025"/>
      <c r="C87" s="86">
        <v>2016</v>
      </c>
      <c r="D87" s="168"/>
      <c r="E87" s="118"/>
      <c r="F87" s="42"/>
      <c r="G87" s="42"/>
      <c r="H87" s="42"/>
      <c r="I87" s="42"/>
      <c r="J87" s="42"/>
      <c r="K87" s="99"/>
    </row>
    <row r="88" spans="1:16">
      <c r="A88" s="2555"/>
      <c r="B88" s="2025"/>
      <c r="C88" s="86">
        <v>2017</v>
      </c>
      <c r="D88" s="168"/>
      <c r="E88" s="118"/>
      <c r="F88" s="42"/>
      <c r="G88" s="42"/>
      <c r="H88" s="42"/>
      <c r="I88" s="42"/>
      <c r="J88" s="42"/>
      <c r="K88" s="99"/>
    </row>
    <row r="89" spans="1:16">
      <c r="A89" s="2555"/>
      <c r="B89" s="2025"/>
      <c r="C89" s="86">
        <v>2018</v>
      </c>
      <c r="D89" s="168"/>
      <c r="E89" s="118"/>
      <c r="F89" s="42"/>
      <c r="G89" s="42"/>
      <c r="H89" s="42"/>
      <c r="I89" s="42"/>
      <c r="J89" s="42"/>
      <c r="K89" s="99"/>
    </row>
    <row r="90" spans="1:16">
      <c r="A90" s="2555"/>
      <c r="B90" s="2025"/>
      <c r="C90" s="86">
        <v>2019</v>
      </c>
      <c r="D90" s="168"/>
      <c r="E90" s="118"/>
      <c r="F90" s="42"/>
      <c r="G90" s="42"/>
      <c r="H90" s="42"/>
      <c r="I90" s="42"/>
      <c r="J90" s="42"/>
      <c r="K90" s="99"/>
    </row>
    <row r="91" spans="1:16">
      <c r="A91" s="2555"/>
      <c r="B91" s="2025"/>
      <c r="C91" s="86">
        <v>2020</v>
      </c>
      <c r="D91" s="168"/>
      <c r="E91" s="118"/>
      <c r="F91" s="42"/>
      <c r="G91" s="42"/>
      <c r="H91" s="42"/>
      <c r="I91" s="42"/>
      <c r="J91" s="42"/>
      <c r="K91" s="99"/>
    </row>
    <row r="92" spans="1:16" ht="18" customHeight="1" thickBot="1">
      <c r="A92" s="2073"/>
      <c r="B92" s="2027"/>
      <c r="C92" s="148" t="s">
        <v>12</v>
      </c>
      <c r="D92" s="169">
        <v>0</v>
      </c>
      <c r="E92" s="124">
        <v>0</v>
      </c>
      <c r="F92" s="125">
        <v>0</v>
      </c>
      <c r="G92" s="125">
        <v>0</v>
      </c>
      <c r="H92" s="125">
        <v>0</v>
      </c>
      <c r="I92" s="125">
        <v>0</v>
      </c>
      <c r="J92" s="125">
        <v>0</v>
      </c>
      <c r="K92" s="126">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858" t="s">
        <v>60</v>
      </c>
      <c r="B96" s="2860" t="s">
        <v>61</v>
      </c>
      <c r="C96" s="2861" t="s">
        <v>8</v>
      </c>
      <c r="D96" s="2735" t="s">
        <v>62</v>
      </c>
      <c r="E96" s="2736"/>
      <c r="F96" s="1539" t="s">
        <v>63</v>
      </c>
      <c r="G96" s="1720"/>
      <c r="H96" s="1720"/>
      <c r="I96" s="1720"/>
      <c r="J96" s="1720"/>
      <c r="K96" s="1720"/>
      <c r="L96" s="1720"/>
      <c r="M96" s="1721"/>
      <c r="N96" s="177"/>
      <c r="O96" s="177"/>
      <c r="P96" s="177"/>
    </row>
    <row r="97" spans="1:16" ht="100.5" customHeight="1">
      <c r="A97" s="2859"/>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552"/>
      <c r="B98" s="2025"/>
      <c r="C98" s="112">
        <v>2014</v>
      </c>
      <c r="D98" s="33"/>
      <c r="E98" s="34"/>
      <c r="F98" s="186"/>
      <c r="G98" s="187"/>
      <c r="H98" s="187"/>
      <c r="I98" s="187"/>
      <c r="J98" s="187"/>
      <c r="K98" s="187"/>
      <c r="L98" s="187"/>
      <c r="M98" s="188"/>
      <c r="N98" s="177"/>
      <c r="O98" s="177"/>
      <c r="P98" s="177"/>
    </row>
    <row r="99" spans="1:16" ht="16.5" customHeight="1">
      <c r="A99" s="2553"/>
      <c r="B99" s="2025"/>
      <c r="C99" s="116">
        <v>2015</v>
      </c>
      <c r="D99" s="50"/>
      <c r="E99" s="42"/>
      <c r="F99" s="189"/>
      <c r="G99" s="190"/>
      <c r="H99" s="190"/>
      <c r="I99" s="190"/>
      <c r="J99" s="190"/>
      <c r="K99" s="190"/>
      <c r="L99" s="190"/>
      <c r="M99" s="193"/>
      <c r="N99" s="177"/>
      <c r="O99" s="177"/>
      <c r="P99" s="177"/>
    </row>
    <row r="100" spans="1:16" ht="16.5" customHeight="1">
      <c r="A100" s="2553"/>
      <c r="B100" s="2025"/>
      <c r="C100" s="116">
        <v>2016</v>
      </c>
      <c r="D100" s="50"/>
      <c r="E100" s="42"/>
      <c r="F100" s="189"/>
      <c r="G100" s="190"/>
      <c r="H100" s="190"/>
      <c r="I100" s="190"/>
      <c r="J100" s="190"/>
      <c r="K100" s="190"/>
      <c r="L100" s="190"/>
      <c r="M100" s="193"/>
      <c r="N100" s="177"/>
      <c r="O100" s="177"/>
      <c r="P100" s="177"/>
    </row>
    <row r="101" spans="1:16" ht="16.5" customHeight="1">
      <c r="A101" s="2553"/>
      <c r="B101" s="2025"/>
      <c r="C101" s="116">
        <v>2017</v>
      </c>
      <c r="D101" s="50"/>
      <c r="E101" s="42"/>
      <c r="F101" s="189"/>
      <c r="G101" s="190"/>
      <c r="H101" s="190"/>
      <c r="I101" s="190"/>
      <c r="J101" s="190"/>
      <c r="K101" s="190"/>
      <c r="L101" s="190"/>
      <c r="M101" s="193"/>
      <c r="N101" s="177"/>
      <c r="O101" s="177"/>
      <c r="P101" s="177"/>
    </row>
    <row r="102" spans="1:16" ht="15.75" customHeight="1">
      <c r="A102" s="2553"/>
      <c r="B102" s="2025"/>
      <c r="C102" s="116">
        <v>2018</v>
      </c>
      <c r="D102" s="50"/>
      <c r="E102" s="42"/>
      <c r="F102" s="189"/>
      <c r="G102" s="190"/>
      <c r="H102" s="190"/>
      <c r="I102" s="190"/>
      <c r="J102" s="190"/>
      <c r="K102" s="190"/>
      <c r="L102" s="190"/>
      <c r="M102" s="193"/>
      <c r="N102" s="177"/>
      <c r="O102" s="177"/>
      <c r="P102" s="177"/>
    </row>
    <row r="103" spans="1:16" ht="14.25" customHeight="1">
      <c r="A103" s="2553"/>
      <c r="B103" s="2025"/>
      <c r="C103" s="116">
        <v>2019</v>
      </c>
      <c r="D103" s="50"/>
      <c r="E103" s="42"/>
      <c r="F103" s="189"/>
      <c r="G103" s="190"/>
      <c r="H103" s="190"/>
      <c r="I103" s="190"/>
      <c r="J103" s="190"/>
      <c r="K103" s="190"/>
      <c r="L103" s="190"/>
      <c r="M103" s="193"/>
      <c r="N103" s="177"/>
      <c r="O103" s="177"/>
      <c r="P103" s="177"/>
    </row>
    <row r="104" spans="1:16" ht="14.25" customHeight="1">
      <c r="A104" s="2553"/>
      <c r="B104" s="2025"/>
      <c r="C104" s="116">
        <v>2020</v>
      </c>
      <c r="D104" s="50"/>
      <c r="E104" s="42"/>
      <c r="F104" s="189"/>
      <c r="G104" s="190"/>
      <c r="H104" s="190"/>
      <c r="I104" s="190"/>
      <c r="J104" s="190"/>
      <c r="K104" s="190"/>
      <c r="L104" s="190"/>
      <c r="M104" s="193"/>
      <c r="N104" s="177"/>
      <c r="O104" s="177"/>
      <c r="P104" s="177"/>
    </row>
    <row r="105" spans="1:16" ht="19.5" customHeight="1" thickBot="1">
      <c r="A105" s="2046"/>
      <c r="B105" s="2027"/>
      <c r="C105" s="122" t="s">
        <v>12</v>
      </c>
      <c r="D105" s="151">
        <v>0</v>
      </c>
      <c r="E105" s="125">
        <v>0</v>
      </c>
      <c r="F105" s="194">
        <v>0</v>
      </c>
      <c r="G105" s="195">
        <v>0</v>
      </c>
      <c r="H105" s="195">
        <v>0</v>
      </c>
      <c r="I105" s="195">
        <v>0</v>
      </c>
      <c r="J105" s="195">
        <v>0</v>
      </c>
      <c r="K105" s="195">
        <v>0</v>
      </c>
      <c r="L105" s="195">
        <v>0</v>
      </c>
      <c r="M105" s="196">
        <v>0</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858" t="s">
        <v>69</v>
      </c>
      <c r="B107" s="2860" t="s">
        <v>61</v>
      </c>
      <c r="C107" s="2861" t="s">
        <v>8</v>
      </c>
      <c r="D107" s="2670" t="s">
        <v>70</v>
      </c>
      <c r="E107" s="1539" t="s">
        <v>71</v>
      </c>
      <c r="F107" s="1720"/>
      <c r="G107" s="1720"/>
      <c r="H107" s="1720"/>
      <c r="I107" s="1720"/>
      <c r="J107" s="1720"/>
      <c r="K107" s="1720"/>
      <c r="L107" s="1721"/>
      <c r="M107" s="199"/>
      <c r="N107" s="199"/>
    </row>
    <row r="108" spans="1:16" ht="103.5" customHeight="1">
      <c r="A108" s="2859"/>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552"/>
      <c r="B109" s="2025"/>
      <c r="C109" s="112">
        <v>2014</v>
      </c>
      <c r="D109" s="34"/>
      <c r="E109" s="186"/>
      <c r="F109" s="187"/>
      <c r="G109" s="187"/>
      <c r="H109" s="187"/>
      <c r="I109" s="187"/>
      <c r="J109" s="187"/>
      <c r="K109" s="187"/>
      <c r="L109" s="188"/>
      <c r="M109" s="199"/>
      <c r="N109" s="199"/>
    </row>
    <row r="110" spans="1:16">
      <c r="A110" s="2553"/>
      <c r="B110" s="2025"/>
      <c r="C110" s="116">
        <v>2015</v>
      </c>
      <c r="D110" s="42"/>
      <c r="E110" s="189"/>
      <c r="F110" s="190"/>
      <c r="G110" s="190"/>
      <c r="H110" s="190"/>
      <c r="I110" s="190"/>
      <c r="J110" s="190"/>
      <c r="K110" s="190"/>
      <c r="L110" s="193"/>
      <c r="M110" s="199"/>
      <c r="N110" s="199"/>
    </row>
    <row r="111" spans="1:16">
      <c r="A111" s="2553"/>
      <c r="B111" s="2025"/>
      <c r="C111" s="116">
        <v>2016</v>
      </c>
      <c r="D111" s="42"/>
      <c r="E111" s="189"/>
      <c r="F111" s="190"/>
      <c r="G111" s="190"/>
      <c r="H111" s="190"/>
      <c r="I111" s="190"/>
      <c r="J111" s="190"/>
      <c r="K111" s="190"/>
      <c r="L111" s="193"/>
      <c r="M111" s="199"/>
      <c r="N111" s="199"/>
    </row>
    <row r="112" spans="1:16">
      <c r="A112" s="2553"/>
      <c r="B112" s="2025"/>
      <c r="C112" s="116">
        <v>2017</v>
      </c>
      <c r="D112" s="42"/>
      <c r="E112" s="189"/>
      <c r="F112" s="190"/>
      <c r="G112" s="190"/>
      <c r="H112" s="190"/>
      <c r="I112" s="190"/>
      <c r="J112" s="190"/>
      <c r="K112" s="190"/>
      <c r="L112" s="193"/>
      <c r="M112" s="199"/>
      <c r="N112" s="199"/>
    </row>
    <row r="113" spans="1:14">
      <c r="A113" s="2553"/>
      <c r="B113" s="2025"/>
      <c r="C113" s="116">
        <v>2018</v>
      </c>
      <c r="D113" s="42"/>
      <c r="E113" s="189"/>
      <c r="F113" s="190"/>
      <c r="G113" s="190"/>
      <c r="H113" s="190"/>
      <c r="I113" s="190"/>
      <c r="J113" s="190"/>
      <c r="K113" s="190"/>
      <c r="L113" s="193"/>
      <c r="M113" s="199"/>
      <c r="N113" s="199"/>
    </row>
    <row r="114" spans="1:14">
      <c r="A114" s="2553"/>
      <c r="B114" s="2025"/>
      <c r="C114" s="116">
        <v>2019</v>
      </c>
      <c r="D114" s="42"/>
      <c r="E114" s="189"/>
      <c r="F114" s="190"/>
      <c r="G114" s="190"/>
      <c r="H114" s="190"/>
      <c r="I114" s="190"/>
      <c r="J114" s="190"/>
      <c r="K114" s="190"/>
      <c r="L114" s="193"/>
      <c r="M114" s="199"/>
      <c r="N114" s="199"/>
    </row>
    <row r="115" spans="1:14">
      <c r="A115" s="2553"/>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v>0</v>
      </c>
      <c r="E116" s="194">
        <v>0</v>
      </c>
      <c r="F116" s="195">
        <v>0</v>
      </c>
      <c r="G116" s="195">
        <v>0</v>
      </c>
      <c r="H116" s="195">
        <v>0</v>
      </c>
      <c r="I116" s="195">
        <v>0</v>
      </c>
      <c r="J116" s="195"/>
      <c r="K116" s="195">
        <v>0</v>
      </c>
      <c r="L116" s="196">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858" t="s">
        <v>72</v>
      </c>
      <c r="B118" s="2860" t="s">
        <v>61</v>
      </c>
      <c r="C118" s="2861" t="s">
        <v>8</v>
      </c>
      <c r="D118" s="2670" t="s">
        <v>73</v>
      </c>
      <c r="E118" s="1539" t="s">
        <v>71</v>
      </c>
      <c r="F118" s="1720"/>
      <c r="G118" s="1720"/>
      <c r="H118" s="1720"/>
      <c r="I118" s="1720"/>
      <c r="J118" s="1720"/>
      <c r="K118" s="1720"/>
      <c r="L118" s="1721"/>
      <c r="M118" s="199"/>
      <c r="N118" s="199"/>
    </row>
    <row r="119" spans="1:14" ht="120.75" customHeight="1">
      <c r="A119" s="2859"/>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552"/>
      <c r="B120" s="2025"/>
      <c r="C120" s="112">
        <v>2014</v>
      </c>
      <c r="D120" s="34"/>
      <c r="E120" s="186"/>
      <c r="F120" s="187"/>
      <c r="G120" s="187"/>
      <c r="H120" s="187"/>
      <c r="I120" s="187"/>
      <c r="J120" s="187"/>
      <c r="K120" s="187"/>
      <c r="L120" s="188"/>
      <c r="M120" s="199"/>
      <c r="N120" s="199"/>
    </row>
    <row r="121" spans="1:14">
      <c r="A121" s="2553"/>
      <c r="B121" s="2025"/>
      <c r="C121" s="116">
        <v>2015</v>
      </c>
      <c r="D121" s="42"/>
      <c r="E121" s="189"/>
      <c r="F121" s="190"/>
      <c r="G121" s="190"/>
      <c r="H121" s="190"/>
      <c r="I121" s="190"/>
      <c r="J121" s="190"/>
      <c r="K121" s="190"/>
      <c r="L121" s="193"/>
      <c r="M121" s="199"/>
      <c r="N121" s="199"/>
    </row>
    <row r="122" spans="1:14">
      <c r="A122" s="2553"/>
      <c r="B122" s="2025"/>
      <c r="C122" s="116">
        <v>2016</v>
      </c>
      <c r="D122" s="42"/>
      <c r="E122" s="189"/>
      <c r="F122" s="190"/>
      <c r="G122" s="190"/>
      <c r="H122" s="190"/>
      <c r="I122" s="190"/>
      <c r="J122" s="190"/>
      <c r="K122" s="190"/>
      <c r="L122" s="193"/>
      <c r="M122" s="199"/>
      <c r="N122" s="199"/>
    </row>
    <row r="123" spans="1:14">
      <c r="A123" s="2553"/>
      <c r="B123" s="2025"/>
      <c r="C123" s="116">
        <v>2017</v>
      </c>
      <c r="D123" s="42"/>
      <c r="E123" s="189"/>
      <c r="F123" s="190"/>
      <c r="G123" s="190"/>
      <c r="H123" s="190"/>
      <c r="I123" s="190"/>
      <c r="J123" s="190"/>
      <c r="K123" s="190"/>
      <c r="L123" s="193"/>
      <c r="M123" s="199"/>
      <c r="N123" s="199"/>
    </row>
    <row r="124" spans="1:14">
      <c r="A124" s="2553"/>
      <c r="B124" s="2025"/>
      <c r="C124" s="116">
        <v>2018</v>
      </c>
      <c r="D124" s="42"/>
      <c r="E124" s="189"/>
      <c r="F124" s="190"/>
      <c r="G124" s="190"/>
      <c r="H124" s="190"/>
      <c r="I124" s="190"/>
      <c r="J124" s="190"/>
      <c r="K124" s="190"/>
      <c r="L124" s="193"/>
      <c r="M124" s="199"/>
      <c r="N124" s="199"/>
    </row>
    <row r="125" spans="1:14">
      <c r="A125" s="2553"/>
      <c r="B125" s="2025"/>
      <c r="C125" s="116">
        <v>2019</v>
      </c>
      <c r="D125" s="42"/>
      <c r="E125" s="189"/>
      <c r="F125" s="190"/>
      <c r="G125" s="190"/>
      <c r="H125" s="190"/>
      <c r="I125" s="190"/>
      <c r="J125" s="190"/>
      <c r="K125" s="190"/>
      <c r="L125" s="193"/>
      <c r="M125" s="199"/>
      <c r="N125" s="199"/>
    </row>
    <row r="126" spans="1:14">
      <c r="A126" s="2553"/>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v>0</v>
      </c>
      <c r="E127" s="194">
        <v>0</v>
      </c>
      <c r="F127" s="195">
        <v>0</v>
      </c>
      <c r="G127" s="195">
        <v>0</v>
      </c>
      <c r="H127" s="195">
        <v>0</v>
      </c>
      <c r="I127" s="195">
        <v>0</v>
      </c>
      <c r="J127" s="195"/>
      <c r="K127" s="195">
        <v>0</v>
      </c>
      <c r="L127" s="196">
        <v>0</v>
      </c>
      <c r="M127" s="199"/>
      <c r="N127" s="199"/>
    </row>
    <row r="128" spans="1:14" ht="15.75" thickBot="1">
      <c r="A128" s="197"/>
      <c r="B128" s="197"/>
      <c r="C128" s="198"/>
      <c r="D128" s="8"/>
      <c r="E128" s="8"/>
      <c r="H128" s="199"/>
      <c r="I128" s="199"/>
      <c r="J128" s="199"/>
      <c r="K128" s="199"/>
      <c r="L128" s="199"/>
      <c r="M128" s="199"/>
      <c r="N128" s="199"/>
    </row>
    <row r="129" spans="1:16" ht="15" customHeight="1">
      <c r="A129" s="2858" t="s">
        <v>74</v>
      </c>
      <c r="B129" s="2860" t="s">
        <v>61</v>
      </c>
      <c r="C129" s="1722" t="s">
        <v>8</v>
      </c>
      <c r="D129" s="1542" t="s">
        <v>75</v>
      </c>
      <c r="E129" s="1723"/>
      <c r="F129" s="1723"/>
      <c r="G129" s="1543"/>
      <c r="H129" s="199"/>
      <c r="I129" s="199"/>
      <c r="J129" s="199"/>
      <c r="K129" s="199"/>
      <c r="L129" s="199"/>
      <c r="M129" s="199"/>
      <c r="N129" s="199"/>
    </row>
    <row r="130" spans="1:16" ht="77.25" customHeight="1">
      <c r="A130" s="2859"/>
      <c r="B130" s="2043"/>
      <c r="C130" s="1663"/>
      <c r="D130" s="178" t="s">
        <v>76</v>
      </c>
      <c r="E130" s="207" t="s">
        <v>77</v>
      </c>
      <c r="F130" s="179" t="s">
        <v>78</v>
      </c>
      <c r="G130" s="208" t="s">
        <v>12</v>
      </c>
      <c r="H130" s="199"/>
      <c r="I130" s="199"/>
      <c r="J130" s="199"/>
      <c r="K130" s="199"/>
      <c r="L130" s="199"/>
      <c r="M130" s="199"/>
      <c r="N130" s="199"/>
    </row>
    <row r="131" spans="1:16" ht="15" customHeight="1">
      <c r="A131" s="2550"/>
      <c r="B131" s="1988"/>
      <c r="C131" s="112">
        <v>2015</v>
      </c>
      <c r="D131" s="33"/>
      <c r="E131" s="34"/>
      <c r="F131" s="34"/>
      <c r="G131" s="209">
        <v>0</v>
      </c>
      <c r="H131" s="199"/>
      <c r="I131" s="199"/>
      <c r="J131" s="199"/>
      <c r="K131" s="199"/>
      <c r="L131" s="199"/>
      <c r="M131" s="199"/>
      <c r="N131" s="199"/>
    </row>
    <row r="132" spans="1:16">
      <c r="A132" s="2551"/>
      <c r="B132" s="1988"/>
      <c r="C132" s="116">
        <v>2016</v>
      </c>
      <c r="D132" s="50"/>
      <c r="E132" s="42"/>
      <c r="F132" s="42"/>
      <c r="G132" s="209">
        <v>0</v>
      </c>
      <c r="H132" s="199"/>
      <c r="I132" s="199"/>
      <c r="J132" s="199"/>
      <c r="K132" s="199"/>
      <c r="L132" s="199"/>
      <c r="M132" s="199"/>
      <c r="N132" s="199"/>
    </row>
    <row r="133" spans="1:16">
      <c r="A133" s="2551"/>
      <c r="B133" s="1988"/>
      <c r="C133" s="116">
        <v>2017</v>
      </c>
      <c r="D133" s="50"/>
      <c r="E133" s="42"/>
      <c r="F133" s="42"/>
      <c r="G133" s="209">
        <v>0</v>
      </c>
      <c r="H133" s="199"/>
      <c r="I133" s="199"/>
      <c r="J133" s="199"/>
      <c r="K133" s="199"/>
      <c r="L133" s="199"/>
      <c r="M133" s="199"/>
      <c r="N133" s="199"/>
    </row>
    <row r="134" spans="1:16">
      <c r="A134" s="2551"/>
      <c r="B134" s="1988"/>
      <c r="C134" s="116">
        <v>2018</v>
      </c>
      <c r="D134" s="50"/>
      <c r="E134" s="42"/>
      <c r="F134" s="42"/>
      <c r="G134" s="209">
        <v>0</v>
      </c>
      <c r="H134" s="199"/>
      <c r="I134" s="199"/>
      <c r="J134" s="199"/>
      <c r="K134" s="199"/>
      <c r="L134" s="199"/>
      <c r="M134" s="199"/>
      <c r="N134" s="199"/>
    </row>
    <row r="135" spans="1:16">
      <c r="A135" s="2551"/>
      <c r="B135" s="1988"/>
      <c r="C135" s="116">
        <v>2019</v>
      </c>
      <c r="D135" s="50"/>
      <c r="E135" s="42"/>
      <c r="F135" s="42"/>
      <c r="G135" s="209">
        <v>0</v>
      </c>
      <c r="H135" s="199"/>
      <c r="I135" s="199"/>
      <c r="J135" s="199"/>
      <c r="K135" s="199"/>
      <c r="L135" s="199"/>
      <c r="M135" s="199"/>
      <c r="N135" s="199"/>
    </row>
    <row r="136" spans="1:16">
      <c r="A136" s="2551"/>
      <c r="B136" s="1988"/>
      <c r="C136" s="116">
        <v>2020</v>
      </c>
      <c r="D136" s="50"/>
      <c r="E136" s="42"/>
      <c r="F136" s="42"/>
      <c r="G136" s="209">
        <v>0</v>
      </c>
      <c r="H136" s="199"/>
      <c r="I136" s="199"/>
      <c r="J136" s="199"/>
      <c r="K136" s="199"/>
      <c r="L136" s="199"/>
      <c r="M136" s="199"/>
      <c r="N136" s="199"/>
    </row>
    <row r="137" spans="1:16" ht="17.25" customHeight="1" thickBot="1">
      <c r="A137" s="1989"/>
      <c r="B137" s="1990"/>
      <c r="C137" s="122" t="s">
        <v>12</v>
      </c>
      <c r="D137" s="151">
        <v>0</v>
      </c>
      <c r="E137" s="151">
        <v>0</v>
      </c>
      <c r="F137" s="151">
        <v>0</v>
      </c>
      <c r="G137" s="210">
        <v>0</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862" t="s">
        <v>80</v>
      </c>
      <c r="B142" s="2864" t="s">
        <v>61</v>
      </c>
      <c r="C142" s="2870" t="s">
        <v>8</v>
      </c>
      <c r="D142" s="1724" t="s">
        <v>81</v>
      </c>
      <c r="E142" s="1725"/>
      <c r="F142" s="1725"/>
      <c r="G142" s="1725"/>
      <c r="H142" s="1725"/>
      <c r="I142" s="1726"/>
      <c r="J142" s="2865" t="s">
        <v>82</v>
      </c>
      <c r="K142" s="2866"/>
      <c r="L142" s="2866"/>
      <c r="M142" s="2866"/>
      <c r="N142" s="2867"/>
      <c r="O142" s="177"/>
      <c r="P142" s="177"/>
    </row>
    <row r="143" spans="1:16" ht="113.25" customHeight="1">
      <c r="A143" s="2863"/>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552"/>
      <c r="B144" s="2025"/>
      <c r="C144" s="112">
        <v>2014</v>
      </c>
      <c r="D144" s="33"/>
      <c r="E144" s="33"/>
      <c r="F144" s="34"/>
      <c r="G144" s="187"/>
      <c r="H144" s="187"/>
      <c r="I144" s="227">
        <v>0</v>
      </c>
      <c r="J144" s="228"/>
      <c r="K144" s="229"/>
      <c r="L144" s="228"/>
      <c r="M144" s="229"/>
      <c r="N144" s="230"/>
      <c r="O144" s="177"/>
      <c r="P144" s="177"/>
    </row>
    <row r="145" spans="1:16" ht="19.5" customHeight="1">
      <c r="A145" s="2553"/>
      <c r="B145" s="2025"/>
      <c r="C145" s="116">
        <v>2015</v>
      </c>
      <c r="D145" s="50"/>
      <c r="E145" s="50"/>
      <c r="F145" s="42"/>
      <c r="G145" s="190"/>
      <c r="H145" s="190"/>
      <c r="I145" s="227">
        <v>0</v>
      </c>
      <c r="J145" s="231"/>
      <c r="K145" s="232"/>
      <c r="L145" s="231"/>
      <c r="M145" s="232"/>
      <c r="N145" s="233"/>
      <c r="O145" s="177"/>
      <c r="P145" s="177"/>
    </row>
    <row r="146" spans="1:16" ht="20.25" customHeight="1">
      <c r="A146" s="2553"/>
      <c r="B146" s="2025"/>
      <c r="C146" s="116">
        <v>2016</v>
      </c>
      <c r="D146" s="50"/>
      <c r="E146" s="50"/>
      <c r="F146" s="42"/>
      <c r="G146" s="190"/>
      <c r="H146" s="190"/>
      <c r="I146" s="227">
        <v>0</v>
      </c>
      <c r="J146" s="231"/>
      <c r="K146" s="232"/>
      <c r="L146" s="231"/>
      <c r="M146" s="232"/>
      <c r="N146" s="233"/>
      <c r="O146" s="177"/>
      <c r="P146" s="177"/>
    </row>
    <row r="147" spans="1:16" ht="17.25" customHeight="1">
      <c r="A147" s="2553"/>
      <c r="B147" s="2025"/>
      <c r="C147" s="116">
        <v>2017</v>
      </c>
      <c r="D147" s="50"/>
      <c r="E147" s="50"/>
      <c r="F147" s="42"/>
      <c r="G147" s="190"/>
      <c r="H147" s="190"/>
      <c r="I147" s="227">
        <v>0</v>
      </c>
      <c r="J147" s="231"/>
      <c r="K147" s="232"/>
      <c r="L147" s="231"/>
      <c r="M147" s="232"/>
      <c r="N147" s="233"/>
      <c r="O147" s="177"/>
      <c r="P147" s="177"/>
    </row>
    <row r="148" spans="1:16" ht="19.5" customHeight="1">
      <c r="A148" s="2553"/>
      <c r="B148" s="2025"/>
      <c r="C148" s="116">
        <v>2018</v>
      </c>
      <c r="D148" s="50"/>
      <c r="E148" s="50"/>
      <c r="F148" s="42"/>
      <c r="G148" s="190"/>
      <c r="H148" s="190"/>
      <c r="I148" s="227">
        <v>0</v>
      </c>
      <c r="J148" s="231"/>
      <c r="K148" s="232"/>
      <c r="L148" s="231"/>
      <c r="M148" s="232"/>
      <c r="N148" s="233"/>
      <c r="O148" s="177"/>
      <c r="P148" s="177"/>
    </row>
    <row r="149" spans="1:16" ht="19.5" customHeight="1">
      <c r="A149" s="2553"/>
      <c r="B149" s="2025"/>
      <c r="C149" s="116">
        <v>2019</v>
      </c>
      <c r="D149" s="50"/>
      <c r="E149" s="50"/>
      <c r="F149" s="42"/>
      <c r="G149" s="190"/>
      <c r="H149" s="190"/>
      <c r="I149" s="227">
        <v>0</v>
      </c>
      <c r="J149" s="231"/>
      <c r="K149" s="232"/>
      <c r="L149" s="231"/>
      <c r="M149" s="232"/>
      <c r="N149" s="233"/>
      <c r="O149" s="177"/>
      <c r="P149" s="177"/>
    </row>
    <row r="150" spans="1:16" ht="18.75" customHeight="1">
      <c r="A150" s="2553"/>
      <c r="B150" s="2025"/>
      <c r="C150" s="116">
        <v>2020</v>
      </c>
      <c r="D150" s="50"/>
      <c r="E150" s="50"/>
      <c r="F150" s="42"/>
      <c r="G150" s="190"/>
      <c r="H150" s="190"/>
      <c r="I150" s="227">
        <v>0</v>
      </c>
      <c r="J150" s="231"/>
      <c r="K150" s="232"/>
      <c r="L150" s="231"/>
      <c r="M150" s="232"/>
      <c r="N150" s="233"/>
      <c r="O150" s="177"/>
      <c r="P150" s="177"/>
    </row>
    <row r="151" spans="1:16" ht="18" customHeight="1" thickBot="1">
      <c r="A151" s="2026"/>
      <c r="B151" s="2027"/>
      <c r="C151" s="122" t="s">
        <v>12</v>
      </c>
      <c r="D151" s="151">
        <v>0</v>
      </c>
      <c r="E151" s="151">
        <v>0</v>
      </c>
      <c r="F151" s="151">
        <v>0</v>
      </c>
      <c r="G151" s="151">
        <v>0</v>
      </c>
      <c r="H151" s="151">
        <v>0</v>
      </c>
      <c r="I151" s="234">
        <v>0</v>
      </c>
      <c r="J151" s="235">
        <v>0</v>
      </c>
      <c r="K151" s="236">
        <v>0</v>
      </c>
      <c r="L151" s="235">
        <v>0</v>
      </c>
      <c r="M151" s="236">
        <v>0</v>
      </c>
      <c r="N151" s="237">
        <v>0</v>
      </c>
      <c r="O151" s="177"/>
      <c r="P151" s="177"/>
    </row>
    <row r="152" spans="1:16" ht="27" customHeight="1" thickBot="1">
      <c r="B152" s="238"/>
      <c r="O152" s="177"/>
      <c r="P152" s="177"/>
    </row>
    <row r="153" spans="1:16" ht="35.25" customHeight="1">
      <c r="A153" s="2868" t="s">
        <v>93</v>
      </c>
      <c r="B153" s="2864" t="s">
        <v>61</v>
      </c>
      <c r="C153" s="2869" t="s">
        <v>8</v>
      </c>
      <c r="D153" s="1727" t="s">
        <v>94</v>
      </c>
      <c r="E153" s="1727"/>
      <c r="F153" s="1728"/>
      <c r="G153" s="1728"/>
      <c r="H153" s="1727" t="s">
        <v>95</v>
      </c>
      <c r="I153" s="1727"/>
      <c r="J153" s="1729"/>
      <c r="K153" s="31"/>
      <c r="L153" s="31"/>
      <c r="M153" s="31"/>
      <c r="N153" s="31"/>
      <c r="O153" s="177"/>
      <c r="P153" s="177"/>
    </row>
    <row r="154" spans="1:16" ht="49.5" customHeight="1">
      <c r="A154" s="2556"/>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552"/>
      <c r="B155" s="2025"/>
      <c r="C155" s="247">
        <v>2014</v>
      </c>
      <c r="D155" s="228"/>
      <c r="E155" s="187"/>
      <c r="F155" s="229"/>
      <c r="G155" s="227">
        <v>0</v>
      </c>
      <c r="H155" s="228"/>
      <c r="I155" s="187"/>
      <c r="J155" s="188"/>
      <c r="O155" s="177"/>
      <c r="P155" s="177"/>
    </row>
    <row r="156" spans="1:16" ht="19.5" customHeight="1">
      <c r="A156" s="2553"/>
      <c r="B156" s="2025"/>
      <c r="C156" s="248">
        <v>2015</v>
      </c>
      <c r="D156" s="231"/>
      <c r="E156" s="190"/>
      <c r="F156" s="232"/>
      <c r="G156" s="227">
        <v>0</v>
      </c>
      <c r="H156" s="231"/>
      <c r="I156" s="190"/>
      <c r="J156" s="193"/>
      <c r="O156" s="177"/>
      <c r="P156" s="177"/>
    </row>
    <row r="157" spans="1:16" ht="17.25" customHeight="1">
      <c r="A157" s="2553"/>
      <c r="B157" s="2025"/>
      <c r="C157" s="248">
        <v>2016</v>
      </c>
      <c r="D157" s="231"/>
      <c r="E157" s="190"/>
      <c r="F157" s="232"/>
      <c r="G157" s="227">
        <v>0</v>
      </c>
      <c r="H157" s="231"/>
      <c r="I157" s="190"/>
      <c r="J157" s="193"/>
      <c r="O157" s="177"/>
      <c r="P157" s="177"/>
    </row>
    <row r="158" spans="1:16" ht="15" customHeight="1">
      <c r="A158" s="2553"/>
      <c r="B158" s="2025"/>
      <c r="C158" s="248">
        <v>2017</v>
      </c>
      <c r="D158" s="231"/>
      <c r="E158" s="190"/>
      <c r="F158" s="232"/>
      <c r="G158" s="227">
        <v>0</v>
      </c>
      <c r="H158" s="231"/>
      <c r="I158" s="190"/>
      <c r="J158" s="193"/>
      <c r="O158" s="177"/>
      <c r="P158" s="177"/>
    </row>
    <row r="159" spans="1:16" ht="19.5" customHeight="1">
      <c r="A159" s="2553"/>
      <c r="B159" s="2025"/>
      <c r="C159" s="248">
        <v>2018</v>
      </c>
      <c r="D159" s="231"/>
      <c r="E159" s="190"/>
      <c r="F159" s="232"/>
      <c r="G159" s="227">
        <v>0</v>
      </c>
      <c r="H159" s="231"/>
      <c r="I159" s="190"/>
      <c r="J159" s="193"/>
      <c r="O159" s="177"/>
      <c r="P159" s="177"/>
    </row>
    <row r="160" spans="1:16" ht="15" customHeight="1">
      <c r="A160" s="2553"/>
      <c r="B160" s="2025"/>
      <c r="C160" s="248">
        <v>2019</v>
      </c>
      <c r="D160" s="231"/>
      <c r="E160" s="190"/>
      <c r="F160" s="232"/>
      <c r="G160" s="227">
        <v>0</v>
      </c>
      <c r="H160" s="231"/>
      <c r="I160" s="190"/>
      <c r="J160" s="193"/>
      <c r="O160" s="177"/>
      <c r="P160" s="177"/>
    </row>
    <row r="161" spans="1:18" ht="17.25" customHeight="1">
      <c r="A161" s="2553"/>
      <c r="B161" s="2025"/>
      <c r="C161" s="248">
        <v>2020</v>
      </c>
      <c r="D161" s="231"/>
      <c r="E161" s="190"/>
      <c r="F161" s="232"/>
      <c r="G161" s="227">
        <v>0</v>
      </c>
      <c r="H161" s="231"/>
      <c r="I161" s="190"/>
      <c r="J161" s="193"/>
      <c r="O161" s="177"/>
      <c r="P161" s="177"/>
    </row>
    <row r="162" spans="1:18" ht="15.75" thickBot="1">
      <c r="A162" s="2026"/>
      <c r="B162" s="2027"/>
      <c r="C162" s="249" t="s">
        <v>12</v>
      </c>
      <c r="D162" s="235">
        <v>0</v>
      </c>
      <c r="E162" s="195">
        <v>0</v>
      </c>
      <c r="F162" s="236">
        <v>0</v>
      </c>
      <c r="G162" s="236">
        <v>0</v>
      </c>
      <c r="H162" s="235">
        <v>0</v>
      </c>
      <c r="I162" s="195">
        <v>0</v>
      </c>
      <c r="J162" s="250">
        <v>0</v>
      </c>
    </row>
    <row r="163" spans="1:18" ht="24.75" customHeight="1" thickBot="1">
      <c r="A163" s="251"/>
      <c r="B163" s="252"/>
      <c r="C163" s="253"/>
      <c r="D163" s="177"/>
      <c r="E163" s="1730"/>
      <c r="F163" s="177"/>
      <c r="G163" s="177"/>
      <c r="H163" s="177"/>
      <c r="I163" s="177"/>
      <c r="J163" s="255"/>
      <c r="K163" s="256"/>
    </row>
    <row r="164" spans="1:18" ht="95.25" customHeight="1">
      <c r="A164" s="1549" t="s">
        <v>102</v>
      </c>
      <c r="B164" s="258" t="s">
        <v>103</v>
      </c>
      <c r="C164" s="1447" t="s">
        <v>8</v>
      </c>
      <c r="D164" s="260" t="s">
        <v>104</v>
      </c>
      <c r="E164" s="260" t="s">
        <v>105</v>
      </c>
      <c r="F164" s="1731" t="s">
        <v>106</v>
      </c>
      <c r="G164" s="260" t="s">
        <v>107</v>
      </c>
      <c r="H164" s="260" t="s">
        <v>108</v>
      </c>
      <c r="I164" s="262" t="s">
        <v>109</v>
      </c>
      <c r="J164" s="1550" t="s">
        <v>110</v>
      </c>
      <c r="K164" s="1550" t="s">
        <v>111</v>
      </c>
      <c r="L164" s="1371"/>
    </row>
    <row r="165" spans="1:18" ht="15.75" customHeight="1">
      <c r="A165" s="2011"/>
      <c r="B165" s="2012"/>
      <c r="C165" s="265">
        <v>2014</v>
      </c>
      <c r="D165" s="187"/>
      <c r="E165" s="187"/>
      <c r="F165" s="187"/>
      <c r="G165" s="187"/>
      <c r="H165" s="187"/>
      <c r="I165" s="188"/>
      <c r="J165" s="1569">
        <v>0</v>
      </c>
      <c r="K165" s="267">
        <v>0</v>
      </c>
      <c r="L165" s="1371"/>
    </row>
    <row r="166" spans="1:18">
      <c r="A166" s="2013"/>
      <c r="B166" s="2014"/>
      <c r="C166" s="268">
        <v>2015</v>
      </c>
      <c r="D166" s="269"/>
      <c r="E166" s="269"/>
      <c r="F166" s="269"/>
      <c r="G166" s="269"/>
      <c r="H166" s="269"/>
      <c r="I166" s="270"/>
      <c r="J166" s="1570">
        <v>0</v>
      </c>
      <c r="K166" s="272">
        <v>0</v>
      </c>
      <c r="L166" s="1371"/>
    </row>
    <row r="167" spans="1:18">
      <c r="A167" s="2013"/>
      <c r="B167" s="2014"/>
      <c r="C167" s="268">
        <v>2016</v>
      </c>
      <c r="D167" s="269"/>
      <c r="E167" s="269"/>
      <c r="F167" s="269"/>
      <c r="G167" s="269"/>
      <c r="H167" s="269"/>
      <c r="I167" s="270"/>
      <c r="J167" s="1570">
        <v>0</v>
      </c>
      <c r="K167" s="272">
        <v>0</v>
      </c>
    </row>
    <row r="168" spans="1:18">
      <c r="A168" s="2013"/>
      <c r="B168" s="2014"/>
      <c r="C168" s="268">
        <v>2017</v>
      </c>
      <c r="D168" s="269"/>
      <c r="E168" s="177"/>
      <c r="F168" s="269"/>
      <c r="G168" s="269"/>
      <c r="H168" s="269"/>
      <c r="I168" s="270"/>
      <c r="J168" s="1570">
        <v>0</v>
      </c>
      <c r="K168" s="272">
        <v>0</v>
      </c>
    </row>
    <row r="169" spans="1:18">
      <c r="A169" s="2013"/>
      <c r="B169" s="2014"/>
      <c r="C169" s="273">
        <v>2018</v>
      </c>
      <c r="D169" s="269"/>
      <c r="E169" s="269"/>
      <c r="F169" s="269"/>
      <c r="G169" s="274"/>
      <c r="H169" s="269"/>
      <c r="I169" s="270"/>
      <c r="J169" s="1570">
        <v>0</v>
      </c>
      <c r="K169" s="272">
        <v>0</v>
      </c>
      <c r="L169" s="1371"/>
    </row>
    <row r="170" spans="1:18">
      <c r="A170" s="2013"/>
      <c r="B170" s="2014"/>
      <c r="C170" s="268">
        <v>2019</v>
      </c>
      <c r="D170" s="177"/>
      <c r="E170" s="269"/>
      <c r="F170" s="269"/>
      <c r="G170" s="269"/>
      <c r="H170" s="274"/>
      <c r="I170" s="270"/>
      <c r="J170" s="1570">
        <v>0</v>
      </c>
      <c r="K170" s="272">
        <v>0</v>
      </c>
      <c r="L170" s="1371"/>
    </row>
    <row r="171" spans="1:18">
      <c r="A171" s="2013"/>
      <c r="B171" s="2014"/>
      <c r="C171" s="273">
        <v>2020</v>
      </c>
      <c r="D171" s="269"/>
      <c r="E171" s="269"/>
      <c r="F171" s="269"/>
      <c r="G171" s="269"/>
      <c r="H171" s="269"/>
      <c r="I171" s="270"/>
      <c r="J171" s="1570">
        <v>0</v>
      </c>
      <c r="K171" s="272">
        <v>0</v>
      </c>
      <c r="L171" s="1371"/>
    </row>
    <row r="172" spans="1:18" ht="41.25" customHeight="1" thickBot="1">
      <c r="A172" s="2015"/>
      <c r="B172" s="2016"/>
      <c r="C172" s="275" t="s">
        <v>12</v>
      </c>
      <c r="D172" s="195">
        <v>0</v>
      </c>
      <c r="E172" s="195">
        <v>0</v>
      </c>
      <c r="F172" s="195">
        <v>0</v>
      </c>
      <c r="G172" s="195">
        <v>0</v>
      </c>
      <c r="H172" s="195">
        <v>0</v>
      </c>
      <c r="I172" s="276">
        <v>0</v>
      </c>
      <c r="J172" s="277">
        <v>0</v>
      </c>
      <c r="K172" s="235">
        <v>0</v>
      </c>
      <c r="L172" s="1371"/>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872" t="s">
        <v>113</v>
      </c>
      <c r="B176" s="2874" t="s">
        <v>114</v>
      </c>
      <c r="C176" s="2875" t="s">
        <v>8</v>
      </c>
      <c r="D176" s="1551" t="s">
        <v>115</v>
      </c>
      <c r="E176" s="1732"/>
      <c r="F176" s="1732"/>
      <c r="G176" s="1733"/>
      <c r="H176" s="1553"/>
      <c r="I176" s="2751" t="s">
        <v>116</v>
      </c>
      <c r="J176" s="2876"/>
      <c r="K176" s="2876"/>
      <c r="L176" s="2876"/>
      <c r="M176" s="2876"/>
      <c r="N176" s="2876"/>
      <c r="O176" s="2877"/>
    </row>
    <row r="177" spans="1:20" s="31" customFormat="1" ht="129.75" customHeight="1">
      <c r="A177" s="2873"/>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20" ht="15" customHeight="1">
      <c r="A178" s="2878" t="s">
        <v>543</v>
      </c>
      <c r="B178" s="2879"/>
      <c r="C178" s="112">
        <v>2014</v>
      </c>
      <c r="D178" s="33"/>
      <c r="E178" s="34"/>
      <c r="F178" s="34"/>
      <c r="G178" s="293">
        <v>0</v>
      </c>
      <c r="H178" s="167"/>
      <c r="I178" s="167"/>
      <c r="J178" s="34"/>
      <c r="K178" s="34"/>
      <c r="L178" s="34"/>
      <c r="M178" s="34"/>
      <c r="N178" s="34"/>
      <c r="O178" s="37"/>
    </row>
    <row r="179" spans="1:20">
      <c r="A179" s="2878"/>
      <c r="B179" s="2879"/>
      <c r="C179" s="116">
        <v>2015</v>
      </c>
      <c r="D179" s="50"/>
      <c r="E179" s="42"/>
      <c r="F179" s="42"/>
      <c r="G179" s="293">
        <v>0</v>
      </c>
      <c r="H179" s="294"/>
      <c r="I179" s="118"/>
      <c r="J179" s="42"/>
      <c r="K179" s="42"/>
      <c r="L179" s="42"/>
      <c r="M179" s="42"/>
      <c r="N179" s="42"/>
      <c r="O179" s="99"/>
    </row>
    <row r="180" spans="1:20">
      <c r="A180" s="2878"/>
      <c r="B180" s="2879"/>
      <c r="C180" s="116">
        <v>2016</v>
      </c>
      <c r="D180" s="50">
        <v>7</v>
      </c>
      <c r="E180" s="42"/>
      <c r="F180" s="42">
        <v>1</v>
      </c>
      <c r="G180" s="293">
        <v>8</v>
      </c>
      <c r="H180" s="294">
        <v>9</v>
      </c>
      <c r="I180" s="118">
        <v>8</v>
      </c>
      <c r="J180" s="42"/>
      <c r="K180" s="42"/>
      <c r="L180" s="42"/>
      <c r="M180" s="42"/>
      <c r="N180" s="42"/>
      <c r="O180" s="99"/>
      <c r="T180" s="440"/>
    </row>
    <row r="181" spans="1:20">
      <c r="A181" s="2878"/>
      <c r="B181" s="2879"/>
      <c r="C181" s="116">
        <v>2017</v>
      </c>
      <c r="D181" s="50"/>
      <c r="E181" s="42"/>
      <c r="F181" s="42"/>
      <c r="G181" s="293">
        <v>0</v>
      </c>
      <c r="H181" s="294"/>
      <c r="I181" s="118"/>
      <c r="J181" s="42"/>
      <c r="K181" s="42"/>
      <c r="L181" s="42"/>
      <c r="M181" s="42"/>
      <c r="N181" s="42"/>
      <c r="O181" s="99"/>
    </row>
    <row r="182" spans="1:20">
      <c r="A182" s="2878"/>
      <c r="B182" s="2879"/>
      <c r="C182" s="116">
        <v>2018</v>
      </c>
      <c r="D182" s="50"/>
      <c r="E182" s="42"/>
      <c r="F182" s="42"/>
      <c r="G182" s="293">
        <v>0</v>
      </c>
      <c r="H182" s="294"/>
      <c r="I182" s="118"/>
      <c r="J182" s="42"/>
      <c r="K182" s="42"/>
      <c r="L182" s="42"/>
      <c r="M182" s="42"/>
      <c r="N182" s="42"/>
      <c r="O182" s="99"/>
    </row>
    <row r="183" spans="1:20">
      <c r="A183" s="2878"/>
      <c r="B183" s="2879"/>
      <c r="C183" s="116">
        <v>2019</v>
      </c>
      <c r="D183" s="50"/>
      <c r="E183" s="42"/>
      <c r="F183" s="42"/>
      <c r="G183" s="293">
        <v>0</v>
      </c>
      <c r="H183" s="294"/>
      <c r="I183" s="118"/>
      <c r="J183" s="42"/>
      <c r="K183" s="42"/>
      <c r="L183" s="42"/>
      <c r="M183" s="42"/>
      <c r="N183" s="42"/>
      <c r="O183" s="99"/>
    </row>
    <row r="184" spans="1:20">
      <c r="A184" s="2878"/>
      <c r="B184" s="2879"/>
      <c r="C184" s="116">
        <v>2020</v>
      </c>
      <c r="D184" s="50"/>
      <c r="E184" s="42"/>
      <c r="F184" s="42"/>
      <c r="G184" s="293">
        <v>0</v>
      </c>
      <c r="H184" s="294"/>
      <c r="I184" s="118"/>
      <c r="J184" s="42"/>
      <c r="K184" s="42"/>
      <c r="L184" s="42"/>
      <c r="M184" s="42"/>
      <c r="N184" s="42"/>
      <c r="O184" s="99"/>
    </row>
    <row r="185" spans="1:20" ht="271.5" customHeight="1" thickBot="1">
      <c r="A185" s="2880"/>
      <c r="B185" s="2881"/>
      <c r="C185" s="122" t="s">
        <v>12</v>
      </c>
      <c r="D185" s="151">
        <v>7</v>
      </c>
      <c r="E185" s="125">
        <v>0</v>
      </c>
      <c r="F185" s="125">
        <v>1</v>
      </c>
      <c r="G185" s="234">
        <v>8</v>
      </c>
      <c r="H185" s="295">
        <v>9</v>
      </c>
      <c r="I185" s="124">
        <v>8</v>
      </c>
      <c r="J185" s="125">
        <v>0</v>
      </c>
      <c r="K185" s="125">
        <v>0</v>
      </c>
      <c r="L185" s="125">
        <v>0</v>
      </c>
      <c r="M185" s="125">
        <v>0</v>
      </c>
      <c r="N185" s="125">
        <v>0</v>
      </c>
      <c r="O185" s="126">
        <v>0</v>
      </c>
    </row>
    <row r="186" spans="1:20" ht="33" customHeight="1" thickBot="1"/>
    <row r="187" spans="1:20" ht="19.5" customHeight="1">
      <c r="A187" s="2758" t="s">
        <v>122</v>
      </c>
      <c r="B187" s="2874" t="s">
        <v>114</v>
      </c>
      <c r="C187" s="1998" t="s">
        <v>8</v>
      </c>
      <c r="D187" s="2000" t="s">
        <v>123</v>
      </c>
      <c r="E187" s="2871"/>
      <c r="F187" s="2871"/>
      <c r="G187" s="2759"/>
      <c r="H187" s="2747" t="s">
        <v>124</v>
      </c>
      <c r="I187" s="1998"/>
      <c r="J187" s="1998"/>
      <c r="K187" s="1998"/>
      <c r="L187" s="2004"/>
    </row>
    <row r="188" spans="1:20" ht="90" customHeight="1">
      <c r="A188" s="1995"/>
      <c r="B188" s="1997"/>
      <c r="C188" s="1999"/>
      <c r="D188" s="296" t="s">
        <v>125</v>
      </c>
      <c r="E188" s="296" t="s">
        <v>126</v>
      </c>
      <c r="F188" s="296" t="s">
        <v>127</v>
      </c>
      <c r="G188" s="297" t="s">
        <v>12</v>
      </c>
      <c r="H188" s="298" t="s">
        <v>128</v>
      </c>
      <c r="I188" s="296" t="s">
        <v>129</v>
      </c>
      <c r="J188" s="296" t="s">
        <v>130</v>
      </c>
      <c r="K188" s="296" t="s">
        <v>131</v>
      </c>
      <c r="L188" s="299" t="s">
        <v>132</v>
      </c>
    </row>
    <row r="189" spans="1:20" ht="15" customHeight="1">
      <c r="A189" s="2111" t="s">
        <v>544</v>
      </c>
      <c r="B189" s="2112"/>
      <c r="C189" s="392">
        <v>2014</v>
      </c>
      <c r="D189" s="142"/>
      <c r="E189" s="115"/>
      <c r="F189" s="115"/>
      <c r="G189" s="301">
        <v>0</v>
      </c>
      <c r="H189" s="114"/>
      <c r="I189" s="115"/>
      <c r="J189" s="115"/>
      <c r="K189" s="115"/>
      <c r="L189" s="143"/>
    </row>
    <row r="190" spans="1:20">
      <c r="A190" s="2557"/>
      <c r="B190" s="1988"/>
      <c r="C190" s="86">
        <v>2015</v>
      </c>
      <c r="D190" s="50"/>
      <c r="E190" s="42"/>
      <c r="F190" s="42"/>
      <c r="G190" s="301">
        <v>0</v>
      </c>
      <c r="H190" s="118"/>
      <c r="I190" s="42"/>
      <c r="J190" s="42"/>
      <c r="K190" s="42"/>
      <c r="L190" s="99"/>
    </row>
    <row r="191" spans="1:20">
      <c r="A191" s="2557"/>
      <c r="B191" s="1988"/>
      <c r="C191" s="86">
        <v>2016</v>
      </c>
      <c r="D191" s="50">
        <v>80</v>
      </c>
      <c r="E191" s="42"/>
      <c r="F191" s="42">
        <v>155</v>
      </c>
      <c r="G191" s="301">
        <v>235</v>
      </c>
      <c r="H191" s="118"/>
      <c r="I191" s="42">
        <v>4</v>
      </c>
      <c r="J191" s="42">
        <v>60</v>
      </c>
      <c r="K191" s="42">
        <v>32</v>
      </c>
      <c r="L191" s="99">
        <v>139</v>
      </c>
    </row>
    <row r="192" spans="1:20">
      <c r="A192" s="2557"/>
      <c r="B192" s="1988"/>
      <c r="C192" s="86">
        <v>2017</v>
      </c>
      <c r="D192" s="50"/>
      <c r="E192" s="42"/>
      <c r="F192" s="42"/>
      <c r="G192" s="301">
        <v>0</v>
      </c>
      <c r="H192" s="118"/>
      <c r="I192" s="42"/>
      <c r="J192" s="42"/>
      <c r="K192" s="42"/>
      <c r="L192" s="99"/>
    </row>
    <row r="193" spans="1:14">
      <c r="A193" s="2557"/>
      <c r="B193" s="1988"/>
      <c r="C193" s="86">
        <v>2018</v>
      </c>
      <c r="D193" s="50"/>
      <c r="E193" s="42"/>
      <c r="F193" s="42"/>
      <c r="G193" s="301">
        <v>0</v>
      </c>
      <c r="H193" s="118"/>
      <c r="I193" s="42"/>
      <c r="J193" s="42"/>
      <c r="K193" s="42"/>
      <c r="L193" s="99"/>
    </row>
    <row r="194" spans="1:14">
      <c r="A194" s="2557"/>
      <c r="B194" s="1988"/>
      <c r="C194" s="86">
        <v>2019</v>
      </c>
      <c r="D194" s="50"/>
      <c r="E194" s="42"/>
      <c r="F194" s="42"/>
      <c r="G194" s="301">
        <v>0</v>
      </c>
      <c r="H194" s="118"/>
      <c r="I194" s="42"/>
      <c r="J194" s="42"/>
      <c r="K194" s="42"/>
      <c r="L194" s="99"/>
    </row>
    <row r="195" spans="1:14">
      <c r="A195" s="2557"/>
      <c r="B195" s="1988"/>
      <c r="C195" s="86">
        <v>2020</v>
      </c>
      <c r="D195" s="50"/>
      <c r="E195" s="42"/>
      <c r="F195" s="42"/>
      <c r="G195" s="301">
        <v>0</v>
      </c>
      <c r="H195" s="118"/>
      <c r="I195" s="42"/>
      <c r="J195" s="42"/>
      <c r="K195" s="42"/>
      <c r="L195" s="99"/>
    </row>
    <row r="196" spans="1:14" ht="201.75" customHeight="1" thickBot="1">
      <c r="A196" s="2114"/>
      <c r="B196" s="1990"/>
      <c r="C196" s="148" t="s">
        <v>12</v>
      </c>
      <c r="D196" s="151">
        <v>80</v>
      </c>
      <c r="E196" s="125">
        <v>0</v>
      </c>
      <c r="F196" s="125">
        <v>155</v>
      </c>
      <c r="G196" s="304">
        <v>235</v>
      </c>
      <c r="H196" s="124">
        <v>0</v>
      </c>
      <c r="I196" s="125">
        <v>4</v>
      </c>
      <c r="J196" s="125">
        <v>60</v>
      </c>
      <c r="K196" s="125">
        <v>32</v>
      </c>
      <c r="L196" s="126">
        <v>139</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1734" t="s">
        <v>135</v>
      </c>
      <c r="B201" s="309" t="s">
        <v>114</v>
      </c>
      <c r="C201" s="310" t="s">
        <v>8</v>
      </c>
      <c r="D201" s="1555" t="s">
        <v>136</v>
      </c>
      <c r="E201" s="312" t="s">
        <v>137</v>
      </c>
      <c r="F201" s="312" t="s">
        <v>138</v>
      </c>
      <c r="G201" s="310" t="s">
        <v>139</v>
      </c>
      <c r="H201" s="1735" t="s">
        <v>140</v>
      </c>
      <c r="I201" s="1556" t="s">
        <v>141</v>
      </c>
      <c r="J201" s="1557" t="s">
        <v>142</v>
      </c>
      <c r="K201" s="312" t="s">
        <v>143</v>
      </c>
      <c r="L201" s="316" t="s">
        <v>144</v>
      </c>
    </row>
    <row r="202" spans="1:14" ht="15" customHeight="1">
      <c r="A202" s="2551"/>
      <c r="B202" s="1988"/>
      <c r="C202" s="84">
        <v>2014</v>
      </c>
      <c r="D202" s="33"/>
      <c r="E202" s="34"/>
      <c r="F202" s="34"/>
      <c r="G202" s="32"/>
      <c r="H202" s="317"/>
      <c r="I202" s="318"/>
      <c r="J202" s="319"/>
      <c r="K202" s="34"/>
      <c r="L202" s="37"/>
    </row>
    <row r="203" spans="1:14">
      <c r="A203" s="2551"/>
      <c r="B203" s="1988"/>
      <c r="C203" s="86">
        <v>2015</v>
      </c>
      <c r="D203" s="50"/>
      <c r="E203" s="42"/>
      <c r="F203" s="42"/>
      <c r="G203" s="39"/>
      <c r="H203" s="320"/>
      <c r="I203" s="321"/>
      <c r="J203" s="322"/>
      <c r="K203" s="42"/>
      <c r="L203" s="99"/>
    </row>
    <row r="204" spans="1:14">
      <c r="A204" s="2551"/>
      <c r="B204" s="1988"/>
      <c r="C204" s="86">
        <v>2016</v>
      </c>
      <c r="D204" s="50"/>
      <c r="E204" s="42"/>
      <c r="F204" s="42"/>
      <c r="G204" s="39"/>
      <c r="H204" s="320"/>
      <c r="I204" s="321"/>
      <c r="J204" s="322"/>
      <c r="K204" s="42"/>
      <c r="L204" s="99"/>
    </row>
    <row r="205" spans="1:14">
      <c r="A205" s="2551"/>
      <c r="B205" s="1988"/>
      <c r="C205" s="86">
        <v>2017</v>
      </c>
      <c r="D205" s="50"/>
      <c r="E205" s="42"/>
      <c r="F205" s="42"/>
      <c r="G205" s="39"/>
      <c r="H205" s="320"/>
      <c r="I205" s="321"/>
      <c r="J205" s="322"/>
      <c r="K205" s="42"/>
      <c r="L205" s="99"/>
    </row>
    <row r="206" spans="1:14">
      <c r="A206" s="2551"/>
      <c r="B206" s="1988"/>
      <c r="C206" s="86">
        <v>2018</v>
      </c>
      <c r="D206" s="50"/>
      <c r="E206" s="42"/>
      <c r="F206" s="42"/>
      <c r="G206" s="39"/>
      <c r="H206" s="320"/>
      <c r="I206" s="321"/>
      <c r="J206" s="322"/>
      <c r="K206" s="42"/>
      <c r="L206" s="99"/>
    </row>
    <row r="207" spans="1:14">
      <c r="A207" s="2551"/>
      <c r="B207" s="1988"/>
      <c r="C207" s="86">
        <v>2019</v>
      </c>
      <c r="D207" s="50"/>
      <c r="E207" s="42"/>
      <c r="F207" s="42"/>
      <c r="G207" s="39"/>
      <c r="H207" s="320"/>
      <c r="I207" s="321"/>
      <c r="J207" s="322"/>
      <c r="K207" s="42"/>
      <c r="L207" s="99"/>
    </row>
    <row r="208" spans="1:14">
      <c r="A208" s="2551"/>
      <c r="B208" s="1988"/>
      <c r="C208" s="86">
        <v>2020</v>
      </c>
      <c r="D208" s="1665"/>
      <c r="E208" s="324"/>
      <c r="F208" s="324"/>
      <c r="G208" s="325"/>
      <c r="H208" s="326"/>
      <c r="I208" s="327"/>
      <c r="J208" s="328"/>
      <c r="K208" s="324"/>
      <c r="L208" s="329"/>
    </row>
    <row r="209" spans="1:12" ht="20.25" customHeight="1" thickBot="1">
      <c r="A209" s="1989"/>
      <c r="B209" s="1990"/>
      <c r="C209" s="148" t="s">
        <v>12</v>
      </c>
      <c r="D209" s="151">
        <v>0</v>
      </c>
      <c r="E209" s="151">
        <v>0</v>
      </c>
      <c r="F209" s="151">
        <v>0</v>
      </c>
      <c r="G209" s="151">
        <v>0</v>
      </c>
      <c r="H209" s="151">
        <v>0</v>
      </c>
      <c r="I209" s="151">
        <v>0</v>
      </c>
      <c r="J209" s="151">
        <v>0</v>
      </c>
      <c r="K209" s="151">
        <v>0</v>
      </c>
      <c r="L209" s="151">
        <v>0</v>
      </c>
    </row>
    <row r="211" spans="1:12" ht="15.75" thickBot="1"/>
    <row r="212" spans="1:12" ht="29.25">
      <c r="A212" s="1736" t="s">
        <v>145</v>
      </c>
      <c r="B212" s="331" t="s">
        <v>146</v>
      </c>
      <c r="C212" s="332">
        <v>2014</v>
      </c>
      <c r="D212" s="333">
        <v>2015</v>
      </c>
      <c r="E212" s="333">
        <v>2016</v>
      </c>
      <c r="F212" s="333">
        <v>2017</v>
      </c>
      <c r="G212" s="333">
        <v>2018</v>
      </c>
      <c r="H212" s="333">
        <v>2019</v>
      </c>
      <c r="I212" s="334">
        <v>2020</v>
      </c>
    </row>
    <row r="213" spans="1:12" ht="15" customHeight="1">
      <c r="A213" t="s">
        <v>147</v>
      </c>
      <c r="B213" s="2882" t="s">
        <v>545</v>
      </c>
      <c r="C213" s="84"/>
      <c r="D213" s="403">
        <v>8554.0400000000009</v>
      </c>
      <c r="E213" s="403">
        <v>53687.01</v>
      </c>
      <c r="F213" s="147"/>
      <c r="G213" s="147"/>
      <c r="H213" s="147"/>
      <c r="I213" s="335"/>
    </row>
    <row r="214" spans="1:12">
      <c r="A214" t="s">
        <v>149</v>
      </c>
      <c r="B214" s="2883"/>
      <c r="C214" s="84"/>
      <c r="D214" s="403">
        <v>8554.0400000000009</v>
      </c>
      <c r="E214" s="403">
        <v>1474.38</v>
      </c>
      <c r="F214" s="147"/>
      <c r="G214" s="147"/>
      <c r="H214" s="147"/>
      <c r="I214" s="335"/>
    </row>
    <row r="215" spans="1:12">
      <c r="A215" t="s">
        <v>150</v>
      </c>
      <c r="B215" s="2883"/>
      <c r="C215" s="84"/>
      <c r="D215" s="147">
        <v>0</v>
      </c>
      <c r="E215" s="147">
        <v>843.95</v>
      </c>
      <c r="F215" s="147"/>
      <c r="G215" s="147"/>
      <c r="H215" s="147"/>
      <c r="I215" s="335"/>
    </row>
    <row r="216" spans="1:12">
      <c r="A216" t="s">
        <v>151</v>
      </c>
      <c r="B216" s="2883"/>
      <c r="C216" s="84"/>
      <c r="D216" s="147">
        <v>0</v>
      </c>
      <c r="E216" s="147">
        <v>0</v>
      </c>
      <c r="F216" s="147"/>
      <c r="G216" s="147"/>
      <c r="H216" s="147"/>
      <c r="I216" s="335"/>
    </row>
    <row r="217" spans="1:12">
      <c r="A217" t="s">
        <v>152</v>
      </c>
      <c r="B217" s="2883"/>
      <c r="C217" s="84"/>
      <c r="D217" s="147">
        <v>0</v>
      </c>
      <c r="E217" s="403">
        <v>51368.68</v>
      </c>
      <c r="F217" s="147"/>
      <c r="G217" s="147"/>
      <c r="H217" s="147"/>
      <c r="I217" s="335"/>
    </row>
    <row r="218" spans="1:12" ht="30">
      <c r="A218" s="31" t="s">
        <v>153</v>
      </c>
      <c r="B218" s="2883"/>
      <c r="C218" s="84"/>
      <c r="D218" s="403">
        <v>100043.61</v>
      </c>
      <c r="E218" s="403">
        <v>107791.25</v>
      </c>
      <c r="F218" s="147"/>
      <c r="G218" s="147"/>
      <c r="H218" s="147"/>
      <c r="I218" s="335"/>
    </row>
    <row r="219" spans="1:12" ht="315" customHeight="1" thickBot="1">
      <c r="A219" s="1664"/>
      <c r="B219" s="2884"/>
      <c r="C219" s="54" t="s">
        <v>12</v>
      </c>
      <c r="D219" s="337">
        <v>108597.65</v>
      </c>
      <c r="E219" s="337">
        <v>161478.26</v>
      </c>
      <c r="F219" s="337">
        <v>0</v>
      </c>
      <c r="G219" s="337">
        <v>0</v>
      </c>
      <c r="H219" s="337">
        <v>0</v>
      </c>
      <c r="I219" s="337">
        <v>0</v>
      </c>
    </row>
    <row r="220" spans="1:12">
      <c r="E220">
        <f>62241.05-60703.15</f>
        <v>1537.9000000000015</v>
      </c>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
  <dimension ref="A1:Y227"/>
  <sheetViews>
    <sheetView topLeftCell="A208" workbookViewId="0">
      <selection activeCell="D213" sqref="D213:E213"/>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505</v>
      </c>
      <c r="C1" s="2077"/>
      <c r="D1" s="2077"/>
      <c r="E1" s="2077"/>
      <c r="F1" s="2077"/>
    </row>
    <row r="2" spans="1:25" s="2" customFormat="1" ht="20.100000000000001" customHeight="1" thickBot="1"/>
    <row r="3" spans="1:25" s="5" customFormat="1" ht="20.100000000000001" customHeight="1">
      <c r="A3" s="1571" t="s">
        <v>1</v>
      </c>
      <c r="B3" s="1572"/>
      <c r="C3" s="1572"/>
      <c r="D3" s="1572"/>
      <c r="E3" s="1572"/>
      <c r="F3" s="2768"/>
      <c r="G3" s="2768"/>
      <c r="H3" s="2768"/>
      <c r="I3" s="2768"/>
      <c r="J3" s="2768"/>
      <c r="K3" s="2768"/>
      <c r="L3" s="2768"/>
      <c r="M3" s="2768"/>
      <c r="N3" s="2768"/>
      <c r="O3" s="2769"/>
    </row>
    <row r="4" spans="1:25" s="5" customFormat="1" ht="20.100000000000001" customHeight="1">
      <c r="A4" s="2760" t="s">
        <v>2</v>
      </c>
      <c r="B4" s="2081"/>
      <c r="C4" s="2081"/>
      <c r="D4" s="2081"/>
      <c r="E4" s="2081"/>
      <c r="F4" s="2081"/>
      <c r="G4" s="2081"/>
      <c r="H4" s="2081"/>
      <c r="I4" s="2081"/>
      <c r="J4" s="2081"/>
      <c r="K4" s="2081"/>
      <c r="L4" s="2081"/>
      <c r="M4" s="2081"/>
      <c r="N4" s="2081"/>
      <c r="O4" s="2082"/>
    </row>
    <row r="5" spans="1:25" s="5" customFormat="1" ht="20.100000000000001" customHeight="1">
      <c r="A5" s="2566"/>
      <c r="B5" s="2081"/>
      <c r="C5" s="2081"/>
      <c r="D5" s="2081"/>
      <c r="E5" s="2081"/>
      <c r="F5" s="2081"/>
      <c r="G5" s="2081"/>
      <c r="H5" s="2081"/>
      <c r="I5" s="2081"/>
      <c r="J5" s="2081"/>
      <c r="K5" s="2081"/>
      <c r="L5" s="2081"/>
      <c r="M5" s="2081"/>
      <c r="N5" s="2081"/>
      <c r="O5" s="2082"/>
    </row>
    <row r="6" spans="1:25" s="5" customFormat="1" ht="20.100000000000001" customHeight="1">
      <c r="A6" s="2566"/>
      <c r="B6" s="2081"/>
      <c r="C6" s="2081"/>
      <c r="D6" s="2081"/>
      <c r="E6" s="2081"/>
      <c r="F6" s="2081"/>
      <c r="G6" s="2081"/>
      <c r="H6" s="2081"/>
      <c r="I6" s="2081"/>
      <c r="J6" s="2081"/>
      <c r="K6" s="2081"/>
      <c r="L6" s="2081"/>
      <c r="M6" s="2081"/>
      <c r="N6" s="2081"/>
      <c r="O6" s="2082"/>
    </row>
    <row r="7" spans="1:25" s="5" customFormat="1" ht="20.100000000000001" customHeight="1">
      <c r="A7" s="2566"/>
      <c r="B7" s="2081"/>
      <c r="C7" s="2081"/>
      <c r="D7" s="2081"/>
      <c r="E7" s="2081"/>
      <c r="F7" s="2081"/>
      <c r="G7" s="2081"/>
      <c r="H7" s="2081"/>
      <c r="I7" s="2081"/>
      <c r="J7" s="2081"/>
      <c r="K7" s="2081"/>
      <c r="L7" s="2081"/>
      <c r="M7" s="2081"/>
      <c r="N7" s="2081"/>
      <c r="O7" s="2082"/>
    </row>
    <row r="8" spans="1:25" s="5" customFormat="1" ht="20.100000000000001" customHeight="1">
      <c r="A8" s="2566"/>
      <c r="B8" s="2081"/>
      <c r="C8" s="2081"/>
      <c r="D8" s="2081"/>
      <c r="E8" s="2081"/>
      <c r="F8" s="2081"/>
      <c r="G8" s="2081"/>
      <c r="H8" s="2081"/>
      <c r="I8" s="2081"/>
      <c r="J8" s="2081"/>
      <c r="K8" s="2081"/>
      <c r="L8" s="2081"/>
      <c r="M8" s="2081"/>
      <c r="N8" s="2081"/>
      <c r="O8" s="2082"/>
    </row>
    <row r="9" spans="1:25" s="5" customFormat="1" ht="20.100000000000001" customHeight="1">
      <c r="A9" s="2566"/>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1666"/>
      <c r="B15" s="1667"/>
      <c r="C15" s="11"/>
      <c r="D15" s="2718" t="s">
        <v>4</v>
      </c>
      <c r="E15" s="2902"/>
      <c r="F15" s="2902"/>
      <c r="G15" s="2902"/>
      <c r="H15" s="1520"/>
      <c r="I15" s="13" t="s">
        <v>5</v>
      </c>
      <c r="J15" s="14"/>
      <c r="K15" s="14"/>
      <c r="L15" s="14"/>
      <c r="M15" s="14"/>
      <c r="N15" s="14"/>
      <c r="O15" s="15"/>
      <c r="P15" s="16"/>
      <c r="Q15" s="17"/>
      <c r="R15" s="18"/>
      <c r="S15" s="18"/>
      <c r="T15" s="18"/>
      <c r="U15" s="18"/>
      <c r="V15" s="18"/>
      <c r="W15" s="16"/>
      <c r="X15" s="16"/>
      <c r="Y15" s="17"/>
    </row>
    <row r="16" spans="1:25" s="31" customFormat="1" ht="129" customHeight="1">
      <c r="A16" s="1567"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550" t="s">
        <v>506</v>
      </c>
      <c r="B17" s="19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551"/>
      <c r="B18" s="1988"/>
      <c r="C18" s="39">
        <v>2015</v>
      </c>
      <c r="D18" s="50">
        <v>7</v>
      </c>
      <c r="E18" s="42">
        <v>1</v>
      </c>
      <c r="F18" s="42"/>
      <c r="G18" s="35">
        <f>SUM(D18:F18)</f>
        <v>8</v>
      </c>
      <c r="H18" s="51">
        <v>7</v>
      </c>
      <c r="I18" s="42"/>
      <c r="J18" s="42"/>
      <c r="K18" s="42"/>
      <c r="L18" s="42"/>
      <c r="M18" s="42"/>
      <c r="N18" s="42"/>
      <c r="O18" s="52">
        <v>1</v>
      </c>
      <c r="P18" s="38"/>
      <c r="Q18" s="38"/>
      <c r="R18" s="38"/>
      <c r="S18" s="38"/>
      <c r="T18" s="38"/>
      <c r="U18" s="38"/>
      <c r="V18" s="38"/>
      <c r="W18" s="38"/>
      <c r="X18" s="38"/>
      <c r="Y18" s="38"/>
    </row>
    <row r="19" spans="1:25">
      <c r="A19" s="2551"/>
      <c r="B19" s="1988"/>
      <c r="C19" s="39">
        <v>2016</v>
      </c>
      <c r="D19" s="50">
        <v>15</v>
      </c>
      <c r="E19" s="42">
        <v>1</v>
      </c>
      <c r="F19" s="42"/>
      <c r="G19" s="35">
        <f t="shared" si="0"/>
        <v>16</v>
      </c>
      <c r="H19" s="51">
        <v>16</v>
      </c>
      <c r="I19" s="42"/>
      <c r="J19" s="42"/>
      <c r="K19" s="42"/>
      <c r="L19" s="42"/>
      <c r="M19" s="42"/>
      <c r="N19" s="42"/>
      <c r="O19" s="52"/>
      <c r="P19" s="38"/>
      <c r="Q19" s="38"/>
      <c r="R19" s="38"/>
      <c r="S19" s="38"/>
      <c r="T19" s="38"/>
      <c r="U19" s="38"/>
      <c r="V19" s="38"/>
      <c r="W19" s="38"/>
      <c r="X19" s="38"/>
      <c r="Y19" s="38"/>
    </row>
    <row r="20" spans="1:25">
      <c r="A20" s="2551"/>
      <c r="B20" s="1988"/>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2551"/>
      <c r="B21" s="1988"/>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2551"/>
      <c r="B22" s="1988"/>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2551"/>
      <c r="B23" s="1988"/>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48.6" customHeight="1" thickBot="1">
      <c r="A24" s="1989"/>
      <c r="B24" s="1990"/>
      <c r="C24" s="54" t="s">
        <v>12</v>
      </c>
      <c r="D24" s="55">
        <f>SUM(D17:D23)</f>
        <v>22</v>
      </c>
      <c r="E24" s="56">
        <f>SUM(E17:E23)</f>
        <v>2</v>
      </c>
      <c r="F24" s="56">
        <f>SUM(F17:F23)</f>
        <v>0</v>
      </c>
      <c r="G24" s="57">
        <f>SUM(D24:F24)</f>
        <v>24</v>
      </c>
      <c r="H24" s="58">
        <f>SUM(H17:H23)</f>
        <v>23</v>
      </c>
      <c r="I24" s="59">
        <f>SUM(I17:I23)</f>
        <v>0</v>
      </c>
      <c r="J24" s="59">
        <f t="shared" ref="J24:N24" si="1">SUM(J17:J23)</f>
        <v>0</v>
      </c>
      <c r="K24" s="59">
        <f t="shared" si="1"/>
        <v>0</v>
      </c>
      <c r="L24" s="59">
        <f t="shared" si="1"/>
        <v>0</v>
      </c>
      <c r="M24" s="59">
        <f t="shared" si="1"/>
        <v>0</v>
      </c>
      <c r="N24" s="59">
        <f t="shared" si="1"/>
        <v>0</v>
      </c>
      <c r="O24" s="60">
        <f>SUM(O17:O23)</f>
        <v>1</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1666"/>
      <c r="B26" s="1667"/>
      <c r="C26" s="63"/>
      <c r="D26" s="2723" t="s">
        <v>4</v>
      </c>
      <c r="E26" s="2903"/>
      <c r="F26" s="2903"/>
      <c r="G26" s="2904"/>
      <c r="H26" s="16"/>
      <c r="I26" s="17"/>
      <c r="J26" s="18"/>
      <c r="K26" s="18"/>
      <c r="L26" s="18"/>
      <c r="M26" s="18"/>
      <c r="N26" s="18"/>
      <c r="O26" s="16"/>
      <c r="P26" s="16"/>
    </row>
    <row r="27" spans="1:25" s="31" customFormat="1" ht="93" customHeight="1">
      <c r="A27" s="1364"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550" t="s">
        <v>507</v>
      </c>
      <c r="B28" s="1988"/>
      <c r="C28" s="68">
        <v>2014</v>
      </c>
      <c r="D28" s="36"/>
      <c r="E28" s="34"/>
      <c r="F28" s="34"/>
      <c r="G28" s="69">
        <f>SUM(D28:F28)</f>
        <v>0</v>
      </c>
      <c r="H28" s="38"/>
      <c r="I28" s="38"/>
      <c r="J28" s="38"/>
      <c r="K28" s="38"/>
      <c r="L28" s="38"/>
      <c r="M28" s="38"/>
      <c r="N28" s="38"/>
      <c r="O28" s="38"/>
      <c r="P28" s="38"/>
      <c r="Q28" s="8"/>
    </row>
    <row r="29" spans="1:25">
      <c r="A29" s="2551"/>
      <c r="B29" s="1988"/>
      <c r="C29" s="70">
        <v>2015</v>
      </c>
      <c r="D29" s="51">
        <v>357</v>
      </c>
      <c r="E29" s="1668">
        <v>80000</v>
      </c>
      <c r="F29" s="42"/>
      <c r="G29" s="69">
        <f t="shared" ref="G29:G35" si="2">SUM(D29:F29)</f>
        <v>80357</v>
      </c>
      <c r="H29" s="38"/>
      <c r="I29" s="38"/>
      <c r="J29" s="38"/>
      <c r="K29" s="38"/>
      <c r="L29" s="38"/>
      <c r="M29" s="38"/>
      <c r="N29" s="38"/>
      <c r="O29" s="38"/>
      <c r="P29" s="38"/>
      <c r="Q29" s="8"/>
    </row>
    <row r="30" spans="1:25">
      <c r="A30" s="2551"/>
      <c r="B30" s="1988"/>
      <c r="C30" s="70">
        <v>2016</v>
      </c>
      <c r="D30" s="51">
        <v>2375</v>
      </c>
      <c r="E30" s="1668">
        <v>80000</v>
      </c>
      <c r="F30" s="42"/>
      <c r="G30" s="69">
        <f t="shared" si="2"/>
        <v>82375</v>
      </c>
      <c r="H30" s="38"/>
      <c r="I30" s="38"/>
      <c r="J30" s="38"/>
      <c r="K30" s="38"/>
      <c r="L30" s="38"/>
      <c r="M30" s="38"/>
      <c r="N30" s="38"/>
      <c r="O30" s="38"/>
      <c r="P30" s="38"/>
      <c r="Q30" s="8"/>
    </row>
    <row r="31" spans="1:25">
      <c r="A31" s="2551"/>
      <c r="B31" s="1988"/>
      <c r="C31" s="70">
        <v>2017</v>
      </c>
      <c r="D31" s="51"/>
      <c r="E31" s="42"/>
      <c r="F31" s="42"/>
      <c r="G31" s="69">
        <f t="shared" si="2"/>
        <v>0</v>
      </c>
      <c r="H31" s="38"/>
      <c r="I31" s="38"/>
      <c r="J31" s="38"/>
      <c r="K31" s="38"/>
      <c r="L31" s="38"/>
      <c r="M31" s="38"/>
      <c r="N31" s="38"/>
      <c r="O31" s="38"/>
      <c r="P31" s="38"/>
      <c r="Q31" s="8"/>
    </row>
    <row r="32" spans="1:25">
      <c r="A32" s="2551"/>
      <c r="B32" s="1988"/>
      <c r="C32" s="70">
        <v>2018</v>
      </c>
      <c r="D32" s="51"/>
      <c r="E32" s="42"/>
      <c r="F32" s="42"/>
      <c r="G32" s="69">
        <f>SUM(D32:F32)</f>
        <v>0</v>
      </c>
      <c r="H32" s="38"/>
      <c r="I32" s="38"/>
      <c r="J32" s="38"/>
      <c r="K32" s="38"/>
      <c r="L32" s="38"/>
      <c r="M32" s="38"/>
      <c r="N32" s="38"/>
      <c r="O32" s="38"/>
      <c r="P32" s="38"/>
      <c r="Q32" s="8"/>
    </row>
    <row r="33" spans="1:17">
      <c r="A33" s="2551"/>
      <c r="B33" s="1988"/>
      <c r="C33" s="72">
        <v>2019</v>
      </c>
      <c r="D33" s="51"/>
      <c r="E33" s="42"/>
      <c r="F33" s="42"/>
      <c r="G33" s="69">
        <f t="shared" si="2"/>
        <v>0</v>
      </c>
      <c r="H33" s="38"/>
      <c r="I33" s="38"/>
      <c r="J33" s="38"/>
      <c r="K33" s="38"/>
      <c r="L33" s="38"/>
      <c r="M33" s="38"/>
      <c r="N33" s="38"/>
      <c r="O33" s="38"/>
      <c r="P33" s="38"/>
      <c r="Q33" s="8"/>
    </row>
    <row r="34" spans="1:17">
      <c r="A34" s="2551"/>
      <c r="B34" s="1988"/>
      <c r="C34" s="70">
        <v>2020</v>
      </c>
      <c r="D34" s="51"/>
      <c r="E34" s="42"/>
      <c r="F34" s="42"/>
      <c r="G34" s="69">
        <f t="shared" si="2"/>
        <v>0</v>
      </c>
      <c r="H34" s="38"/>
      <c r="I34" s="38"/>
      <c r="J34" s="38"/>
      <c r="K34" s="38"/>
      <c r="L34" s="38"/>
      <c r="M34" s="38"/>
      <c r="N34" s="38"/>
      <c r="O34" s="38"/>
      <c r="P34" s="38"/>
      <c r="Q34" s="8"/>
    </row>
    <row r="35" spans="1:17" ht="20.25" customHeight="1" thickBot="1">
      <c r="A35" s="1989"/>
      <c r="B35" s="1990"/>
      <c r="C35" s="73" t="s">
        <v>12</v>
      </c>
      <c r="D35" s="58">
        <f>SUM(D28:D34)</f>
        <v>2732</v>
      </c>
      <c r="E35" s="56">
        <f>SUM(E28:E34)</f>
        <v>160000</v>
      </c>
      <c r="F35" s="56">
        <f>SUM(F28:F34)</f>
        <v>0</v>
      </c>
      <c r="G35" s="60">
        <f t="shared" si="2"/>
        <v>162732</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1669" t="s">
        <v>25</v>
      </c>
      <c r="B39" s="1670" t="s">
        <v>7</v>
      </c>
      <c r="C39" s="80" t="s">
        <v>8</v>
      </c>
      <c r="D39" s="1523" t="s">
        <v>26</v>
      </c>
      <c r="E39" s="352" t="s">
        <v>27</v>
      </c>
      <c r="F39" s="353"/>
      <c r="G39" s="30"/>
      <c r="H39" s="30"/>
    </row>
    <row r="40" spans="1:17">
      <c r="A40" s="2550"/>
      <c r="B40" s="1988"/>
      <c r="C40" s="84">
        <v>2014</v>
      </c>
      <c r="D40" s="33"/>
      <c r="E40" s="32"/>
      <c r="F40" s="8"/>
      <c r="G40" s="38"/>
      <c r="H40" s="38"/>
    </row>
    <row r="41" spans="1:17">
      <c r="A41" s="2551"/>
      <c r="B41" s="1988"/>
      <c r="C41" s="86">
        <v>2015</v>
      </c>
      <c r="D41" s="50"/>
      <c r="E41" s="39"/>
      <c r="F41" s="8"/>
      <c r="G41" s="38"/>
      <c r="H41" s="38"/>
    </row>
    <row r="42" spans="1:17">
      <c r="A42" s="2551"/>
      <c r="B42" s="1988"/>
      <c r="C42" s="86">
        <v>2016</v>
      </c>
      <c r="D42" s="50">
        <v>1018</v>
      </c>
      <c r="E42" s="39">
        <v>67</v>
      </c>
      <c r="F42" s="8"/>
      <c r="G42" s="38"/>
      <c r="H42" s="38"/>
    </row>
    <row r="43" spans="1:17">
      <c r="A43" s="2551"/>
      <c r="B43" s="1988"/>
      <c r="C43" s="86">
        <v>2017</v>
      </c>
      <c r="D43" s="50"/>
      <c r="E43" s="39"/>
      <c r="F43" s="8"/>
      <c r="G43" s="38"/>
      <c r="H43" s="38"/>
    </row>
    <row r="44" spans="1:17">
      <c r="A44" s="2551"/>
      <c r="B44" s="1988"/>
      <c r="C44" s="86">
        <v>2018</v>
      </c>
      <c r="D44" s="50"/>
      <c r="E44" s="39"/>
      <c r="F44" s="8"/>
      <c r="G44" s="38"/>
      <c r="H44" s="38"/>
    </row>
    <row r="45" spans="1:17">
      <c r="A45" s="2551"/>
      <c r="B45" s="1988"/>
      <c r="C45" s="86">
        <v>2019</v>
      </c>
      <c r="D45" s="50"/>
      <c r="E45" s="39"/>
      <c r="F45" s="8"/>
      <c r="G45" s="38"/>
      <c r="H45" s="38"/>
    </row>
    <row r="46" spans="1:17">
      <c r="A46" s="2551"/>
      <c r="B46" s="1988"/>
      <c r="C46" s="86">
        <v>2020</v>
      </c>
      <c r="D46" s="50"/>
      <c r="E46" s="39"/>
      <c r="F46" s="8"/>
      <c r="G46" s="38"/>
      <c r="H46" s="38"/>
    </row>
    <row r="47" spans="1:17" ht="15.75" thickBot="1">
      <c r="A47" s="1989"/>
      <c r="B47" s="1990"/>
      <c r="C47" s="54" t="s">
        <v>12</v>
      </c>
      <c r="D47" s="55">
        <f>SUM(D40:D46)</f>
        <v>1018</v>
      </c>
      <c r="E47" s="419">
        <f>SUM(E40:E46)</f>
        <v>67</v>
      </c>
      <c r="F47" s="121"/>
      <c r="G47" s="38"/>
      <c r="H47" s="38"/>
    </row>
    <row r="48" spans="1:17" s="38" customFormat="1" ht="15.75" thickBot="1">
      <c r="A48" s="1671"/>
      <c r="B48" s="92"/>
      <c r="C48" s="93"/>
    </row>
    <row r="49" spans="1:15" ht="83.25" customHeight="1">
      <c r="A49" s="1527" t="s">
        <v>29</v>
      </c>
      <c r="B49" s="1670" t="s">
        <v>7</v>
      </c>
      <c r="C49" s="95" t="s">
        <v>8</v>
      </c>
      <c r="D49" s="1523" t="s">
        <v>30</v>
      </c>
      <c r="E49" s="96" t="s">
        <v>31</v>
      </c>
      <c r="F49" s="96" t="s">
        <v>32</v>
      </c>
      <c r="G49" s="96" t="s">
        <v>33</v>
      </c>
      <c r="H49" s="96" t="s">
        <v>34</v>
      </c>
      <c r="I49" s="96" t="s">
        <v>35</v>
      </c>
      <c r="J49" s="96" t="s">
        <v>36</v>
      </c>
      <c r="K49" s="97" t="s">
        <v>37</v>
      </c>
    </row>
    <row r="50" spans="1:15" ht="17.25" customHeight="1">
      <c r="A50" s="2005"/>
      <c r="B50" s="2012"/>
      <c r="C50" s="98" t="s">
        <v>38</v>
      </c>
      <c r="D50" s="33"/>
      <c r="E50" s="34"/>
      <c r="F50" s="34"/>
      <c r="G50" s="34"/>
      <c r="H50" s="34"/>
      <c r="I50" s="34"/>
      <c r="J50" s="34"/>
      <c r="K50" s="37"/>
    </row>
    <row r="51" spans="1:15" ht="15" customHeight="1">
      <c r="A51" s="2550"/>
      <c r="B51" s="2014"/>
      <c r="C51" s="86">
        <v>2014</v>
      </c>
      <c r="D51" s="50"/>
      <c r="E51" s="42"/>
      <c r="F51" s="42"/>
      <c r="G51" s="42"/>
      <c r="H51" s="42"/>
      <c r="I51" s="42"/>
      <c r="J51" s="42"/>
      <c r="K51" s="99"/>
    </row>
    <row r="52" spans="1:15">
      <c r="A52" s="2550"/>
      <c r="B52" s="2014"/>
      <c r="C52" s="86">
        <v>2015</v>
      </c>
      <c r="D52" s="50"/>
      <c r="E52" s="42"/>
      <c r="F52" s="42"/>
      <c r="G52" s="42"/>
      <c r="H52" s="42"/>
      <c r="I52" s="42"/>
      <c r="J52" s="42"/>
      <c r="K52" s="99"/>
    </row>
    <row r="53" spans="1:15">
      <c r="A53" s="2550"/>
      <c r="B53" s="2014"/>
      <c r="C53" s="86">
        <v>2016</v>
      </c>
      <c r="D53" s="50"/>
      <c r="E53" s="42"/>
      <c r="F53" s="42"/>
      <c r="G53" s="42"/>
      <c r="H53" s="42"/>
      <c r="I53" s="42"/>
      <c r="J53" s="42"/>
      <c r="K53" s="99"/>
    </row>
    <row r="54" spans="1:15">
      <c r="A54" s="2550"/>
      <c r="B54" s="2014"/>
      <c r="C54" s="86">
        <v>2017</v>
      </c>
      <c r="D54" s="50"/>
      <c r="E54" s="42"/>
      <c r="F54" s="42"/>
      <c r="G54" s="42"/>
      <c r="H54" s="42"/>
      <c r="I54" s="42"/>
      <c r="J54" s="42"/>
      <c r="K54" s="99"/>
    </row>
    <row r="55" spans="1:15">
      <c r="A55" s="2550"/>
      <c r="B55" s="2014"/>
      <c r="C55" s="86">
        <v>2018</v>
      </c>
      <c r="D55" s="50"/>
      <c r="E55" s="42"/>
      <c r="F55" s="42"/>
      <c r="G55" s="42"/>
      <c r="H55" s="42"/>
      <c r="I55" s="42"/>
      <c r="J55" s="42"/>
      <c r="K55" s="99"/>
    </row>
    <row r="56" spans="1:15">
      <c r="A56" s="2550"/>
      <c r="B56" s="2014"/>
      <c r="C56" s="86">
        <v>2019</v>
      </c>
      <c r="D56" s="50"/>
      <c r="E56" s="42"/>
      <c r="F56" s="42"/>
      <c r="G56" s="42"/>
      <c r="H56" s="42"/>
      <c r="I56" s="42"/>
      <c r="J56" s="42"/>
      <c r="K56" s="99"/>
    </row>
    <row r="57" spans="1:15">
      <c r="A57" s="2550"/>
      <c r="B57" s="2014"/>
      <c r="C57" s="86">
        <v>2020</v>
      </c>
      <c r="D57" s="50"/>
      <c r="E57" s="42"/>
      <c r="F57" s="42"/>
      <c r="G57" s="42"/>
      <c r="H57" s="42"/>
      <c r="I57" s="42"/>
      <c r="J57" s="42"/>
      <c r="K57" s="100"/>
    </row>
    <row r="58" spans="1:15" ht="20.25" customHeight="1" thickBot="1">
      <c r="A58" s="2009"/>
      <c r="B58" s="2016"/>
      <c r="C58" s="54" t="s">
        <v>12</v>
      </c>
      <c r="D58" s="55">
        <f>SUM(D51:D57)</f>
        <v>0</v>
      </c>
      <c r="E58" s="56">
        <f>SUM(E51:E57)</f>
        <v>0</v>
      </c>
      <c r="F58" s="56">
        <f>SUM(F51:F57)</f>
        <v>0</v>
      </c>
      <c r="G58" s="56">
        <f>SUM(G51:G57)</f>
        <v>0</v>
      </c>
      <c r="H58" s="56">
        <f>SUM(H51:H57)</f>
        <v>0</v>
      </c>
      <c r="I58" s="56">
        <f t="shared" ref="I58" si="3">SUM(I51:I57)</f>
        <v>0</v>
      </c>
      <c r="J58" s="56">
        <f>SUM(J51:J57)</f>
        <v>0</v>
      </c>
      <c r="K58" s="60">
        <f>SUM(K50:K56)</f>
        <v>0</v>
      </c>
    </row>
    <row r="59" spans="1:15" ht="15.75" thickBot="1"/>
    <row r="60" spans="1:15" ht="21" customHeight="1">
      <c r="A60" s="2905" t="s">
        <v>39</v>
      </c>
      <c r="B60" s="1672"/>
      <c r="C60" s="2906" t="s">
        <v>8</v>
      </c>
      <c r="D60" s="2671" t="s">
        <v>40</v>
      </c>
      <c r="E60" s="1477" t="s">
        <v>5</v>
      </c>
      <c r="F60" s="1673"/>
      <c r="G60" s="1673"/>
      <c r="H60" s="1673"/>
      <c r="I60" s="1673"/>
      <c r="J60" s="1673"/>
      <c r="K60" s="1673"/>
      <c r="L60" s="1674"/>
    </row>
    <row r="61" spans="1:15" ht="115.5" customHeight="1">
      <c r="A61" s="2775"/>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552" t="s">
        <v>508</v>
      </c>
      <c r="B62" s="2025"/>
      <c r="C62" s="112">
        <v>2014</v>
      </c>
      <c r="D62" s="113"/>
      <c r="E62" s="114"/>
      <c r="F62" s="115"/>
      <c r="G62" s="115"/>
      <c r="H62" s="115"/>
      <c r="I62" s="115"/>
      <c r="J62" s="115"/>
      <c r="K62" s="115"/>
      <c r="L62" s="37"/>
      <c r="M62" s="8"/>
      <c r="N62" s="8"/>
      <c r="O62" s="8"/>
    </row>
    <row r="63" spans="1:15">
      <c r="A63" s="2553"/>
      <c r="B63" s="2025"/>
      <c r="C63" s="116">
        <v>2015</v>
      </c>
      <c r="D63" s="117">
        <v>2</v>
      </c>
      <c r="E63" s="118"/>
      <c r="F63" s="42"/>
      <c r="G63" s="42"/>
      <c r="H63" s="42"/>
      <c r="I63" s="42"/>
      <c r="J63" s="42"/>
      <c r="K63" s="42"/>
      <c r="L63" s="99"/>
      <c r="M63" s="8"/>
      <c r="N63" s="8"/>
      <c r="O63" s="8"/>
    </row>
    <row r="64" spans="1:15">
      <c r="A64" s="2553"/>
      <c r="B64" s="2025"/>
      <c r="C64" s="116">
        <v>2016</v>
      </c>
      <c r="D64" s="117"/>
      <c r="E64" s="118"/>
      <c r="F64" s="42"/>
      <c r="G64" s="42"/>
      <c r="H64" s="42"/>
      <c r="I64" s="42"/>
      <c r="J64" s="42"/>
      <c r="K64" s="42"/>
      <c r="L64" s="99"/>
      <c r="M64" s="8"/>
      <c r="N64" s="8"/>
      <c r="O64" s="8"/>
    </row>
    <row r="65" spans="1:20">
      <c r="A65" s="2553"/>
      <c r="B65" s="2025"/>
      <c r="C65" s="116">
        <v>2017</v>
      </c>
      <c r="D65" s="117"/>
      <c r="E65" s="118"/>
      <c r="F65" s="42"/>
      <c r="G65" s="42"/>
      <c r="H65" s="42"/>
      <c r="I65" s="42"/>
      <c r="J65" s="42"/>
      <c r="K65" s="42"/>
      <c r="L65" s="99"/>
      <c r="M65" s="8"/>
      <c r="N65" s="8"/>
      <c r="O65" s="8"/>
    </row>
    <row r="66" spans="1:20">
      <c r="A66" s="2553"/>
      <c r="B66" s="2025"/>
      <c r="C66" s="116">
        <v>2018</v>
      </c>
      <c r="D66" s="117"/>
      <c r="E66" s="118"/>
      <c r="F66" s="42"/>
      <c r="G66" s="42"/>
      <c r="H66" s="42"/>
      <c r="I66" s="42"/>
      <c r="J66" s="42"/>
      <c r="K66" s="42"/>
      <c r="L66" s="99"/>
      <c r="M66" s="8"/>
      <c r="N66" s="8"/>
      <c r="O66" s="8"/>
    </row>
    <row r="67" spans="1:20" ht="17.25" customHeight="1">
      <c r="A67" s="2553"/>
      <c r="B67" s="2025"/>
      <c r="C67" s="116">
        <v>2019</v>
      </c>
      <c r="D67" s="117"/>
      <c r="E67" s="118"/>
      <c r="F67" s="42"/>
      <c r="G67" s="42"/>
      <c r="H67" s="42"/>
      <c r="I67" s="42"/>
      <c r="J67" s="42"/>
      <c r="K67" s="42"/>
      <c r="L67" s="99"/>
      <c r="M67" s="8"/>
      <c r="N67" s="8"/>
      <c r="O67" s="8"/>
    </row>
    <row r="68" spans="1:20" ht="16.5" customHeight="1">
      <c r="A68" s="2553"/>
      <c r="B68" s="2025"/>
      <c r="C68" s="116">
        <v>2020</v>
      </c>
      <c r="D68" s="117"/>
      <c r="E68" s="118"/>
      <c r="F68" s="42"/>
      <c r="G68" s="42"/>
      <c r="H68" s="42"/>
      <c r="I68" s="42"/>
      <c r="J68" s="42"/>
      <c r="K68" s="42"/>
      <c r="L68" s="99"/>
      <c r="M68" s="121"/>
      <c r="N68" s="121"/>
      <c r="O68" s="121"/>
    </row>
    <row r="69" spans="1:20" ht="18" customHeight="1" thickBot="1">
      <c r="A69" s="2134"/>
      <c r="B69" s="2027"/>
      <c r="C69" s="122" t="s">
        <v>12</v>
      </c>
      <c r="D69" s="123">
        <f>SUM(D62:D68)</f>
        <v>2</v>
      </c>
      <c r="E69" s="124">
        <f>SUM(E62:E68)</f>
        <v>0</v>
      </c>
      <c r="F69" s="125">
        <f t="shared" ref="F69:I69" si="4">SUM(F62:F68)</f>
        <v>0</v>
      </c>
      <c r="G69" s="125">
        <f t="shared" si="4"/>
        <v>0</v>
      </c>
      <c r="H69" s="125">
        <f t="shared" si="4"/>
        <v>0</v>
      </c>
      <c r="I69" s="125">
        <f t="shared" si="4"/>
        <v>0</v>
      </c>
      <c r="J69" s="125"/>
      <c r="K69" s="125">
        <f>SUM(K62:K68)</f>
        <v>0</v>
      </c>
      <c r="L69" s="126">
        <f>SUM(L62:L68)</f>
        <v>0</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1669" t="s">
        <v>42</v>
      </c>
      <c r="B71" s="1670" t="s">
        <v>7</v>
      </c>
      <c r="C71" s="80" t="s">
        <v>8</v>
      </c>
      <c r="D71" s="132" t="s">
        <v>43</v>
      </c>
      <c r="E71" s="132" t="s">
        <v>44</v>
      </c>
      <c r="F71" s="133" t="s">
        <v>45</v>
      </c>
      <c r="G71" s="1532" t="s">
        <v>46</v>
      </c>
      <c r="H71" s="135" t="s">
        <v>13</v>
      </c>
      <c r="I71" s="136" t="s">
        <v>14</v>
      </c>
      <c r="J71" s="137" t="s">
        <v>15</v>
      </c>
      <c r="K71" s="136" t="s">
        <v>16</v>
      </c>
      <c r="L71" s="136" t="s">
        <v>17</v>
      </c>
      <c r="M71" s="138" t="s">
        <v>18</v>
      </c>
      <c r="N71" s="137" t="s">
        <v>19</v>
      </c>
      <c r="O71" s="139" t="s">
        <v>20</v>
      </c>
    </row>
    <row r="72" spans="1:20" ht="15" customHeight="1">
      <c r="A72" s="2550" t="s">
        <v>509</v>
      </c>
      <c r="B72" s="2025"/>
      <c r="C72" s="84">
        <v>2014</v>
      </c>
      <c r="D72" s="140"/>
      <c r="E72" s="140"/>
      <c r="F72" s="140"/>
      <c r="G72" s="141">
        <f>SUM(D72:F72)</f>
        <v>0</v>
      </c>
      <c r="H72" s="33"/>
      <c r="I72" s="142"/>
      <c r="J72" s="115"/>
      <c r="K72" s="115"/>
      <c r="L72" s="115"/>
      <c r="M72" s="115"/>
      <c r="N72" s="115"/>
      <c r="O72" s="143"/>
    </row>
    <row r="73" spans="1:20">
      <c r="A73" s="2551"/>
      <c r="B73" s="2025"/>
      <c r="C73" s="86">
        <v>2015</v>
      </c>
      <c r="D73" s="147"/>
      <c r="E73" s="147"/>
      <c r="F73" s="147"/>
      <c r="G73" s="141">
        <f t="shared" ref="G73:G78" si="5">SUM(D73:F73)</f>
        <v>0</v>
      </c>
      <c r="H73" s="50"/>
      <c r="I73" s="50"/>
      <c r="J73" s="42"/>
      <c r="K73" s="42"/>
      <c r="L73" s="42"/>
      <c r="M73" s="42"/>
      <c r="N73" s="42"/>
      <c r="O73" s="99"/>
    </row>
    <row r="74" spans="1:20">
      <c r="A74" s="2551"/>
      <c r="B74" s="2025"/>
      <c r="C74" s="86">
        <v>2016</v>
      </c>
      <c r="D74" s="147"/>
      <c r="E74" s="147"/>
      <c r="F74" s="147">
        <v>12</v>
      </c>
      <c r="G74" s="141">
        <f t="shared" si="5"/>
        <v>12</v>
      </c>
      <c r="H74" s="50">
        <v>12</v>
      </c>
      <c r="I74" s="50"/>
      <c r="J74" s="42"/>
      <c r="K74" s="42"/>
      <c r="L74" s="42"/>
      <c r="M74" s="42"/>
      <c r="N74" s="42"/>
      <c r="O74" s="99"/>
    </row>
    <row r="75" spans="1:20">
      <c r="A75" s="2551"/>
      <c r="B75" s="2025"/>
      <c r="C75" s="86">
        <v>2017</v>
      </c>
      <c r="D75" s="147"/>
      <c r="E75" s="147"/>
      <c r="F75" s="147"/>
      <c r="G75" s="141">
        <f t="shared" si="5"/>
        <v>0</v>
      </c>
      <c r="H75" s="50"/>
      <c r="I75" s="50"/>
      <c r="J75" s="42"/>
      <c r="K75" s="42"/>
      <c r="L75" s="42"/>
      <c r="M75" s="42"/>
      <c r="N75" s="42"/>
      <c r="O75" s="99"/>
    </row>
    <row r="76" spans="1:20">
      <c r="A76" s="2551"/>
      <c r="B76" s="2025"/>
      <c r="C76" s="86">
        <v>2018</v>
      </c>
      <c r="D76" s="147"/>
      <c r="E76" s="147"/>
      <c r="F76" s="147"/>
      <c r="G76" s="141">
        <f t="shared" si="5"/>
        <v>0</v>
      </c>
      <c r="H76" s="50"/>
      <c r="I76" s="50"/>
      <c r="J76" s="42"/>
      <c r="K76" s="42"/>
      <c r="L76" s="42"/>
      <c r="M76" s="42"/>
      <c r="N76" s="42"/>
      <c r="O76" s="99"/>
    </row>
    <row r="77" spans="1:20" ht="15.75" customHeight="1">
      <c r="A77" s="2551"/>
      <c r="B77" s="2025"/>
      <c r="C77" s="86">
        <v>2019</v>
      </c>
      <c r="D77" s="147"/>
      <c r="E77" s="147"/>
      <c r="F77" s="147"/>
      <c r="G77" s="141">
        <f t="shared" si="5"/>
        <v>0</v>
      </c>
      <c r="H77" s="50"/>
      <c r="I77" s="50"/>
      <c r="J77" s="42"/>
      <c r="K77" s="42"/>
      <c r="L77" s="42"/>
      <c r="M77" s="42"/>
      <c r="N77" s="42"/>
      <c r="O77" s="99"/>
    </row>
    <row r="78" spans="1:20" ht="17.25" customHeight="1">
      <c r="A78" s="2551"/>
      <c r="B78" s="2025"/>
      <c r="C78" s="86">
        <v>2020</v>
      </c>
      <c r="D78" s="147"/>
      <c r="E78" s="147"/>
      <c r="F78" s="147"/>
      <c r="G78" s="141">
        <f t="shared" si="5"/>
        <v>0</v>
      </c>
      <c r="H78" s="50"/>
      <c r="I78" s="50"/>
      <c r="J78" s="42"/>
      <c r="K78" s="42"/>
      <c r="L78" s="42"/>
      <c r="M78" s="42"/>
      <c r="N78" s="42"/>
      <c r="O78" s="99"/>
    </row>
    <row r="79" spans="1:20" ht="20.25" customHeight="1" thickBot="1">
      <c r="A79" s="2134"/>
      <c r="B79" s="2027"/>
      <c r="C79" s="148" t="s">
        <v>12</v>
      </c>
      <c r="D79" s="123">
        <f>SUM(D72:D78)</f>
        <v>0</v>
      </c>
      <c r="E79" s="123">
        <f>SUM(E72:E78)</f>
        <v>0</v>
      </c>
      <c r="F79" s="123">
        <f>SUM(F72:F78)</f>
        <v>12</v>
      </c>
      <c r="G79" s="149">
        <f>SUM(G72:G78)</f>
        <v>12</v>
      </c>
      <c r="H79" s="150">
        <v>12</v>
      </c>
      <c r="I79" s="151">
        <f t="shared" ref="I79:O79" si="6">SUM(I72:I78)</f>
        <v>0</v>
      </c>
      <c r="J79" s="125">
        <f t="shared" si="6"/>
        <v>0</v>
      </c>
      <c r="K79" s="125">
        <f t="shared" si="6"/>
        <v>0</v>
      </c>
      <c r="L79" s="125">
        <f t="shared" si="6"/>
        <v>0</v>
      </c>
      <c r="M79" s="125">
        <f t="shared" si="6"/>
        <v>0</v>
      </c>
      <c r="N79" s="125">
        <f t="shared" si="6"/>
        <v>0</v>
      </c>
      <c r="O79" s="126">
        <f t="shared" si="6"/>
        <v>0</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1675" t="s">
        <v>49</v>
      </c>
      <c r="B84" s="1676" t="s">
        <v>50</v>
      </c>
      <c r="C84" s="161" t="s">
        <v>8</v>
      </c>
      <c r="D84" s="1538" t="s">
        <v>51</v>
      </c>
      <c r="E84" s="163" t="s">
        <v>52</v>
      </c>
      <c r="F84" s="164" t="s">
        <v>53</v>
      </c>
      <c r="G84" s="164" t="s">
        <v>54</v>
      </c>
      <c r="H84" s="164" t="s">
        <v>55</v>
      </c>
      <c r="I84" s="164" t="s">
        <v>56</v>
      </c>
      <c r="J84" s="164" t="s">
        <v>57</v>
      </c>
      <c r="K84" s="165" t="s">
        <v>58</v>
      </c>
    </row>
    <row r="85" spans="1:16" ht="15" customHeight="1">
      <c r="A85" s="2554"/>
      <c r="B85" s="2025"/>
      <c r="C85" s="84">
        <v>2014</v>
      </c>
      <c r="D85" s="166"/>
      <c r="E85" s="167"/>
      <c r="F85" s="34"/>
      <c r="G85" s="34"/>
      <c r="H85" s="34"/>
      <c r="I85" s="34"/>
      <c r="J85" s="34"/>
      <c r="K85" s="37"/>
    </row>
    <row r="86" spans="1:16">
      <c r="A86" s="2555"/>
      <c r="B86" s="2025"/>
      <c r="C86" s="86">
        <v>2015</v>
      </c>
      <c r="D86" s="168"/>
      <c r="E86" s="118"/>
      <c r="F86" s="42"/>
      <c r="G86" s="42"/>
      <c r="H86" s="42"/>
      <c r="I86" s="42"/>
      <c r="J86" s="42"/>
      <c r="K86" s="99"/>
    </row>
    <row r="87" spans="1:16">
      <c r="A87" s="2555"/>
      <c r="B87" s="2025"/>
      <c r="C87" s="86">
        <v>2016</v>
      </c>
      <c r="D87" s="168"/>
      <c r="E87" s="118"/>
      <c r="F87" s="42"/>
      <c r="G87" s="42"/>
      <c r="H87" s="42"/>
      <c r="I87" s="42"/>
      <c r="J87" s="42"/>
      <c r="K87" s="99"/>
    </row>
    <row r="88" spans="1:16">
      <c r="A88" s="2555"/>
      <c r="B88" s="2025"/>
      <c r="C88" s="86">
        <v>2017</v>
      </c>
      <c r="D88" s="168"/>
      <c r="E88" s="118"/>
      <c r="F88" s="42"/>
      <c r="G88" s="42"/>
      <c r="H88" s="42"/>
      <c r="I88" s="42"/>
      <c r="J88" s="42"/>
      <c r="K88" s="99"/>
    </row>
    <row r="89" spans="1:16">
      <c r="A89" s="2555"/>
      <c r="B89" s="2025"/>
      <c r="C89" s="86">
        <v>2018</v>
      </c>
      <c r="D89" s="168"/>
      <c r="E89" s="118"/>
      <c r="F89" s="42"/>
      <c r="G89" s="42"/>
      <c r="H89" s="42"/>
      <c r="I89" s="42"/>
      <c r="J89" s="42"/>
      <c r="K89" s="99"/>
    </row>
    <row r="90" spans="1:16">
      <c r="A90" s="2555"/>
      <c r="B90" s="2025"/>
      <c r="C90" s="86">
        <v>2019</v>
      </c>
      <c r="D90" s="168"/>
      <c r="E90" s="118"/>
      <c r="F90" s="42"/>
      <c r="G90" s="42"/>
      <c r="H90" s="42"/>
      <c r="I90" s="42"/>
      <c r="J90" s="42"/>
      <c r="K90" s="99"/>
    </row>
    <row r="91" spans="1:16">
      <c r="A91" s="2555"/>
      <c r="B91" s="2025"/>
      <c r="C91" s="86">
        <v>2020</v>
      </c>
      <c r="D91" s="168"/>
      <c r="E91" s="118"/>
      <c r="F91" s="42"/>
      <c r="G91" s="42"/>
      <c r="H91" s="42"/>
      <c r="I91" s="42"/>
      <c r="J91" s="42"/>
      <c r="K91" s="99"/>
    </row>
    <row r="92" spans="1:16" ht="18" customHeight="1" thickBot="1">
      <c r="A92" s="2073"/>
      <c r="B92" s="2027"/>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898" t="s">
        <v>60</v>
      </c>
      <c r="B96" s="2899" t="s">
        <v>61</v>
      </c>
      <c r="C96" s="2901" t="s">
        <v>8</v>
      </c>
      <c r="D96" s="2735" t="s">
        <v>62</v>
      </c>
      <c r="E96" s="2736"/>
      <c r="F96" s="1539" t="s">
        <v>63</v>
      </c>
      <c r="G96" s="1677"/>
      <c r="H96" s="1677"/>
      <c r="I96" s="1677"/>
      <c r="J96" s="1677"/>
      <c r="K96" s="1677"/>
      <c r="L96" s="1677"/>
      <c r="M96" s="1678"/>
      <c r="N96" s="177"/>
      <c r="O96" s="177"/>
      <c r="P96" s="177"/>
    </row>
    <row r="97" spans="1:16" ht="100.5" customHeight="1">
      <c r="A97" s="2778"/>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552"/>
      <c r="B98" s="2025"/>
      <c r="C98" s="112">
        <v>2014</v>
      </c>
      <c r="D98" s="33"/>
      <c r="E98" s="34"/>
      <c r="F98" s="186"/>
      <c r="G98" s="187"/>
      <c r="H98" s="187"/>
      <c r="I98" s="187"/>
      <c r="J98" s="187"/>
      <c r="K98" s="187"/>
      <c r="L98" s="187"/>
      <c r="M98" s="188"/>
      <c r="N98" s="177"/>
      <c r="O98" s="177"/>
      <c r="P98" s="177"/>
    </row>
    <row r="99" spans="1:16" ht="16.5" customHeight="1">
      <c r="A99" s="2553"/>
      <c r="B99" s="2025"/>
      <c r="C99" s="116">
        <v>2015</v>
      </c>
      <c r="D99" s="50"/>
      <c r="E99" s="42"/>
      <c r="F99" s="189"/>
      <c r="G99" s="190"/>
      <c r="H99" s="190"/>
      <c r="I99" s="190"/>
      <c r="J99" s="190"/>
      <c r="K99" s="190"/>
      <c r="L99" s="190"/>
      <c r="M99" s="193"/>
      <c r="N99" s="177"/>
      <c r="O99" s="177"/>
      <c r="P99" s="177"/>
    </row>
    <row r="100" spans="1:16" ht="16.5" customHeight="1">
      <c r="A100" s="2553"/>
      <c r="B100" s="2025"/>
      <c r="C100" s="116">
        <v>2016</v>
      </c>
      <c r="D100" s="50"/>
      <c r="E100" s="42"/>
      <c r="F100" s="189"/>
      <c r="G100" s="190"/>
      <c r="H100" s="190"/>
      <c r="I100" s="190"/>
      <c r="J100" s="190"/>
      <c r="K100" s="190"/>
      <c r="L100" s="190"/>
      <c r="M100" s="193"/>
      <c r="N100" s="177"/>
      <c r="O100" s="177"/>
      <c r="P100" s="177"/>
    </row>
    <row r="101" spans="1:16" ht="16.5" customHeight="1">
      <c r="A101" s="2553"/>
      <c r="B101" s="2025"/>
      <c r="C101" s="116">
        <v>2017</v>
      </c>
      <c r="D101" s="50"/>
      <c r="E101" s="42"/>
      <c r="F101" s="189"/>
      <c r="G101" s="190"/>
      <c r="H101" s="190"/>
      <c r="I101" s="190"/>
      <c r="J101" s="190"/>
      <c r="K101" s="190"/>
      <c r="L101" s="190"/>
      <c r="M101" s="193"/>
      <c r="N101" s="177"/>
      <c r="O101" s="177"/>
      <c r="P101" s="177"/>
    </row>
    <row r="102" spans="1:16" ht="15.75" customHeight="1">
      <c r="A102" s="2553"/>
      <c r="B102" s="2025"/>
      <c r="C102" s="116">
        <v>2018</v>
      </c>
      <c r="D102" s="50"/>
      <c r="E102" s="42"/>
      <c r="F102" s="189"/>
      <c r="G102" s="190"/>
      <c r="H102" s="190"/>
      <c r="I102" s="190"/>
      <c r="J102" s="190"/>
      <c r="K102" s="190"/>
      <c r="L102" s="190"/>
      <c r="M102" s="193"/>
      <c r="N102" s="177"/>
      <c r="O102" s="177"/>
      <c r="P102" s="177"/>
    </row>
    <row r="103" spans="1:16" ht="14.25" customHeight="1">
      <c r="A103" s="2553"/>
      <c r="B103" s="2025"/>
      <c r="C103" s="116">
        <v>2019</v>
      </c>
      <c r="D103" s="50"/>
      <c r="E103" s="42"/>
      <c r="F103" s="189"/>
      <c r="G103" s="190"/>
      <c r="H103" s="190"/>
      <c r="I103" s="190"/>
      <c r="J103" s="190"/>
      <c r="K103" s="190"/>
      <c r="L103" s="190"/>
      <c r="M103" s="193"/>
      <c r="N103" s="177"/>
      <c r="O103" s="177"/>
      <c r="P103" s="177"/>
    </row>
    <row r="104" spans="1:16" ht="14.25" customHeight="1">
      <c r="A104" s="2553"/>
      <c r="B104" s="2025"/>
      <c r="C104" s="116">
        <v>2020</v>
      </c>
      <c r="D104" s="50"/>
      <c r="E104" s="42"/>
      <c r="F104" s="189"/>
      <c r="G104" s="190"/>
      <c r="H104" s="190"/>
      <c r="I104" s="190"/>
      <c r="J104" s="190"/>
      <c r="K104" s="190"/>
      <c r="L104" s="190"/>
      <c r="M104" s="193"/>
      <c r="N104" s="177"/>
      <c r="O104" s="177"/>
      <c r="P104" s="177"/>
    </row>
    <row r="105" spans="1:16" ht="19.5" customHeight="1" thickBot="1">
      <c r="A105" s="2046"/>
      <c r="B105" s="2027"/>
      <c r="C105" s="122" t="s">
        <v>12</v>
      </c>
      <c r="D105" s="151">
        <f>SUM(D98:D104)</f>
        <v>0</v>
      </c>
      <c r="E105" s="125">
        <f t="shared" ref="E105:K105" si="8">SUM(E98:E104)</f>
        <v>0</v>
      </c>
      <c r="F105" s="194">
        <f t="shared" si="8"/>
        <v>0</v>
      </c>
      <c r="G105" s="195">
        <f t="shared" si="8"/>
        <v>0</v>
      </c>
      <c r="H105" s="195">
        <f t="shared" si="8"/>
        <v>0</v>
      </c>
      <c r="I105" s="195">
        <f>SUM(I98:I104)</f>
        <v>0</v>
      </c>
      <c r="J105" s="195">
        <f t="shared" si="8"/>
        <v>0</v>
      </c>
      <c r="K105" s="195">
        <f t="shared" si="8"/>
        <v>0</v>
      </c>
      <c r="L105" s="195">
        <f>SUM(L98:L104)</f>
        <v>0</v>
      </c>
      <c r="M105" s="196">
        <f>SUM(M98:M104)</f>
        <v>0</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898" t="s">
        <v>69</v>
      </c>
      <c r="B107" s="2899" t="s">
        <v>61</v>
      </c>
      <c r="C107" s="2901" t="s">
        <v>8</v>
      </c>
      <c r="D107" s="2670" t="s">
        <v>70</v>
      </c>
      <c r="E107" s="1539" t="s">
        <v>71</v>
      </c>
      <c r="F107" s="1677"/>
      <c r="G107" s="1677"/>
      <c r="H107" s="1677"/>
      <c r="I107" s="1677"/>
      <c r="J107" s="1677"/>
      <c r="K107" s="1677"/>
      <c r="L107" s="1678"/>
      <c r="M107" s="199"/>
      <c r="N107" s="199"/>
    </row>
    <row r="108" spans="1:16" ht="103.5" customHeight="1">
      <c r="A108" s="2778"/>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552" t="s">
        <v>510</v>
      </c>
      <c r="B109" s="2025"/>
      <c r="C109" s="112">
        <v>2014</v>
      </c>
      <c r="D109" s="34"/>
      <c r="E109" s="186"/>
      <c r="F109" s="187"/>
      <c r="G109" s="187"/>
      <c r="H109" s="187"/>
      <c r="I109" s="187"/>
      <c r="J109" s="187"/>
      <c r="K109" s="187"/>
      <c r="L109" s="188"/>
      <c r="M109" s="199"/>
      <c r="N109" s="199"/>
    </row>
    <row r="110" spans="1:16">
      <c r="A110" s="2553"/>
      <c r="B110" s="2025"/>
      <c r="C110" s="116">
        <v>2015</v>
      </c>
      <c r="D110" s="42"/>
      <c r="E110" s="189"/>
      <c r="F110" s="190"/>
      <c r="G110" s="190"/>
      <c r="H110" s="190"/>
      <c r="I110" s="190"/>
      <c r="J110" s="190"/>
      <c r="K110" s="190"/>
      <c r="L110" s="193"/>
      <c r="M110" s="199"/>
      <c r="N110" s="199"/>
    </row>
    <row r="111" spans="1:16">
      <c r="A111" s="2553"/>
      <c r="B111" s="2025"/>
      <c r="C111" s="116">
        <v>2016</v>
      </c>
      <c r="D111" s="42">
        <v>6</v>
      </c>
      <c r="E111" s="189">
        <v>6</v>
      </c>
      <c r="F111" s="190"/>
      <c r="G111" s="190"/>
      <c r="H111" s="190"/>
      <c r="I111" s="190"/>
      <c r="J111" s="190"/>
      <c r="K111" s="190"/>
      <c r="L111" s="193"/>
      <c r="M111" s="199"/>
      <c r="N111" s="199"/>
    </row>
    <row r="112" spans="1:16">
      <c r="A112" s="2553"/>
      <c r="B112" s="2025"/>
      <c r="C112" s="116">
        <v>2017</v>
      </c>
      <c r="D112" s="42"/>
      <c r="E112" s="189"/>
      <c r="F112" s="190"/>
      <c r="G112" s="190"/>
      <c r="H112" s="190"/>
      <c r="I112" s="190"/>
      <c r="J112" s="190"/>
      <c r="K112" s="190"/>
      <c r="L112" s="193"/>
      <c r="M112" s="199"/>
      <c r="N112" s="199"/>
    </row>
    <row r="113" spans="1:14">
      <c r="A113" s="2553"/>
      <c r="B113" s="2025"/>
      <c r="C113" s="116">
        <v>2018</v>
      </c>
      <c r="D113" s="42"/>
      <c r="E113" s="189"/>
      <c r="F113" s="190"/>
      <c r="G113" s="190"/>
      <c r="H113" s="190"/>
      <c r="I113" s="190"/>
      <c r="J113" s="190"/>
      <c r="K113" s="190"/>
      <c r="L113" s="193"/>
      <c r="M113" s="199"/>
      <c r="N113" s="199"/>
    </row>
    <row r="114" spans="1:14">
      <c r="A114" s="2553"/>
      <c r="B114" s="2025"/>
      <c r="C114" s="116">
        <v>2019</v>
      </c>
      <c r="D114" s="42"/>
      <c r="E114" s="189"/>
      <c r="F114" s="190"/>
      <c r="G114" s="190"/>
      <c r="H114" s="190"/>
      <c r="I114" s="190"/>
      <c r="J114" s="190"/>
      <c r="K114" s="190"/>
      <c r="L114" s="193"/>
      <c r="M114" s="199"/>
      <c r="N114" s="199"/>
    </row>
    <row r="115" spans="1:14">
      <c r="A115" s="2553"/>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f t="shared" ref="D116:I116" si="9">SUM(D109:D115)</f>
        <v>6</v>
      </c>
      <c r="E116" s="194">
        <f t="shared" si="9"/>
        <v>6</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898" t="s">
        <v>72</v>
      </c>
      <c r="B118" s="2899" t="s">
        <v>61</v>
      </c>
      <c r="C118" s="2901" t="s">
        <v>8</v>
      </c>
      <c r="D118" s="2670" t="s">
        <v>73</v>
      </c>
      <c r="E118" s="1539" t="s">
        <v>71</v>
      </c>
      <c r="F118" s="1677"/>
      <c r="G118" s="1677"/>
      <c r="H118" s="1677"/>
      <c r="I118" s="1677"/>
      <c r="J118" s="1677"/>
      <c r="K118" s="1677"/>
      <c r="L118" s="1678"/>
      <c r="M118" s="199"/>
      <c r="N118" s="199"/>
    </row>
    <row r="119" spans="1:14" ht="120.75" customHeight="1">
      <c r="A119" s="2778"/>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552"/>
      <c r="B120" s="2025"/>
      <c r="C120" s="112">
        <v>2014</v>
      </c>
      <c r="D120" s="34"/>
      <c r="E120" s="186"/>
      <c r="F120" s="187"/>
      <c r="G120" s="187"/>
      <c r="H120" s="187"/>
      <c r="I120" s="187"/>
      <c r="J120" s="187"/>
      <c r="K120" s="187"/>
      <c r="L120" s="188"/>
      <c r="M120" s="199"/>
      <c r="N120" s="199"/>
    </row>
    <row r="121" spans="1:14">
      <c r="A121" s="2553"/>
      <c r="B121" s="2025"/>
      <c r="C121" s="116">
        <v>2015</v>
      </c>
      <c r="D121" s="42"/>
      <c r="E121" s="189"/>
      <c r="F121" s="190"/>
      <c r="G121" s="190"/>
      <c r="H121" s="190"/>
      <c r="I121" s="190"/>
      <c r="J121" s="190"/>
      <c r="K121" s="190"/>
      <c r="L121" s="193"/>
      <c r="M121" s="199"/>
      <c r="N121" s="199"/>
    </row>
    <row r="122" spans="1:14">
      <c r="A122" s="2553"/>
      <c r="B122" s="2025"/>
      <c r="C122" s="116">
        <v>2016</v>
      </c>
      <c r="D122" s="42"/>
      <c r="E122" s="189"/>
      <c r="F122" s="190"/>
      <c r="G122" s="190"/>
      <c r="H122" s="190"/>
      <c r="I122" s="190"/>
      <c r="J122" s="190"/>
      <c r="K122" s="190"/>
      <c r="L122" s="193"/>
      <c r="M122" s="199"/>
      <c r="N122" s="199"/>
    </row>
    <row r="123" spans="1:14">
      <c r="A123" s="2553"/>
      <c r="B123" s="2025"/>
      <c r="C123" s="116">
        <v>2017</v>
      </c>
      <c r="D123" s="42"/>
      <c r="E123" s="189"/>
      <c r="F123" s="190"/>
      <c r="G123" s="190"/>
      <c r="H123" s="190"/>
      <c r="I123" s="190"/>
      <c r="J123" s="190"/>
      <c r="K123" s="190"/>
      <c r="L123" s="193"/>
      <c r="M123" s="199"/>
      <c r="N123" s="199"/>
    </row>
    <row r="124" spans="1:14">
      <c r="A124" s="2553"/>
      <c r="B124" s="2025"/>
      <c r="C124" s="116">
        <v>2018</v>
      </c>
      <c r="D124" s="42"/>
      <c r="E124" s="189"/>
      <c r="F124" s="190"/>
      <c r="G124" s="190"/>
      <c r="H124" s="190"/>
      <c r="I124" s="190"/>
      <c r="J124" s="190"/>
      <c r="K124" s="190"/>
      <c r="L124" s="193"/>
      <c r="M124" s="199"/>
      <c r="N124" s="199"/>
    </row>
    <row r="125" spans="1:14">
      <c r="A125" s="2553"/>
      <c r="B125" s="2025"/>
      <c r="C125" s="116">
        <v>2019</v>
      </c>
      <c r="D125" s="42"/>
      <c r="E125" s="189"/>
      <c r="F125" s="190"/>
      <c r="G125" s="190"/>
      <c r="H125" s="190"/>
      <c r="I125" s="190"/>
      <c r="J125" s="190"/>
      <c r="K125" s="190"/>
      <c r="L125" s="193"/>
      <c r="M125" s="199"/>
      <c r="N125" s="199"/>
    </row>
    <row r="126" spans="1:14">
      <c r="A126" s="2553"/>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898" t="s">
        <v>74</v>
      </c>
      <c r="B129" s="2899" t="s">
        <v>61</v>
      </c>
      <c r="C129" s="1679" t="s">
        <v>8</v>
      </c>
      <c r="D129" s="1542" t="s">
        <v>75</v>
      </c>
      <c r="E129" s="1680"/>
      <c r="F129" s="1680"/>
      <c r="G129" s="1543"/>
      <c r="H129" s="199"/>
      <c r="I129" s="199"/>
      <c r="J129" s="199"/>
      <c r="K129" s="199"/>
      <c r="L129" s="199"/>
      <c r="M129" s="199"/>
      <c r="N129" s="199"/>
    </row>
    <row r="130" spans="1:16" ht="77.25" customHeight="1">
      <c r="A130" s="2778"/>
      <c r="B130" s="2043"/>
      <c r="C130" s="1655"/>
      <c r="D130" s="178" t="s">
        <v>76</v>
      </c>
      <c r="E130" s="207" t="s">
        <v>77</v>
      </c>
      <c r="F130" s="179" t="s">
        <v>78</v>
      </c>
      <c r="G130" s="208" t="s">
        <v>12</v>
      </c>
      <c r="H130" s="199"/>
      <c r="I130" s="199"/>
      <c r="J130" s="199"/>
      <c r="K130" s="199"/>
      <c r="L130" s="199"/>
      <c r="M130" s="199"/>
      <c r="N130" s="199"/>
    </row>
    <row r="131" spans="1:16" ht="15" customHeight="1">
      <c r="A131" s="2550"/>
      <c r="B131" s="1988"/>
      <c r="C131" s="112">
        <v>2015</v>
      </c>
      <c r="D131" s="33"/>
      <c r="E131" s="34"/>
      <c r="F131" s="34"/>
      <c r="G131" s="209">
        <f t="shared" ref="G131:G136" si="11">SUM(D131:F131)</f>
        <v>0</v>
      </c>
      <c r="H131" s="199"/>
      <c r="I131" s="199"/>
      <c r="J131" s="199"/>
      <c r="K131" s="199"/>
      <c r="L131" s="199"/>
      <c r="M131" s="199"/>
      <c r="N131" s="199"/>
    </row>
    <row r="132" spans="1:16">
      <c r="A132" s="2551"/>
      <c r="B132" s="1988"/>
      <c r="C132" s="116">
        <v>2016</v>
      </c>
      <c r="D132" s="50"/>
      <c r="E132" s="42"/>
      <c r="F132" s="42"/>
      <c r="G132" s="209">
        <f t="shared" si="11"/>
        <v>0</v>
      </c>
      <c r="H132" s="199"/>
      <c r="I132" s="199"/>
      <c r="J132" s="199"/>
      <c r="K132" s="199"/>
      <c r="L132" s="199"/>
      <c r="M132" s="199"/>
      <c r="N132" s="199"/>
    </row>
    <row r="133" spans="1:16">
      <c r="A133" s="2551"/>
      <c r="B133" s="1988"/>
      <c r="C133" s="116">
        <v>2017</v>
      </c>
      <c r="D133" s="50"/>
      <c r="E133" s="42"/>
      <c r="F133" s="42"/>
      <c r="G133" s="209">
        <f t="shared" si="11"/>
        <v>0</v>
      </c>
      <c r="H133" s="199"/>
      <c r="I133" s="199"/>
      <c r="J133" s="199"/>
      <c r="K133" s="199"/>
      <c r="L133" s="199"/>
      <c r="M133" s="199"/>
      <c r="N133" s="199"/>
    </row>
    <row r="134" spans="1:16">
      <c r="A134" s="2551"/>
      <c r="B134" s="1988"/>
      <c r="C134" s="116">
        <v>2018</v>
      </c>
      <c r="D134" s="50"/>
      <c r="E134" s="42"/>
      <c r="F134" s="42"/>
      <c r="G134" s="209">
        <f t="shared" si="11"/>
        <v>0</v>
      </c>
      <c r="H134" s="199"/>
      <c r="I134" s="199"/>
      <c r="J134" s="199"/>
      <c r="K134" s="199"/>
      <c r="L134" s="199"/>
      <c r="M134" s="199"/>
      <c r="N134" s="199"/>
    </row>
    <row r="135" spans="1:16">
      <c r="A135" s="2551"/>
      <c r="B135" s="1988"/>
      <c r="C135" s="116">
        <v>2019</v>
      </c>
      <c r="D135" s="50"/>
      <c r="E135" s="42"/>
      <c r="F135" s="42"/>
      <c r="G135" s="209">
        <f t="shared" si="11"/>
        <v>0</v>
      </c>
      <c r="H135" s="199"/>
      <c r="I135" s="199"/>
      <c r="J135" s="199"/>
      <c r="K135" s="199"/>
      <c r="L135" s="199"/>
      <c r="M135" s="199"/>
      <c r="N135" s="199"/>
    </row>
    <row r="136" spans="1:16">
      <c r="A136" s="2551"/>
      <c r="B136" s="1988"/>
      <c r="C136" s="116">
        <v>2020</v>
      </c>
      <c r="D136" s="50"/>
      <c r="E136" s="42"/>
      <c r="F136" s="42"/>
      <c r="G136" s="209">
        <f t="shared" si="11"/>
        <v>0</v>
      </c>
      <c r="H136" s="199"/>
      <c r="I136" s="199"/>
      <c r="J136" s="199"/>
      <c r="K136" s="199"/>
      <c r="L136" s="199"/>
      <c r="M136" s="199"/>
      <c r="N136" s="199"/>
    </row>
    <row r="137" spans="1:16" ht="17.25" customHeight="1" thickBot="1">
      <c r="A137" s="1989"/>
      <c r="B137" s="1990"/>
      <c r="C137" s="122" t="s">
        <v>12</v>
      </c>
      <c r="D137" s="151">
        <f>SUM(D131:D136)</f>
        <v>0</v>
      </c>
      <c r="E137" s="151">
        <f t="shared" ref="E137:F137" si="12">SUM(E131:E136)</f>
        <v>0</v>
      </c>
      <c r="F137" s="151">
        <f t="shared" si="12"/>
        <v>0</v>
      </c>
      <c r="G137" s="210">
        <f>SUM(G131:G136)</f>
        <v>0</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900" t="s">
        <v>80</v>
      </c>
      <c r="B142" s="2895" t="s">
        <v>61</v>
      </c>
      <c r="C142" s="2897" t="s">
        <v>8</v>
      </c>
      <c r="D142" s="1681" t="s">
        <v>81</v>
      </c>
      <c r="E142" s="1682"/>
      <c r="F142" s="1682"/>
      <c r="G142" s="1682"/>
      <c r="H142" s="1682"/>
      <c r="I142" s="1683"/>
      <c r="J142" s="2891" t="s">
        <v>82</v>
      </c>
      <c r="K142" s="2892"/>
      <c r="L142" s="2892"/>
      <c r="M142" s="2892"/>
      <c r="N142" s="2893"/>
      <c r="O142" s="177"/>
      <c r="P142" s="177"/>
    </row>
    <row r="143" spans="1:16" ht="113.25" customHeight="1">
      <c r="A143" s="2782"/>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552"/>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553"/>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553"/>
      <c r="B146" s="2025"/>
      <c r="C146" s="116">
        <v>2016</v>
      </c>
      <c r="D146" s="50"/>
      <c r="E146" s="50"/>
      <c r="F146" s="42"/>
      <c r="G146" s="190"/>
      <c r="H146" s="190"/>
      <c r="I146" s="227">
        <f t="shared" si="13"/>
        <v>0</v>
      </c>
      <c r="J146" s="231"/>
      <c r="K146" s="232"/>
      <c r="L146" s="231"/>
      <c r="M146" s="232"/>
      <c r="N146" s="233"/>
      <c r="O146" s="177"/>
      <c r="P146" s="177"/>
    </row>
    <row r="147" spans="1:16" ht="17.25" customHeight="1">
      <c r="A147" s="2553"/>
      <c r="B147" s="2025"/>
      <c r="C147" s="116">
        <v>2017</v>
      </c>
      <c r="D147" s="50"/>
      <c r="E147" s="50"/>
      <c r="F147" s="42"/>
      <c r="G147" s="190"/>
      <c r="H147" s="190"/>
      <c r="I147" s="227">
        <f t="shared" si="13"/>
        <v>0</v>
      </c>
      <c r="J147" s="231"/>
      <c r="K147" s="232"/>
      <c r="L147" s="231"/>
      <c r="M147" s="232"/>
      <c r="N147" s="233"/>
      <c r="O147" s="177"/>
      <c r="P147" s="177"/>
    </row>
    <row r="148" spans="1:16" ht="19.5" customHeight="1">
      <c r="A148" s="2553"/>
      <c r="B148" s="2025"/>
      <c r="C148" s="116">
        <v>2018</v>
      </c>
      <c r="D148" s="50"/>
      <c r="E148" s="50"/>
      <c r="F148" s="42"/>
      <c r="G148" s="190"/>
      <c r="H148" s="190"/>
      <c r="I148" s="227">
        <f t="shared" si="13"/>
        <v>0</v>
      </c>
      <c r="J148" s="231"/>
      <c r="K148" s="232"/>
      <c r="L148" s="231"/>
      <c r="M148" s="232"/>
      <c r="N148" s="233"/>
      <c r="O148" s="177"/>
      <c r="P148" s="177"/>
    </row>
    <row r="149" spans="1:16" ht="19.5" customHeight="1">
      <c r="A149" s="2553"/>
      <c r="B149" s="2025"/>
      <c r="C149" s="116">
        <v>2019</v>
      </c>
      <c r="D149" s="50"/>
      <c r="E149" s="50"/>
      <c r="F149" s="42"/>
      <c r="G149" s="190"/>
      <c r="H149" s="190"/>
      <c r="I149" s="227">
        <f t="shared" si="13"/>
        <v>0</v>
      </c>
      <c r="J149" s="231"/>
      <c r="K149" s="232"/>
      <c r="L149" s="231"/>
      <c r="M149" s="232"/>
      <c r="N149" s="233"/>
      <c r="O149" s="177"/>
      <c r="P149" s="177"/>
    </row>
    <row r="150" spans="1:16" ht="18.75" customHeight="1">
      <c r="A150" s="2553"/>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894" t="s">
        <v>93</v>
      </c>
      <c r="B153" s="2895" t="s">
        <v>61</v>
      </c>
      <c r="C153" s="2896" t="s">
        <v>8</v>
      </c>
      <c r="D153" s="1684" t="s">
        <v>94</v>
      </c>
      <c r="E153" s="1684"/>
      <c r="F153" s="1685"/>
      <c r="G153" s="1685"/>
      <c r="H153" s="1684" t="s">
        <v>95</v>
      </c>
      <c r="I153" s="1684"/>
      <c r="J153" s="1686"/>
      <c r="K153" s="31"/>
      <c r="L153" s="31"/>
      <c r="M153" s="31"/>
      <c r="N153" s="31"/>
      <c r="O153" s="177"/>
      <c r="P153" s="177"/>
    </row>
    <row r="154" spans="1:16" ht="49.5" customHeight="1">
      <c r="A154" s="2556"/>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552"/>
      <c r="B155" s="2025"/>
      <c r="C155" s="247">
        <v>2014</v>
      </c>
      <c r="D155" s="228"/>
      <c r="E155" s="187"/>
      <c r="F155" s="229"/>
      <c r="G155" s="227">
        <f>SUM(D155:F155)</f>
        <v>0</v>
      </c>
      <c r="H155" s="228"/>
      <c r="I155" s="187"/>
      <c r="J155" s="188"/>
      <c r="O155" s="177"/>
      <c r="P155" s="177"/>
    </row>
    <row r="156" spans="1:16" ht="19.5" customHeight="1">
      <c r="A156" s="2553"/>
      <c r="B156" s="2025"/>
      <c r="C156" s="248">
        <v>2015</v>
      </c>
      <c r="D156" s="231"/>
      <c r="E156" s="190"/>
      <c r="F156" s="232"/>
      <c r="G156" s="227">
        <f t="shared" ref="G156:G161" si="15">SUM(D156:F156)</f>
        <v>0</v>
      </c>
      <c r="H156" s="231"/>
      <c r="I156" s="190"/>
      <c r="J156" s="193"/>
      <c r="O156" s="177"/>
      <c r="P156" s="177"/>
    </row>
    <row r="157" spans="1:16" ht="17.25" customHeight="1">
      <c r="A157" s="2553"/>
      <c r="B157" s="2025"/>
      <c r="C157" s="248">
        <v>2016</v>
      </c>
      <c r="D157" s="231"/>
      <c r="E157" s="190"/>
      <c r="F157" s="232"/>
      <c r="G157" s="227">
        <f t="shared" si="15"/>
        <v>0</v>
      </c>
      <c r="H157" s="231"/>
      <c r="I157" s="190"/>
      <c r="J157" s="193"/>
      <c r="O157" s="177"/>
      <c r="P157" s="177"/>
    </row>
    <row r="158" spans="1:16" ht="15" customHeight="1">
      <c r="A158" s="2553"/>
      <c r="B158" s="2025"/>
      <c r="C158" s="248">
        <v>2017</v>
      </c>
      <c r="D158" s="231"/>
      <c r="E158" s="190"/>
      <c r="F158" s="232"/>
      <c r="G158" s="227">
        <f t="shared" si="15"/>
        <v>0</v>
      </c>
      <c r="H158" s="231"/>
      <c r="I158" s="190"/>
      <c r="J158" s="193"/>
      <c r="O158" s="177"/>
      <c r="P158" s="177"/>
    </row>
    <row r="159" spans="1:16" ht="19.5" customHeight="1">
      <c r="A159" s="2553"/>
      <c r="B159" s="2025"/>
      <c r="C159" s="248">
        <v>2018</v>
      </c>
      <c r="D159" s="231"/>
      <c r="E159" s="190"/>
      <c r="F159" s="232"/>
      <c r="G159" s="227">
        <f t="shared" si="15"/>
        <v>0</v>
      </c>
      <c r="H159" s="231"/>
      <c r="I159" s="190"/>
      <c r="J159" s="193"/>
      <c r="O159" s="177"/>
      <c r="P159" s="177"/>
    </row>
    <row r="160" spans="1:16" ht="15" customHeight="1">
      <c r="A160" s="2553"/>
      <c r="B160" s="2025"/>
      <c r="C160" s="248">
        <v>2019</v>
      </c>
      <c r="D160" s="231"/>
      <c r="E160" s="190"/>
      <c r="F160" s="232"/>
      <c r="G160" s="227">
        <f t="shared" si="15"/>
        <v>0</v>
      </c>
      <c r="H160" s="231"/>
      <c r="I160" s="190"/>
      <c r="J160" s="193"/>
      <c r="O160" s="177"/>
      <c r="P160" s="177"/>
    </row>
    <row r="161" spans="1:18" ht="17.25" customHeight="1">
      <c r="A161" s="2553"/>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1687"/>
      <c r="F163" s="177"/>
      <c r="G163" s="177"/>
      <c r="H163" s="177"/>
      <c r="I163" s="177"/>
      <c r="J163" s="255"/>
      <c r="K163" s="256"/>
    </row>
    <row r="164" spans="1:18" ht="95.25" customHeight="1">
      <c r="A164" s="1549" t="s">
        <v>102</v>
      </c>
      <c r="B164" s="258" t="s">
        <v>103</v>
      </c>
      <c r="C164" s="1447" t="s">
        <v>8</v>
      </c>
      <c r="D164" s="260" t="s">
        <v>104</v>
      </c>
      <c r="E164" s="260" t="s">
        <v>105</v>
      </c>
      <c r="F164" s="1688" t="s">
        <v>106</v>
      </c>
      <c r="G164" s="260" t="s">
        <v>107</v>
      </c>
      <c r="H164" s="260" t="s">
        <v>108</v>
      </c>
      <c r="I164" s="262" t="s">
        <v>109</v>
      </c>
      <c r="J164" s="1550" t="s">
        <v>110</v>
      </c>
      <c r="K164" s="1550" t="s">
        <v>111</v>
      </c>
      <c r="L164" s="1371"/>
    </row>
    <row r="165" spans="1:18" ht="15.75" customHeight="1">
      <c r="A165" s="2011"/>
      <c r="B165" s="2012"/>
      <c r="C165" s="265">
        <v>2014</v>
      </c>
      <c r="D165" s="187"/>
      <c r="E165" s="187"/>
      <c r="F165" s="187"/>
      <c r="G165" s="187"/>
      <c r="H165" s="187"/>
      <c r="I165" s="188"/>
      <c r="J165" s="1569">
        <f>SUM(D165,F165,H165)</f>
        <v>0</v>
      </c>
      <c r="K165" s="267">
        <f>SUM(E165,G165,I165)</f>
        <v>0</v>
      </c>
      <c r="L165" s="1371"/>
    </row>
    <row r="166" spans="1:18">
      <c r="A166" s="2013"/>
      <c r="B166" s="2014"/>
      <c r="C166" s="268">
        <v>2015</v>
      </c>
      <c r="D166" s="269"/>
      <c r="E166" s="269"/>
      <c r="F166" s="269"/>
      <c r="G166" s="269"/>
      <c r="H166" s="269"/>
      <c r="I166" s="270"/>
      <c r="J166" s="1570">
        <f t="shared" ref="J166:K171" si="17">SUM(D166,F166,H166)</f>
        <v>0</v>
      </c>
      <c r="K166" s="272">
        <f t="shared" si="17"/>
        <v>0</v>
      </c>
      <c r="L166" s="1371"/>
    </row>
    <row r="167" spans="1:18">
      <c r="A167" s="2013"/>
      <c r="B167" s="2014"/>
      <c r="C167" s="268">
        <v>2016</v>
      </c>
      <c r="D167" s="269"/>
      <c r="E167" s="269"/>
      <c r="F167" s="269"/>
      <c r="G167" s="269"/>
      <c r="H167" s="269"/>
      <c r="I167" s="270"/>
      <c r="J167" s="1570">
        <f t="shared" si="17"/>
        <v>0</v>
      </c>
      <c r="K167" s="272">
        <f t="shared" si="17"/>
        <v>0</v>
      </c>
    </row>
    <row r="168" spans="1:18">
      <c r="A168" s="2013"/>
      <c r="B168" s="2014"/>
      <c r="C168" s="268">
        <v>2017</v>
      </c>
      <c r="D168" s="269"/>
      <c r="E168" s="177"/>
      <c r="F168" s="269"/>
      <c r="G168" s="269"/>
      <c r="H168" s="269"/>
      <c r="I168" s="270"/>
      <c r="J168" s="1570">
        <f t="shared" si="17"/>
        <v>0</v>
      </c>
      <c r="K168" s="272">
        <f t="shared" si="17"/>
        <v>0</v>
      </c>
    </row>
    <row r="169" spans="1:18">
      <c r="A169" s="2013"/>
      <c r="B169" s="2014"/>
      <c r="C169" s="273">
        <v>2018</v>
      </c>
      <c r="D169" s="269"/>
      <c r="E169" s="269"/>
      <c r="F169" s="269"/>
      <c r="G169" s="274"/>
      <c r="H169" s="269"/>
      <c r="I169" s="270"/>
      <c r="J169" s="1570">
        <f t="shared" si="17"/>
        <v>0</v>
      </c>
      <c r="K169" s="272">
        <f t="shared" si="17"/>
        <v>0</v>
      </c>
      <c r="L169" s="1371"/>
    </row>
    <row r="170" spans="1:18">
      <c r="A170" s="2013"/>
      <c r="B170" s="2014"/>
      <c r="C170" s="268">
        <v>2019</v>
      </c>
      <c r="D170" s="177"/>
      <c r="E170" s="269"/>
      <c r="F170" s="269"/>
      <c r="G170" s="269"/>
      <c r="H170" s="274"/>
      <c r="I170" s="270"/>
      <c r="J170" s="1570">
        <f t="shared" si="17"/>
        <v>0</v>
      </c>
      <c r="K170" s="272">
        <f t="shared" si="17"/>
        <v>0</v>
      </c>
      <c r="L170" s="1371"/>
    </row>
    <row r="171" spans="1:18">
      <c r="A171" s="2013"/>
      <c r="B171" s="2014"/>
      <c r="C171" s="273">
        <v>2020</v>
      </c>
      <c r="D171" s="269"/>
      <c r="E171" s="269"/>
      <c r="F171" s="269"/>
      <c r="G171" s="269"/>
      <c r="H171" s="269"/>
      <c r="I171" s="270"/>
      <c r="J171" s="1570">
        <f t="shared" si="17"/>
        <v>0</v>
      </c>
      <c r="K171" s="272">
        <f t="shared" si="17"/>
        <v>0</v>
      </c>
      <c r="L171" s="1371"/>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1371"/>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887" t="s">
        <v>113</v>
      </c>
      <c r="B176" s="2885" t="s">
        <v>114</v>
      </c>
      <c r="C176" s="2888" t="s">
        <v>8</v>
      </c>
      <c r="D176" s="1551" t="s">
        <v>115</v>
      </c>
      <c r="E176" s="1689"/>
      <c r="F176" s="1689"/>
      <c r="G176" s="1690"/>
      <c r="H176" s="1553"/>
      <c r="I176" s="2751" t="s">
        <v>116</v>
      </c>
      <c r="J176" s="2889"/>
      <c r="K176" s="2889"/>
      <c r="L176" s="2889"/>
      <c r="M176" s="2889"/>
      <c r="N176" s="2889"/>
      <c r="O176" s="2890"/>
    </row>
    <row r="177" spans="1:15" s="31" customFormat="1" ht="129.75" customHeight="1">
      <c r="A177" s="2793"/>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552" t="s">
        <v>511</v>
      </c>
      <c r="B178" s="2025"/>
      <c r="C178" s="112">
        <v>2014</v>
      </c>
      <c r="D178" s="33"/>
      <c r="E178" s="34"/>
      <c r="F178" s="34"/>
      <c r="G178" s="293">
        <f>SUM(D178:F178)</f>
        <v>0</v>
      </c>
      <c r="H178" s="167"/>
      <c r="I178" s="167"/>
      <c r="J178" s="34"/>
      <c r="K178" s="34"/>
      <c r="L178" s="34"/>
      <c r="M178" s="34"/>
      <c r="N178" s="34"/>
      <c r="O178" s="37"/>
    </row>
    <row r="179" spans="1:15">
      <c r="A179" s="2553"/>
      <c r="B179" s="2025"/>
      <c r="C179" s="116">
        <v>2015</v>
      </c>
      <c r="D179" s="50">
        <v>7</v>
      </c>
      <c r="E179" s="42"/>
      <c r="F179" s="42"/>
      <c r="G179" s="293">
        <f t="shared" ref="G179:G184" si="19">SUM(D179:F179)</f>
        <v>7</v>
      </c>
      <c r="H179" s="294">
        <v>9</v>
      </c>
      <c r="I179" s="118">
        <v>7</v>
      </c>
      <c r="J179" s="42"/>
      <c r="K179" s="42"/>
      <c r="L179" s="42"/>
      <c r="M179" s="42"/>
      <c r="N179" s="42"/>
      <c r="O179" s="99"/>
    </row>
    <row r="180" spans="1:15">
      <c r="A180" s="2553"/>
      <c r="B180" s="2025"/>
      <c r="C180" s="116">
        <v>2016</v>
      </c>
      <c r="D180" s="50">
        <v>6</v>
      </c>
      <c r="E180" s="42"/>
      <c r="F180" s="42"/>
      <c r="G180" s="293">
        <f t="shared" si="19"/>
        <v>6</v>
      </c>
      <c r="H180" s="294">
        <v>6</v>
      </c>
      <c r="I180" s="118">
        <v>6</v>
      </c>
      <c r="J180" s="42"/>
      <c r="K180" s="42"/>
      <c r="L180" s="42"/>
      <c r="M180" s="42"/>
      <c r="N180" s="42"/>
      <c r="O180" s="99"/>
    </row>
    <row r="181" spans="1:15">
      <c r="A181" s="2553"/>
      <c r="B181" s="2025"/>
      <c r="C181" s="116">
        <v>2017</v>
      </c>
      <c r="D181" s="50"/>
      <c r="E181" s="42"/>
      <c r="F181" s="42"/>
      <c r="G181" s="293">
        <f t="shared" si="19"/>
        <v>0</v>
      </c>
      <c r="H181" s="294"/>
      <c r="I181" s="118"/>
      <c r="J181" s="42"/>
      <c r="K181" s="42"/>
      <c r="L181" s="42"/>
      <c r="M181" s="42"/>
      <c r="N181" s="42"/>
      <c r="O181" s="99"/>
    </row>
    <row r="182" spans="1:15">
      <c r="A182" s="2553"/>
      <c r="B182" s="2025"/>
      <c r="C182" s="116">
        <v>2018</v>
      </c>
      <c r="D182" s="50"/>
      <c r="E182" s="42"/>
      <c r="F182" s="42"/>
      <c r="G182" s="293">
        <f t="shared" si="19"/>
        <v>0</v>
      </c>
      <c r="H182" s="294"/>
      <c r="I182" s="118"/>
      <c r="J182" s="42"/>
      <c r="K182" s="42"/>
      <c r="L182" s="42"/>
      <c r="M182" s="42"/>
      <c r="N182" s="42"/>
      <c r="O182" s="99"/>
    </row>
    <row r="183" spans="1:15">
      <c r="A183" s="2553"/>
      <c r="B183" s="2025"/>
      <c r="C183" s="116">
        <v>2019</v>
      </c>
      <c r="D183" s="50"/>
      <c r="E183" s="42"/>
      <c r="F183" s="42"/>
      <c r="G183" s="293">
        <f t="shared" si="19"/>
        <v>0</v>
      </c>
      <c r="H183" s="294"/>
      <c r="I183" s="118"/>
      <c r="J183" s="42"/>
      <c r="K183" s="42"/>
      <c r="L183" s="42"/>
      <c r="M183" s="42"/>
      <c r="N183" s="42"/>
      <c r="O183" s="99"/>
    </row>
    <row r="184" spans="1:15">
      <c r="A184" s="2553"/>
      <c r="B184" s="2025"/>
      <c r="C184" s="116">
        <v>2020</v>
      </c>
      <c r="D184" s="50"/>
      <c r="E184" s="42"/>
      <c r="F184" s="42"/>
      <c r="G184" s="293">
        <f t="shared" si="19"/>
        <v>0</v>
      </c>
      <c r="H184" s="294"/>
      <c r="I184" s="118"/>
      <c r="J184" s="42"/>
      <c r="K184" s="42"/>
      <c r="L184" s="42"/>
      <c r="M184" s="42"/>
      <c r="N184" s="42"/>
      <c r="O184" s="99"/>
    </row>
    <row r="185" spans="1:15" ht="45" customHeight="1" thickBot="1">
      <c r="A185" s="2026"/>
      <c r="B185" s="2027"/>
      <c r="C185" s="122" t="s">
        <v>12</v>
      </c>
      <c r="D185" s="151">
        <f>SUM(D178:D184)</f>
        <v>13</v>
      </c>
      <c r="E185" s="125">
        <f>SUM(E178:E184)</f>
        <v>0</v>
      </c>
      <c r="F185" s="125">
        <f>SUM(F178:F184)</f>
        <v>0</v>
      </c>
      <c r="G185" s="234">
        <f t="shared" ref="G185:O185" si="20">SUM(G178:G184)</f>
        <v>13</v>
      </c>
      <c r="H185" s="295">
        <f t="shared" si="20"/>
        <v>15</v>
      </c>
      <c r="I185" s="124">
        <f t="shared" si="20"/>
        <v>13</v>
      </c>
      <c r="J185" s="125">
        <f t="shared" si="20"/>
        <v>0</v>
      </c>
      <c r="K185" s="125">
        <f t="shared" si="20"/>
        <v>0</v>
      </c>
      <c r="L185" s="125">
        <f t="shared" si="20"/>
        <v>0</v>
      </c>
      <c r="M185" s="125">
        <f t="shared" si="20"/>
        <v>0</v>
      </c>
      <c r="N185" s="125">
        <f t="shared" si="20"/>
        <v>0</v>
      </c>
      <c r="O185" s="126">
        <f t="shared" si="20"/>
        <v>0</v>
      </c>
    </row>
    <row r="186" spans="1:15" ht="33" customHeight="1" thickBot="1"/>
    <row r="187" spans="1:15" ht="19.5" customHeight="1">
      <c r="A187" s="2758" t="s">
        <v>122</v>
      </c>
      <c r="B187" s="2885" t="s">
        <v>114</v>
      </c>
      <c r="C187" s="1998" t="s">
        <v>8</v>
      </c>
      <c r="D187" s="2000" t="s">
        <v>123</v>
      </c>
      <c r="E187" s="2886"/>
      <c r="F187" s="2886"/>
      <c r="G187" s="2759"/>
      <c r="H187" s="2747"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111"/>
      <c r="B189" s="2112"/>
      <c r="C189" s="392">
        <v>2014</v>
      </c>
      <c r="D189" s="142"/>
      <c r="E189" s="115"/>
      <c r="F189" s="115"/>
      <c r="G189" s="301">
        <f>SUM(D189:F189)</f>
        <v>0</v>
      </c>
      <c r="H189" s="114"/>
      <c r="I189" s="115"/>
      <c r="J189" s="115"/>
      <c r="K189" s="115"/>
      <c r="L189" s="143"/>
    </row>
    <row r="190" spans="1:15">
      <c r="A190" s="2557"/>
      <c r="B190" s="1988"/>
      <c r="C190" s="86">
        <v>2015</v>
      </c>
      <c r="D190" s="50">
        <v>181</v>
      </c>
      <c r="E190" s="42"/>
      <c r="F190" s="42"/>
      <c r="G190" s="301">
        <f t="shared" ref="G190:G195" si="21">SUM(D190:F190)</f>
        <v>181</v>
      </c>
      <c r="H190" s="118"/>
      <c r="I190" s="42"/>
      <c r="J190" s="42">
        <v>181</v>
      </c>
      <c r="K190" s="42"/>
      <c r="L190" s="99"/>
    </row>
    <row r="191" spans="1:15">
      <c r="A191" s="2557"/>
      <c r="B191" s="1988"/>
      <c r="C191" s="86">
        <v>2016</v>
      </c>
      <c r="D191" s="50">
        <v>66</v>
      </c>
      <c r="E191" s="42"/>
      <c r="F191" s="42"/>
      <c r="G191" s="301">
        <f t="shared" si="21"/>
        <v>66</v>
      </c>
      <c r="H191" s="118"/>
      <c r="I191" s="42"/>
      <c r="J191" s="42">
        <v>66</v>
      </c>
      <c r="K191" s="42"/>
      <c r="L191" s="99"/>
    </row>
    <row r="192" spans="1:15">
      <c r="A192" s="2557"/>
      <c r="B192" s="1988"/>
      <c r="C192" s="86">
        <v>2017</v>
      </c>
      <c r="D192" s="50"/>
      <c r="E192" s="42"/>
      <c r="F192" s="42"/>
      <c r="G192" s="301">
        <f t="shared" si="21"/>
        <v>0</v>
      </c>
      <c r="H192" s="118"/>
      <c r="I192" s="42"/>
      <c r="J192" s="42"/>
      <c r="K192" s="42"/>
      <c r="L192" s="99"/>
    </row>
    <row r="193" spans="1:14">
      <c r="A193" s="2557"/>
      <c r="B193" s="1988"/>
      <c r="C193" s="86">
        <v>2018</v>
      </c>
      <c r="D193" s="50"/>
      <c r="E193" s="42"/>
      <c r="F193" s="42"/>
      <c r="G193" s="301">
        <f t="shared" si="21"/>
        <v>0</v>
      </c>
      <c r="H193" s="118"/>
      <c r="I193" s="42"/>
      <c r="J193" s="42"/>
      <c r="K193" s="42"/>
      <c r="L193" s="99"/>
    </row>
    <row r="194" spans="1:14">
      <c r="A194" s="2557"/>
      <c r="B194" s="1988"/>
      <c r="C194" s="86">
        <v>2019</v>
      </c>
      <c r="D194" s="50"/>
      <c r="E194" s="42"/>
      <c r="F194" s="42"/>
      <c r="G194" s="301">
        <f t="shared" si="21"/>
        <v>0</v>
      </c>
      <c r="H194" s="118"/>
      <c r="I194" s="42"/>
      <c r="J194" s="42"/>
      <c r="K194" s="42"/>
      <c r="L194" s="99"/>
    </row>
    <row r="195" spans="1:14">
      <c r="A195" s="2557"/>
      <c r="B195" s="1988"/>
      <c r="C195" s="86">
        <v>2020</v>
      </c>
      <c r="D195" s="50"/>
      <c r="E195" s="42"/>
      <c r="F195" s="42"/>
      <c r="G195" s="301">
        <f t="shared" si="21"/>
        <v>0</v>
      </c>
      <c r="H195" s="118"/>
      <c r="I195" s="42"/>
      <c r="J195" s="42"/>
      <c r="K195" s="42"/>
      <c r="L195" s="99"/>
    </row>
    <row r="196" spans="1:14" ht="15.75" thickBot="1">
      <c r="A196" s="2114"/>
      <c r="B196" s="1990"/>
      <c r="C196" s="148" t="s">
        <v>12</v>
      </c>
      <c r="D196" s="151">
        <f t="shared" ref="D196:L196" si="22">SUM(D189:D195)</f>
        <v>247</v>
      </c>
      <c r="E196" s="125">
        <f t="shared" si="22"/>
        <v>0</v>
      </c>
      <c r="F196" s="125">
        <f t="shared" si="22"/>
        <v>0</v>
      </c>
      <c r="G196" s="304">
        <f t="shared" si="22"/>
        <v>247</v>
      </c>
      <c r="H196" s="124">
        <f t="shared" si="22"/>
        <v>0</v>
      </c>
      <c r="I196" s="125">
        <f t="shared" si="22"/>
        <v>0</v>
      </c>
      <c r="J196" s="125">
        <f t="shared" si="22"/>
        <v>247</v>
      </c>
      <c r="K196" s="125">
        <f t="shared" si="22"/>
        <v>0</v>
      </c>
      <c r="L196" s="126">
        <f t="shared" si="22"/>
        <v>0</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1691" t="s">
        <v>135</v>
      </c>
      <c r="B201" s="309" t="s">
        <v>114</v>
      </c>
      <c r="C201" s="310" t="s">
        <v>8</v>
      </c>
      <c r="D201" s="1555" t="s">
        <v>136</v>
      </c>
      <c r="E201" s="312" t="s">
        <v>137</v>
      </c>
      <c r="F201" s="312" t="s">
        <v>138</v>
      </c>
      <c r="G201" s="310" t="s">
        <v>139</v>
      </c>
      <c r="H201" s="1692" t="s">
        <v>140</v>
      </c>
      <c r="I201" s="1556" t="s">
        <v>141</v>
      </c>
      <c r="J201" s="1557" t="s">
        <v>142</v>
      </c>
      <c r="K201" s="312" t="s">
        <v>143</v>
      </c>
      <c r="L201" s="316" t="s">
        <v>144</v>
      </c>
    </row>
    <row r="202" spans="1:14" ht="15" customHeight="1">
      <c r="A202" s="2551"/>
      <c r="B202" s="1988"/>
      <c r="C202" s="84">
        <v>2014</v>
      </c>
      <c r="D202" s="33"/>
      <c r="E202" s="34"/>
      <c r="F202" s="34"/>
      <c r="G202" s="32"/>
      <c r="H202" s="317"/>
      <c r="I202" s="318"/>
      <c r="J202" s="319"/>
      <c r="K202" s="34"/>
      <c r="L202" s="37"/>
    </row>
    <row r="203" spans="1:14">
      <c r="A203" s="2551"/>
      <c r="B203" s="1988"/>
      <c r="C203" s="86">
        <v>2015</v>
      </c>
      <c r="D203" s="50"/>
      <c r="E203" s="42"/>
      <c r="F203" s="42"/>
      <c r="G203" s="39"/>
      <c r="H203" s="320"/>
      <c r="I203" s="321"/>
      <c r="J203" s="322"/>
      <c r="K203" s="42"/>
      <c r="L203" s="99"/>
    </row>
    <row r="204" spans="1:14">
      <c r="A204" s="2551"/>
      <c r="B204" s="1988"/>
      <c r="C204" s="86">
        <v>2016</v>
      </c>
      <c r="D204" s="50"/>
      <c r="E204" s="42"/>
      <c r="F204" s="42"/>
      <c r="G204" s="39"/>
      <c r="H204" s="320"/>
      <c r="I204" s="321"/>
      <c r="J204" s="322"/>
      <c r="K204" s="42"/>
      <c r="L204" s="99"/>
    </row>
    <row r="205" spans="1:14">
      <c r="A205" s="2551"/>
      <c r="B205" s="1988"/>
      <c r="C205" s="86">
        <v>2017</v>
      </c>
      <c r="D205" s="50"/>
      <c r="E205" s="42"/>
      <c r="F205" s="42"/>
      <c r="G205" s="39"/>
      <c r="H205" s="320"/>
      <c r="I205" s="321"/>
      <c r="J205" s="322"/>
      <c r="K205" s="42"/>
      <c r="L205" s="99"/>
    </row>
    <row r="206" spans="1:14">
      <c r="A206" s="2551"/>
      <c r="B206" s="1988"/>
      <c r="C206" s="86">
        <v>2018</v>
      </c>
      <c r="D206" s="50"/>
      <c r="E206" s="42"/>
      <c r="F206" s="42"/>
      <c r="G206" s="39"/>
      <c r="H206" s="320"/>
      <c r="I206" s="321"/>
      <c r="J206" s="322"/>
      <c r="K206" s="42"/>
      <c r="L206" s="99"/>
    </row>
    <row r="207" spans="1:14">
      <c r="A207" s="2551"/>
      <c r="B207" s="1988"/>
      <c r="C207" s="86">
        <v>2019</v>
      </c>
      <c r="D207" s="50"/>
      <c r="E207" s="42"/>
      <c r="F207" s="42"/>
      <c r="G207" s="39"/>
      <c r="H207" s="320"/>
      <c r="I207" s="321"/>
      <c r="J207" s="322"/>
      <c r="K207" s="42"/>
      <c r="L207" s="99"/>
    </row>
    <row r="208" spans="1:14">
      <c r="A208" s="2551"/>
      <c r="B208" s="1988"/>
      <c r="C208" s="86">
        <v>2020</v>
      </c>
      <c r="D208" s="1657"/>
      <c r="E208" s="324"/>
      <c r="F208" s="324"/>
      <c r="G208" s="325"/>
      <c r="H208" s="326"/>
      <c r="I208" s="327"/>
      <c r="J208" s="328"/>
      <c r="K208" s="324"/>
      <c r="L208" s="329"/>
    </row>
    <row r="209" spans="1:12" ht="20.25" customHeight="1" thickBot="1">
      <c r="A209" s="1989"/>
      <c r="B209" s="1990"/>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1693" t="s">
        <v>145</v>
      </c>
      <c r="B212" s="331" t="s">
        <v>146</v>
      </c>
      <c r="C212" s="332">
        <v>2014</v>
      </c>
      <c r="D212" s="333">
        <v>2015</v>
      </c>
      <c r="E212" s="333">
        <v>2016</v>
      </c>
      <c r="F212" s="333">
        <v>2017</v>
      </c>
      <c r="G212" s="333">
        <v>2018</v>
      </c>
      <c r="H212" s="333">
        <v>2019</v>
      </c>
      <c r="I212" s="334">
        <v>2020</v>
      </c>
    </row>
    <row r="213" spans="1:12" ht="15" customHeight="1">
      <c r="A213" t="s">
        <v>147</v>
      </c>
      <c r="B213" s="2196"/>
      <c r="C213" s="84"/>
      <c r="D213" s="147">
        <f>D214+D215+D216+D217</f>
        <v>69447.180000000008</v>
      </c>
      <c r="E213" s="403">
        <v>196722.95</v>
      </c>
      <c r="F213" s="147"/>
      <c r="G213" s="147"/>
      <c r="H213" s="147"/>
      <c r="I213" s="335"/>
    </row>
    <row r="214" spans="1:12">
      <c r="A214" t="s">
        <v>149</v>
      </c>
      <c r="B214" s="2168"/>
      <c r="C214" s="84"/>
      <c r="D214" s="147">
        <v>68402.080000000002</v>
      </c>
      <c r="E214" s="403">
        <v>196722.95</v>
      </c>
      <c r="F214" s="147"/>
      <c r="G214" s="147"/>
      <c r="H214" s="147"/>
      <c r="I214" s="335"/>
    </row>
    <row r="215" spans="1:12">
      <c r="A215" t="s">
        <v>150</v>
      </c>
      <c r="B215" s="2168"/>
      <c r="C215" s="84"/>
      <c r="D215" s="147"/>
      <c r="E215" s="403"/>
      <c r="F215" s="147"/>
      <c r="G215" s="147"/>
      <c r="H215" s="147"/>
      <c r="I215" s="335"/>
    </row>
    <row r="216" spans="1:12">
      <c r="A216" t="s">
        <v>151</v>
      </c>
      <c r="B216" s="2168"/>
      <c r="C216" s="84"/>
      <c r="D216" s="147">
        <v>1045.0999999999999</v>
      </c>
      <c r="E216" s="403">
        <v>0</v>
      </c>
      <c r="F216" s="147"/>
      <c r="G216" s="147"/>
      <c r="H216" s="147"/>
      <c r="I216" s="335"/>
    </row>
    <row r="217" spans="1:12">
      <c r="A217" t="s">
        <v>152</v>
      </c>
      <c r="B217" s="2168"/>
      <c r="C217" s="84"/>
      <c r="D217" s="147"/>
      <c r="E217" s="403">
        <v>0</v>
      </c>
      <c r="F217" s="147"/>
      <c r="G217" s="147"/>
      <c r="H217" s="147"/>
      <c r="I217" s="335"/>
    </row>
    <row r="218" spans="1:12" ht="30">
      <c r="A218" s="31" t="s">
        <v>153</v>
      </c>
      <c r="B218" s="2168"/>
      <c r="C218" s="84"/>
      <c r="D218" s="147">
        <v>37561.550000000003</v>
      </c>
      <c r="E218" s="403">
        <v>123639.35</v>
      </c>
      <c r="F218" s="147"/>
      <c r="G218" s="147"/>
      <c r="H218" s="147"/>
      <c r="I218" s="335"/>
    </row>
    <row r="219" spans="1:12" ht="15.75" thickBot="1">
      <c r="A219" s="1656"/>
      <c r="B219" s="2169"/>
      <c r="C219" s="54" t="s">
        <v>12</v>
      </c>
      <c r="D219" s="337">
        <f>SUM(D214:D218)</f>
        <v>107008.73000000001</v>
      </c>
      <c r="E219" s="405">
        <f t="shared" ref="E219:I219" si="24">SUM(E214:E218)</f>
        <v>320362.30000000005</v>
      </c>
      <c r="F219" s="337">
        <f t="shared" si="24"/>
        <v>0</v>
      </c>
      <c r="G219" s="337">
        <f t="shared" si="24"/>
        <v>0</v>
      </c>
      <c r="H219" s="337">
        <f t="shared" si="24"/>
        <v>0</v>
      </c>
      <c r="I219" s="337">
        <f t="shared" si="24"/>
        <v>0</v>
      </c>
    </row>
    <row r="227" spans="1:1">
      <c r="A227"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3"/>
  <dimension ref="A1:Y227"/>
  <sheetViews>
    <sheetView topLeftCell="A202" workbookViewId="0">
      <selection activeCell="E219" sqref="E219"/>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546</v>
      </c>
      <c r="C1" s="2077"/>
      <c r="D1" s="2077"/>
      <c r="E1" s="2077"/>
      <c r="F1" s="2077"/>
    </row>
    <row r="2" spans="1:25" s="2" customFormat="1" ht="20.100000000000001" customHeight="1" thickBot="1"/>
    <row r="3" spans="1:25" s="5" customFormat="1" ht="20.100000000000001" customHeight="1">
      <c r="A3" s="1571" t="s">
        <v>1</v>
      </c>
      <c r="B3" s="1572"/>
      <c r="C3" s="1572"/>
      <c r="D3" s="1572"/>
      <c r="E3" s="1572"/>
      <c r="F3" s="2768"/>
      <c r="G3" s="2768"/>
      <c r="H3" s="2768"/>
      <c r="I3" s="2768"/>
      <c r="J3" s="2768"/>
      <c r="K3" s="2768"/>
      <c r="L3" s="2768"/>
      <c r="M3" s="2768"/>
      <c r="N3" s="2768"/>
      <c r="O3" s="2769"/>
    </row>
    <row r="4" spans="1:25" s="5" customFormat="1" ht="20.100000000000001" customHeight="1">
      <c r="A4" s="2566" t="s">
        <v>2</v>
      </c>
      <c r="B4" s="2081"/>
      <c r="C4" s="2081"/>
      <c r="D4" s="2081"/>
      <c r="E4" s="2081"/>
      <c r="F4" s="2081"/>
      <c r="G4" s="2081"/>
      <c r="H4" s="2081"/>
      <c r="I4" s="2081"/>
      <c r="J4" s="2081"/>
      <c r="K4" s="2081"/>
      <c r="L4" s="2081"/>
      <c r="M4" s="2081"/>
      <c r="N4" s="2081"/>
      <c r="O4" s="2082"/>
    </row>
    <row r="5" spans="1:25" s="5" customFormat="1" ht="20.100000000000001" customHeight="1">
      <c r="A5" s="2566"/>
      <c r="B5" s="2081"/>
      <c r="C5" s="2081"/>
      <c r="D5" s="2081"/>
      <c r="E5" s="2081"/>
      <c r="F5" s="2081"/>
      <c r="G5" s="2081"/>
      <c r="H5" s="2081"/>
      <c r="I5" s="2081"/>
      <c r="J5" s="2081"/>
      <c r="K5" s="2081"/>
      <c r="L5" s="2081"/>
      <c r="M5" s="2081"/>
      <c r="N5" s="2081"/>
      <c r="O5" s="2082"/>
    </row>
    <row r="6" spans="1:25" s="5" customFormat="1" ht="20.100000000000001" customHeight="1">
      <c r="A6" s="2566"/>
      <c r="B6" s="2081"/>
      <c r="C6" s="2081"/>
      <c r="D6" s="2081"/>
      <c r="E6" s="2081"/>
      <c r="F6" s="2081"/>
      <c r="G6" s="2081"/>
      <c r="H6" s="2081"/>
      <c r="I6" s="2081"/>
      <c r="J6" s="2081"/>
      <c r="K6" s="2081"/>
      <c r="L6" s="2081"/>
      <c r="M6" s="2081"/>
      <c r="N6" s="2081"/>
      <c r="O6" s="2082"/>
    </row>
    <row r="7" spans="1:25" s="5" customFormat="1" ht="20.100000000000001" customHeight="1">
      <c r="A7" s="2566"/>
      <c r="B7" s="2081"/>
      <c r="C7" s="2081"/>
      <c r="D7" s="2081"/>
      <c r="E7" s="2081"/>
      <c r="F7" s="2081"/>
      <c r="G7" s="2081"/>
      <c r="H7" s="2081"/>
      <c r="I7" s="2081"/>
      <c r="J7" s="2081"/>
      <c r="K7" s="2081"/>
      <c r="L7" s="2081"/>
      <c r="M7" s="2081"/>
      <c r="N7" s="2081"/>
      <c r="O7" s="2082"/>
    </row>
    <row r="8" spans="1:25" s="5" customFormat="1" ht="20.100000000000001" customHeight="1">
      <c r="A8" s="2566"/>
      <c r="B8" s="2081"/>
      <c r="C8" s="2081"/>
      <c r="D8" s="2081"/>
      <c r="E8" s="2081"/>
      <c r="F8" s="2081"/>
      <c r="G8" s="2081"/>
      <c r="H8" s="2081"/>
      <c r="I8" s="2081"/>
      <c r="J8" s="2081"/>
      <c r="K8" s="2081"/>
      <c r="L8" s="2081"/>
      <c r="M8" s="2081"/>
      <c r="N8" s="2081"/>
      <c r="O8" s="2082"/>
    </row>
    <row r="9" spans="1:25" s="5" customFormat="1" ht="20.100000000000001" customHeight="1">
      <c r="A9" s="2566"/>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1708"/>
      <c r="B15" s="1709"/>
      <c r="C15" s="11"/>
      <c r="D15" s="2718" t="s">
        <v>4</v>
      </c>
      <c r="E15" s="2852"/>
      <c r="F15" s="2852"/>
      <c r="G15" s="2852"/>
      <c r="H15" s="1520"/>
      <c r="I15" s="13" t="s">
        <v>5</v>
      </c>
      <c r="J15" s="14"/>
      <c r="K15" s="14"/>
      <c r="L15" s="14"/>
      <c r="M15" s="14"/>
      <c r="N15" s="14"/>
      <c r="O15" s="15"/>
      <c r="P15" s="16"/>
      <c r="Q15" s="17"/>
      <c r="R15" s="18"/>
      <c r="S15" s="18"/>
      <c r="T15" s="18"/>
      <c r="U15" s="18"/>
      <c r="V15" s="18"/>
      <c r="W15" s="16"/>
      <c r="X15" s="16"/>
      <c r="Y15" s="17"/>
    </row>
    <row r="16" spans="1:25" s="31" customFormat="1" ht="129" customHeight="1">
      <c r="A16" s="1697"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563" t="s">
        <v>547</v>
      </c>
      <c r="B17" s="19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558"/>
      <c r="B18" s="1988"/>
      <c r="C18" s="39">
        <v>2015</v>
      </c>
      <c r="D18" s="50">
        <v>1</v>
      </c>
      <c r="E18" s="42"/>
      <c r="F18" s="42"/>
      <c r="G18" s="35">
        <f>SUM(D18:F18)</f>
        <v>1</v>
      </c>
      <c r="H18" s="51">
        <v>1</v>
      </c>
      <c r="I18" s="42"/>
      <c r="J18" s="42"/>
      <c r="K18" s="42"/>
      <c r="L18" s="42"/>
      <c r="M18" s="42"/>
      <c r="N18" s="42"/>
      <c r="O18" s="52"/>
      <c r="P18" s="38"/>
      <c r="Q18" s="38"/>
      <c r="R18" s="38"/>
      <c r="S18" s="38"/>
      <c r="T18" s="38"/>
      <c r="U18" s="38"/>
      <c r="V18" s="38"/>
      <c r="W18" s="38"/>
      <c r="X18" s="38"/>
      <c r="Y18" s="38"/>
    </row>
    <row r="19" spans="1:25">
      <c r="A19" s="2558"/>
      <c r="B19" s="1988"/>
      <c r="C19" s="39">
        <v>2016</v>
      </c>
      <c r="D19" s="50">
        <v>28</v>
      </c>
      <c r="E19" s="42"/>
      <c r="F19" s="42"/>
      <c r="G19" s="35">
        <f t="shared" si="0"/>
        <v>28</v>
      </c>
      <c r="H19" s="51">
        <v>28</v>
      </c>
      <c r="I19" s="42"/>
      <c r="J19" s="42"/>
      <c r="K19" s="42"/>
      <c r="L19" s="42"/>
      <c r="M19" s="42"/>
      <c r="N19" s="42"/>
      <c r="O19" s="52"/>
      <c r="P19" s="38"/>
      <c r="Q19" s="38"/>
      <c r="R19" s="38"/>
      <c r="S19" s="38"/>
      <c r="T19" s="38"/>
      <c r="U19" s="38"/>
      <c r="V19" s="38"/>
      <c r="W19" s="38"/>
      <c r="X19" s="38"/>
      <c r="Y19" s="38"/>
    </row>
    <row r="20" spans="1:25">
      <c r="A20" s="2558"/>
      <c r="B20" s="1988"/>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2558"/>
      <c r="B21" s="1988"/>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2558"/>
      <c r="B22" s="1988"/>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2558"/>
      <c r="B23" s="1988"/>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19.5" customHeight="1" thickBot="1">
      <c r="A24" s="1989"/>
      <c r="B24" s="1990"/>
      <c r="C24" s="54" t="s">
        <v>12</v>
      </c>
      <c r="D24" s="55">
        <f>SUM(D17:D23)</f>
        <v>29</v>
      </c>
      <c r="E24" s="56">
        <f>SUM(E17:E23)</f>
        <v>0</v>
      </c>
      <c r="F24" s="56">
        <f>SUM(F17:F23)</f>
        <v>0</v>
      </c>
      <c r="G24" s="57">
        <f>SUM(D24:F24)</f>
        <v>29</v>
      </c>
      <c r="H24" s="58">
        <f>SUM(H17:H23)</f>
        <v>29</v>
      </c>
      <c r="I24" s="59">
        <f>SUM(I17:I23)</f>
        <v>0</v>
      </c>
      <c r="J24" s="59">
        <f t="shared" ref="J24:N24" si="1">SUM(J17:J23)</f>
        <v>0</v>
      </c>
      <c r="K24" s="59">
        <f t="shared" si="1"/>
        <v>0</v>
      </c>
      <c r="L24" s="59">
        <f t="shared" si="1"/>
        <v>0</v>
      </c>
      <c r="M24" s="59">
        <f t="shared" si="1"/>
        <v>0</v>
      </c>
      <c r="N24" s="59">
        <f t="shared" si="1"/>
        <v>0</v>
      </c>
      <c r="O24" s="60">
        <f>SUM(O17:O23)</f>
        <v>0</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1708"/>
      <c r="B26" s="1709"/>
      <c r="C26" s="63"/>
      <c r="D26" s="2723" t="s">
        <v>4</v>
      </c>
      <c r="E26" s="2853"/>
      <c r="F26" s="2853"/>
      <c r="G26" s="2854"/>
      <c r="H26" s="16"/>
      <c r="I26" s="17"/>
      <c r="J26" s="18"/>
      <c r="K26" s="18"/>
      <c r="L26" s="18"/>
      <c r="M26" s="18"/>
      <c r="N26" s="18"/>
      <c r="O26" s="16"/>
      <c r="P26" s="16"/>
    </row>
    <row r="27" spans="1:25" s="31" customFormat="1" ht="93" customHeight="1">
      <c r="A27" s="1377"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563"/>
      <c r="B28" s="1988"/>
      <c r="C28" s="68">
        <v>2014</v>
      </c>
      <c r="D28" s="36"/>
      <c r="E28" s="34"/>
      <c r="F28" s="34"/>
      <c r="G28" s="69">
        <f>SUM(D28:F28)</f>
        <v>0</v>
      </c>
      <c r="H28" s="38"/>
      <c r="I28" s="38"/>
      <c r="J28" s="38"/>
      <c r="K28" s="38"/>
      <c r="L28" s="38"/>
      <c r="M28" s="38"/>
      <c r="N28" s="38"/>
      <c r="O28" s="38"/>
      <c r="P28" s="38"/>
      <c r="Q28" s="8"/>
    </row>
    <row r="29" spans="1:25">
      <c r="A29" s="2558"/>
      <c r="B29" s="1988"/>
      <c r="C29" s="70">
        <v>2015</v>
      </c>
      <c r="D29" s="51">
        <v>60</v>
      </c>
      <c r="E29" s="42"/>
      <c r="F29" s="42"/>
      <c r="G29" s="69">
        <f t="shared" ref="G29:G35" si="2">SUM(D29:F29)</f>
        <v>60</v>
      </c>
      <c r="H29" s="38"/>
      <c r="I29" s="38"/>
      <c r="J29" s="38"/>
      <c r="K29" s="38"/>
      <c r="L29" s="38"/>
      <c r="M29" s="38"/>
      <c r="N29" s="38"/>
      <c r="O29" s="38"/>
      <c r="P29" s="38"/>
      <c r="Q29" s="8"/>
    </row>
    <row r="30" spans="1:25">
      <c r="A30" s="2558"/>
      <c r="B30" s="1988"/>
      <c r="C30" s="70">
        <v>2016</v>
      </c>
      <c r="D30" s="51">
        <v>749</v>
      </c>
      <c r="E30" s="42"/>
      <c r="F30" s="42"/>
      <c r="G30" s="69">
        <f t="shared" si="2"/>
        <v>749</v>
      </c>
      <c r="H30" s="38"/>
      <c r="I30" s="38"/>
      <c r="J30" s="38"/>
      <c r="K30" s="38"/>
      <c r="L30" s="38"/>
      <c r="M30" s="38"/>
      <c r="N30" s="38"/>
      <c r="O30" s="38"/>
      <c r="P30" s="38"/>
      <c r="Q30" s="8"/>
    </row>
    <row r="31" spans="1:25">
      <c r="A31" s="2558"/>
      <c r="B31" s="1988"/>
      <c r="C31" s="70">
        <v>2017</v>
      </c>
      <c r="D31" s="51"/>
      <c r="E31" s="42"/>
      <c r="F31" s="42"/>
      <c r="G31" s="69">
        <f t="shared" si="2"/>
        <v>0</v>
      </c>
      <c r="H31" s="38"/>
      <c r="I31" s="38"/>
      <c r="J31" s="38"/>
      <c r="K31" s="38"/>
      <c r="L31" s="38"/>
      <c r="M31" s="38"/>
      <c r="N31" s="38"/>
      <c r="O31" s="38"/>
      <c r="P31" s="38"/>
      <c r="Q31" s="8"/>
    </row>
    <row r="32" spans="1:25">
      <c r="A32" s="2558"/>
      <c r="B32" s="1988"/>
      <c r="C32" s="70">
        <v>2018</v>
      </c>
      <c r="D32" s="51"/>
      <c r="E32" s="42"/>
      <c r="F32" s="42"/>
      <c r="G32" s="69">
        <f>SUM(D32:F32)</f>
        <v>0</v>
      </c>
      <c r="H32" s="38"/>
      <c r="I32" s="38"/>
      <c r="J32" s="38"/>
      <c r="K32" s="38"/>
      <c r="L32" s="38"/>
      <c r="M32" s="38"/>
      <c r="N32" s="38"/>
      <c r="O32" s="38"/>
      <c r="P32" s="38"/>
      <c r="Q32" s="8"/>
    </row>
    <row r="33" spans="1:17">
      <c r="A33" s="2558"/>
      <c r="B33" s="1988"/>
      <c r="C33" s="72">
        <v>2019</v>
      </c>
      <c r="D33" s="51"/>
      <c r="E33" s="42"/>
      <c r="F33" s="42"/>
      <c r="G33" s="69">
        <f t="shared" si="2"/>
        <v>0</v>
      </c>
      <c r="H33" s="38"/>
      <c r="I33" s="38"/>
      <c r="J33" s="38"/>
      <c r="K33" s="38"/>
      <c r="L33" s="38"/>
      <c r="M33" s="38"/>
      <c r="N33" s="38"/>
      <c r="O33" s="38"/>
      <c r="P33" s="38"/>
      <c r="Q33" s="8"/>
    </row>
    <row r="34" spans="1:17">
      <c r="A34" s="2558"/>
      <c r="B34" s="1988"/>
      <c r="C34" s="70">
        <v>2020</v>
      </c>
      <c r="D34" s="51"/>
      <c r="E34" s="42"/>
      <c r="F34" s="42"/>
      <c r="G34" s="69">
        <f t="shared" si="2"/>
        <v>0</v>
      </c>
      <c r="H34" s="38"/>
      <c r="I34" s="38"/>
      <c r="J34" s="38"/>
      <c r="K34" s="38"/>
      <c r="L34" s="38"/>
      <c r="M34" s="38"/>
      <c r="N34" s="38"/>
      <c r="O34" s="38"/>
      <c r="P34" s="38"/>
      <c r="Q34" s="8"/>
    </row>
    <row r="35" spans="1:17" ht="20.25" customHeight="1" thickBot="1">
      <c r="A35" s="1989"/>
      <c r="B35" s="1990"/>
      <c r="C35" s="73" t="s">
        <v>12</v>
      </c>
      <c r="D35" s="58">
        <f>SUM(D28:D34)</f>
        <v>809</v>
      </c>
      <c r="E35" s="56">
        <f>SUM(E28:E34)</f>
        <v>0</v>
      </c>
      <c r="F35" s="56">
        <f>SUM(F28:F34)</f>
        <v>0</v>
      </c>
      <c r="G35" s="60">
        <f t="shared" si="2"/>
        <v>809</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1710" t="s">
        <v>25</v>
      </c>
      <c r="B39" s="1711" t="s">
        <v>7</v>
      </c>
      <c r="C39" s="80" t="s">
        <v>8</v>
      </c>
      <c r="D39" s="1523" t="s">
        <v>26</v>
      </c>
      <c r="E39" s="352" t="s">
        <v>27</v>
      </c>
      <c r="F39" s="353"/>
      <c r="G39" s="30"/>
      <c r="H39" s="30"/>
    </row>
    <row r="40" spans="1:17">
      <c r="A40" s="2563" t="s">
        <v>548</v>
      </c>
      <c r="B40" s="1988"/>
      <c r="C40" s="84">
        <v>2014</v>
      </c>
      <c r="D40" s="33"/>
      <c r="E40" s="32"/>
      <c r="F40" s="8"/>
      <c r="G40" s="38"/>
      <c r="H40" s="38"/>
    </row>
    <row r="41" spans="1:17">
      <c r="A41" s="2558"/>
      <c r="B41" s="1988"/>
      <c r="C41" s="86">
        <v>2015</v>
      </c>
      <c r="D41" s="50"/>
      <c r="E41" s="39"/>
      <c r="F41" s="8"/>
      <c r="G41" s="38"/>
      <c r="H41" s="38"/>
    </row>
    <row r="42" spans="1:17">
      <c r="A42" s="2558"/>
      <c r="B42" s="1988"/>
      <c r="C42" s="86">
        <v>2016</v>
      </c>
      <c r="D42" s="50">
        <v>11637</v>
      </c>
      <c r="E42" s="39">
        <v>11637</v>
      </c>
      <c r="F42" s="8"/>
      <c r="G42" s="38"/>
      <c r="H42" s="38"/>
    </row>
    <row r="43" spans="1:17">
      <c r="A43" s="2558"/>
      <c r="B43" s="1988"/>
      <c r="C43" s="86">
        <v>2017</v>
      </c>
      <c r="D43" s="50"/>
      <c r="E43" s="39"/>
      <c r="F43" s="8"/>
      <c r="G43" s="38"/>
      <c r="H43" s="38"/>
    </row>
    <row r="44" spans="1:17">
      <c r="A44" s="2558"/>
      <c r="B44" s="1988"/>
      <c r="C44" s="86">
        <v>2018</v>
      </c>
      <c r="D44" s="50"/>
      <c r="E44" s="39"/>
      <c r="F44" s="8"/>
      <c r="G44" s="38"/>
      <c r="H44" s="38"/>
    </row>
    <row r="45" spans="1:17">
      <c r="A45" s="2558"/>
      <c r="B45" s="1988"/>
      <c r="C45" s="86">
        <v>2019</v>
      </c>
      <c r="D45" s="50"/>
      <c r="E45" s="39"/>
      <c r="F45" s="8"/>
      <c r="G45" s="38"/>
      <c r="H45" s="38"/>
    </row>
    <row r="46" spans="1:17">
      <c r="A46" s="2558"/>
      <c r="B46" s="1988"/>
      <c r="C46" s="86">
        <v>2020</v>
      </c>
      <c r="D46" s="50"/>
      <c r="E46" s="39"/>
      <c r="F46" s="8"/>
      <c r="G46" s="38"/>
      <c r="H46" s="38"/>
    </row>
    <row r="47" spans="1:17" ht="15.75" thickBot="1">
      <c r="A47" s="1989"/>
      <c r="B47" s="1990"/>
      <c r="C47" s="54" t="s">
        <v>12</v>
      </c>
      <c r="D47" s="55">
        <f>SUM(D40:D46)</f>
        <v>11637</v>
      </c>
      <c r="E47" s="419">
        <f>SUM(E40:E46)</f>
        <v>11637</v>
      </c>
      <c r="F47" s="121"/>
      <c r="G47" s="38"/>
      <c r="H47" s="38"/>
    </row>
    <row r="48" spans="1:17" s="38" customFormat="1" ht="15.75" thickBot="1">
      <c r="A48" s="1712"/>
      <c r="B48" s="92"/>
      <c r="C48" s="93"/>
    </row>
    <row r="49" spans="1:15" ht="83.25" customHeight="1">
      <c r="A49" s="1527" t="s">
        <v>29</v>
      </c>
      <c r="B49" s="1711" t="s">
        <v>7</v>
      </c>
      <c r="C49" s="95" t="s">
        <v>8</v>
      </c>
      <c r="D49" s="1523" t="s">
        <v>30</v>
      </c>
      <c r="E49" s="96" t="s">
        <v>31</v>
      </c>
      <c r="F49" s="96" t="s">
        <v>32</v>
      </c>
      <c r="G49" s="96" t="s">
        <v>33</v>
      </c>
      <c r="H49" s="96" t="s">
        <v>34</v>
      </c>
      <c r="I49" s="96" t="s">
        <v>35</v>
      </c>
      <c r="J49" s="96" t="s">
        <v>36</v>
      </c>
      <c r="K49" s="97" t="s">
        <v>37</v>
      </c>
    </row>
    <row r="50" spans="1:15" ht="17.25" customHeight="1">
      <c r="A50" s="2005"/>
      <c r="B50" s="2012"/>
      <c r="C50" s="98" t="s">
        <v>38</v>
      </c>
      <c r="D50" s="33"/>
      <c r="E50" s="34"/>
      <c r="F50" s="34"/>
      <c r="G50" s="34"/>
      <c r="H50" s="34"/>
      <c r="I50" s="34"/>
      <c r="J50" s="34"/>
      <c r="K50" s="37"/>
    </row>
    <row r="51" spans="1:15" ht="15" customHeight="1">
      <c r="A51" s="2563"/>
      <c r="B51" s="2014"/>
      <c r="C51" s="86">
        <v>2014</v>
      </c>
      <c r="D51" s="50"/>
      <c r="E51" s="42"/>
      <c r="F51" s="42"/>
      <c r="G51" s="42"/>
      <c r="H51" s="42"/>
      <c r="I51" s="42"/>
      <c r="J51" s="42"/>
      <c r="K51" s="99"/>
    </row>
    <row r="52" spans="1:15">
      <c r="A52" s="2563"/>
      <c r="B52" s="2014"/>
      <c r="C52" s="86">
        <v>2015</v>
      </c>
      <c r="D52" s="50"/>
      <c r="E52" s="42"/>
      <c r="F52" s="42"/>
      <c r="G52" s="42"/>
      <c r="H52" s="42"/>
      <c r="I52" s="42"/>
      <c r="J52" s="42"/>
      <c r="K52" s="99"/>
    </row>
    <row r="53" spans="1:15">
      <c r="A53" s="2563"/>
      <c r="B53" s="2014"/>
      <c r="C53" s="86">
        <v>2016</v>
      </c>
      <c r="D53" s="50"/>
      <c r="E53" s="42"/>
      <c r="F53" s="42"/>
      <c r="G53" s="42"/>
      <c r="H53" s="42"/>
      <c r="I53" s="42"/>
      <c r="J53" s="42"/>
      <c r="K53" s="99"/>
    </row>
    <row r="54" spans="1:15">
      <c r="A54" s="2563"/>
      <c r="B54" s="2014"/>
      <c r="C54" s="86">
        <v>2017</v>
      </c>
      <c r="D54" s="50"/>
      <c r="E54" s="42"/>
      <c r="F54" s="42"/>
      <c r="G54" s="42"/>
      <c r="H54" s="42"/>
      <c r="I54" s="42"/>
      <c r="J54" s="42"/>
      <c r="K54" s="99"/>
    </row>
    <row r="55" spans="1:15">
      <c r="A55" s="2563"/>
      <c r="B55" s="2014"/>
      <c r="C55" s="86">
        <v>2018</v>
      </c>
      <c r="D55" s="50"/>
      <c r="E55" s="42"/>
      <c r="F55" s="42"/>
      <c r="G55" s="42"/>
      <c r="H55" s="42"/>
      <c r="I55" s="42"/>
      <c r="J55" s="42"/>
      <c r="K55" s="99"/>
    </row>
    <row r="56" spans="1:15">
      <c r="A56" s="2563"/>
      <c r="B56" s="2014"/>
      <c r="C56" s="86">
        <v>2019</v>
      </c>
      <c r="D56" s="50"/>
      <c r="E56" s="42"/>
      <c r="F56" s="42"/>
      <c r="G56" s="42"/>
      <c r="H56" s="42"/>
      <c r="I56" s="42"/>
      <c r="J56" s="42"/>
      <c r="K56" s="99"/>
    </row>
    <row r="57" spans="1:15">
      <c r="A57" s="2563"/>
      <c r="B57" s="2014"/>
      <c r="C57" s="86">
        <v>2020</v>
      </c>
      <c r="D57" s="50"/>
      <c r="E57" s="42"/>
      <c r="F57" s="42"/>
      <c r="G57" s="42"/>
      <c r="H57" s="42"/>
      <c r="I57" s="42"/>
      <c r="J57" s="42"/>
      <c r="K57" s="100"/>
    </row>
    <row r="58" spans="1:15" ht="20.25" customHeight="1" thickBot="1">
      <c r="A58" s="2009"/>
      <c r="B58" s="2016"/>
      <c r="C58" s="54" t="s">
        <v>12</v>
      </c>
      <c r="D58" s="55">
        <f>SUM(D51:D57)</f>
        <v>0</v>
      </c>
      <c r="E58" s="56">
        <f>SUM(E51:E57)</f>
        <v>0</v>
      </c>
      <c r="F58" s="56">
        <f>SUM(F51:F57)</f>
        <v>0</v>
      </c>
      <c r="G58" s="56">
        <f>SUM(G51:G57)</f>
        <v>0</v>
      </c>
      <c r="H58" s="56">
        <f>SUM(H51:H57)</f>
        <v>0</v>
      </c>
      <c r="I58" s="56">
        <f t="shared" ref="I58" si="3">SUM(I51:I57)</f>
        <v>0</v>
      </c>
      <c r="J58" s="56">
        <f>SUM(J51:J57)</f>
        <v>0</v>
      </c>
      <c r="K58" s="60">
        <f>SUM(K50:K56)</f>
        <v>0</v>
      </c>
    </row>
    <row r="59" spans="1:15" ht="15.75" thickBot="1"/>
    <row r="60" spans="1:15" ht="21" customHeight="1">
      <c r="A60" s="2855" t="s">
        <v>39</v>
      </c>
      <c r="B60" s="1713"/>
      <c r="C60" s="2857" t="s">
        <v>8</v>
      </c>
      <c r="D60" s="2671" t="s">
        <v>40</v>
      </c>
      <c r="E60" s="1477" t="s">
        <v>5</v>
      </c>
      <c r="F60" s="1714"/>
      <c r="G60" s="1714"/>
      <c r="H60" s="1714"/>
      <c r="I60" s="1714"/>
      <c r="J60" s="1714"/>
      <c r="K60" s="1714"/>
      <c r="L60" s="1715"/>
    </row>
    <row r="61" spans="1:15" ht="115.5" customHeight="1">
      <c r="A61" s="2856"/>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560" t="s">
        <v>549</v>
      </c>
      <c r="B62" s="2025"/>
      <c r="C62" s="112">
        <v>2014</v>
      </c>
      <c r="D62" s="113"/>
      <c r="E62" s="114"/>
      <c r="F62" s="115"/>
      <c r="G62" s="115"/>
      <c r="H62" s="115"/>
      <c r="I62" s="115"/>
      <c r="J62" s="115"/>
      <c r="K62" s="115"/>
      <c r="L62" s="37"/>
      <c r="M62" s="8"/>
      <c r="N62" s="8"/>
      <c r="O62" s="8"/>
    </row>
    <row r="63" spans="1:15">
      <c r="A63" s="2561"/>
      <c r="B63" s="2025"/>
      <c r="C63" s="116">
        <v>2015</v>
      </c>
      <c r="D63" s="117">
        <v>1</v>
      </c>
      <c r="E63" s="118">
        <v>1</v>
      </c>
      <c r="F63" s="42"/>
      <c r="G63" s="42"/>
      <c r="H63" s="42"/>
      <c r="I63" s="42"/>
      <c r="J63" s="42"/>
      <c r="K63" s="42"/>
      <c r="L63" s="99"/>
      <c r="M63" s="8"/>
      <c r="N63" s="8"/>
      <c r="O63" s="8"/>
    </row>
    <row r="64" spans="1:15">
      <c r="A64" s="2561"/>
      <c r="B64" s="2025"/>
      <c r="C64" s="116">
        <v>2016</v>
      </c>
      <c r="D64" s="117">
        <v>44</v>
      </c>
      <c r="E64" s="118">
        <v>44</v>
      </c>
      <c r="F64" s="42"/>
      <c r="G64" s="42"/>
      <c r="H64" s="42"/>
      <c r="I64" s="42"/>
      <c r="J64" s="42"/>
      <c r="K64" s="42"/>
      <c r="L64" s="99"/>
      <c r="M64" s="8"/>
      <c r="N64" s="8"/>
      <c r="O64" s="8"/>
    </row>
    <row r="65" spans="1:20">
      <c r="A65" s="2561"/>
      <c r="B65" s="2025"/>
      <c r="C65" s="116">
        <v>2017</v>
      </c>
      <c r="D65" s="117"/>
      <c r="E65" s="118"/>
      <c r="F65" s="42"/>
      <c r="G65" s="42"/>
      <c r="H65" s="42"/>
      <c r="I65" s="42"/>
      <c r="J65" s="42"/>
      <c r="K65" s="42"/>
      <c r="L65" s="99"/>
      <c r="M65" s="8"/>
      <c r="N65" s="8"/>
      <c r="O65" s="8"/>
    </row>
    <row r="66" spans="1:20">
      <c r="A66" s="2561"/>
      <c r="B66" s="2025"/>
      <c r="C66" s="116">
        <v>2018</v>
      </c>
      <c r="D66" s="117"/>
      <c r="E66" s="118"/>
      <c r="F66" s="42"/>
      <c r="G66" s="42"/>
      <c r="H66" s="42"/>
      <c r="I66" s="42"/>
      <c r="J66" s="42"/>
      <c r="K66" s="42"/>
      <c r="L66" s="99"/>
      <c r="M66" s="8"/>
      <c r="N66" s="8"/>
      <c r="O66" s="8"/>
    </row>
    <row r="67" spans="1:20" ht="17.25" customHeight="1">
      <c r="A67" s="2561"/>
      <c r="B67" s="2025"/>
      <c r="C67" s="116">
        <v>2019</v>
      </c>
      <c r="D67" s="117"/>
      <c r="E67" s="118"/>
      <c r="F67" s="42"/>
      <c r="G67" s="42"/>
      <c r="H67" s="42"/>
      <c r="I67" s="42"/>
      <c r="J67" s="42"/>
      <c r="K67" s="42"/>
      <c r="L67" s="99"/>
      <c r="M67" s="8"/>
      <c r="N67" s="8"/>
      <c r="O67" s="8"/>
    </row>
    <row r="68" spans="1:20" ht="16.5" customHeight="1">
      <c r="A68" s="2561"/>
      <c r="B68" s="2025"/>
      <c r="C68" s="116">
        <v>2020</v>
      </c>
      <c r="D68" s="117"/>
      <c r="E68" s="118"/>
      <c r="F68" s="42"/>
      <c r="G68" s="42"/>
      <c r="H68" s="42"/>
      <c r="I68" s="42"/>
      <c r="J68" s="42"/>
      <c r="K68" s="42"/>
      <c r="L68" s="99"/>
      <c r="M68" s="121"/>
      <c r="N68" s="121"/>
      <c r="O68" s="121"/>
    </row>
    <row r="69" spans="1:20" ht="18" customHeight="1" thickBot="1">
      <c r="A69" s="2134"/>
      <c r="B69" s="2027"/>
      <c r="C69" s="122" t="s">
        <v>12</v>
      </c>
      <c r="D69" s="123">
        <f>SUM(D62:D68)</f>
        <v>45</v>
      </c>
      <c r="E69" s="124">
        <f>SUM(E62:E68)</f>
        <v>45</v>
      </c>
      <c r="F69" s="125">
        <f t="shared" ref="F69:I69" si="4">SUM(F62:F68)</f>
        <v>0</v>
      </c>
      <c r="G69" s="125">
        <f t="shared" si="4"/>
        <v>0</v>
      </c>
      <c r="H69" s="125">
        <f t="shared" si="4"/>
        <v>0</v>
      </c>
      <c r="I69" s="125">
        <f t="shared" si="4"/>
        <v>0</v>
      </c>
      <c r="J69" s="125"/>
      <c r="K69" s="125">
        <f>SUM(K62:K68)</f>
        <v>0</v>
      </c>
      <c r="L69" s="126">
        <f>SUM(L62:L68)</f>
        <v>0</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1710" t="s">
        <v>42</v>
      </c>
      <c r="B71" s="1711" t="s">
        <v>7</v>
      </c>
      <c r="C71" s="80" t="s">
        <v>8</v>
      </c>
      <c r="D71" s="132" t="s">
        <v>43</v>
      </c>
      <c r="E71" s="132" t="s">
        <v>44</v>
      </c>
      <c r="F71" s="133" t="s">
        <v>45</v>
      </c>
      <c r="G71" s="1532" t="s">
        <v>46</v>
      </c>
      <c r="H71" s="135" t="s">
        <v>13</v>
      </c>
      <c r="I71" s="136" t="s">
        <v>14</v>
      </c>
      <c r="J71" s="137" t="s">
        <v>15</v>
      </c>
      <c r="K71" s="136" t="s">
        <v>16</v>
      </c>
      <c r="L71" s="136" t="s">
        <v>17</v>
      </c>
      <c r="M71" s="138" t="s">
        <v>18</v>
      </c>
      <c r="N71" s="137" t="s">
        <v>19</v>
      </c>
      <c r="O71" s="139" t="s">
        <v>20</v>
      </c>
    </row>
    <row r="72" spans="1:20" ht="15" customHeight="1">
      <c r="A72" s="2563" t="s">
        <v>550</v>
      </c>
      <c r="B72" s="2025"/>
      <c r="C72" s="84">
        <v>2014</v>
      </c>
      <c r="D72" s="140"/>
      <c r="E72" s="140"/>
      <c r="F72" s="140"/>
      <c r="G72" s="141">
        <f>SUM(D72:F72)</f>
        <v>0</v>
      </c>
      <c r="H72" s="33"/>
      <c r="I72" s="142"/>
      <c r="J72" s="115"/>
      <c r="K72" s="115"/>
      <c r="L72" s="115"/>
      <c r="M72" s="115"/>
      <c r="N72" s="115"/>
      <c r="O72" s="143"/>
    </row>
    <row r="73" spans="1:20">
      <c r="A73" s="2558"/>
      <c r="B73" s="2025"/>
      <c r="C73" s="86">
        <v>2015</v>
      </c>
      <c r="D73" s="147"/>
      <c r="E73" s="147"/>
      <c r="F73" s="147">
        <v>1</v>
      </c>
      <c r="G73" s="141">
        <f t="shared" ref="G73:G78" si="5">SUM(D73:F73)</f>
        <v>1</v>
      </c>
      <c r="H73" s="50">
        <v>1</v>
      </c>
      <c r="I73" s="50"/>
      <c r="J73" s="42"/>
      <c r="K73" s="42"/>
      <c r="L73" s="42"/>
      <c r="M73" s="42"/>
      <c r="N73" s="42"/>
      <c r="O73" s="99"/>
    </row>
    <row r="74" spans="1:20">
      <c r="A74" s="2558"/>
      <c r="B74" s="2025"/>
      <c r="C74" s="86">
        <v>2016</v>
      </c>
      <c r="D74" s="147">
        <v>2</v>
      </c>
      <c r="E74" s="147"/>
      <c r="F74" s="147"/>
      <c r="G74" s="141">
        <f t="shared" si="5"/>
        <v>2</v>
      </c>
      <c r="H74" s="50">
        <v>2</v>
      </c>
      <c r="I74" s="50"/>
      <c r="J74" s="42"/>
      <c r="K74" s="42"/>
      <c r="L74" s="42"/>
      <c r="M74" s="42"/>
      <c r="N74" s="42"/>
      <c r="O74" s="99"/>
    </row>
    <row r="75" spans="1:20">
      <c r="A75" s="2558"/>
      <c r="B75" s="2025"/>
      <c r="C75" s="86">
        <v>2017</v>
      </c>
      <c r="D75" s="147"/>
      <c r="E75" s="147"/>
      <c r="F75" s="147"/>
      <c r="G75" s="141">
        <f t="shared" si="5"/>
        <v>0</v>
      </c>
      <c r="H75" s="50"/>
      <c r="I75" s="50"/>
      <c r="J75" s="42"/>
      <c r="K75" s="42"/>
      <c r="L75" s="42"/>
      <c r="M75" s="42"/>
      <c r="N75" s="42"/>
      <c r="O75" s="99"/>
    </row>
    <row r="76" spans="1:20">
      <c r="A76" s="2558"/>
      <c r="B76" s="2025"/>
      <c r="C76" s="86">
        <v>2018</v>
      </c>
      <c r="D76" s="147"/>
      <c r="E76" s="147"/>
      <c r="F76" s="147"/>
      <c r="G76" s="141">
        <f t="shared" si="5"/>
        <v>0</v>
      </c>
      <c r="H76" s="50"/>
      <c r="I76" s="50"/>
      <c r="J76" s="42"/>
      <c r="K76" s="42"/>
      <c r="L76" s="42"/>
      <c r="M76" s="42"/>
      <c r="N76" s="42"/>
      <c r="O76" s="99"/>
    </row>
    <row r="77" spans="1:20" ht="15.75" customHeight="1">
      <c r="A77" s="2558"/>
      <c r="B77" s="2025"/>
      <c r="C77" s="86">
        <v>2019</v>
      </c>
      <c r="D77" s="147"/>
      <c r="E77" s="147"/>
      <c r="F77" s="147"/>
      <c r="G77" s="141">
        <f t="shared" si="5"/>
        <v>0</v>
      </c>
      <c r="H77" s="50"/>
      <c r="I77" s="50"/>
      <c r="J77" s="42"/>
      <c r="K77" s="42"/>
      <c r="L77" s="42"/>
      <c r="M77" s="42"/>
      <c r="N77" s="42"/>
      <c r="O77" s="99"/>
    </row>
    <row r="78" spans="1:20" ht="17.25" customHeight="1">
      <c r="A78" s="2558"/>
      <c r="B78" s="2025"/>
      <c r="C78" s="86">
        <v>2020</v>
      </c>
      <c r="D78" s="147"/>
      <c r="E78" s="147"/>
      <c r="F78" s="147"/>
      <c r="G78" s="141">
        <f t="shared" si="5"/>
        <v>0</v>
      </c>
      <c r="H78" s="50"/>
      <c r="I78" s="50"/>
      <c r="J78" s="42"/>
      <c r="K78" s="42"/>
      <c r="L78" s="42"/>
      <c r="M78" s="42"/>
      <c r="N78" s="42"/>
      <c r="O78" s="99"/>
    </row>
    <row r="79" spans="1:20" ht="20.25" customHeight="1" thickBot="1">
      <c r="A79" s="2134"/>
      <c r="B79" s="2027"/>
      <c r="C79" s="148" t="s">
        <v>12</v>
      </c>
      <c r="D79" s="123">
        <f>SUM(D72:D78)</f>
        <v>2</v>
      </c>
      <c r="E79" s="123">
        <f>SUM(E72:E78)</f>
        <v>0</v>
      </c>
      <c r="F79" s="123">
        <f>SUM(F72:F78)</f>
        <v>1</v>
      </c>
      <c r="G79" s="149">
        <f>SUM(G72:G78)</f>
        <v>3</v>
      </c>
      <c r="H79" s="150">
        <v>3</v>
      </c>
      <c r="I79" s="151">
        <f t="shared" ref="I79:O79" si="6">SUM(I72:I78)</f>
        <v>0</v>
      </c>
      <c r="J79" s="125">
        <f t="shared" si="6"/>
        <v>0</v>
      </c>
      <c r="K79" s="125">
        <f t="shared" si="6"/>
        <v>0</v>
      </c>
      <c r="L79" s="125">
        <f t="shared" si="6"/>
        <v>0</v>
      </c>
      <c r="M79" s="125">
        <f t="shared" si="6"/>
        <v>0</v>
      </c>
      <c r="N79" s="125">
        <f t="shared" si="6"/>
        <v>0</v>
      </c>
      <c r="O79" s="126">
        <f t="shared" si="6"/>
        <v>0</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1718" t="s">
        <v>49</v>
      </c>
      <c r="B84" s="1719" t="s">
        <v>50</v>
      </c>
      <c r="C84" s="161" t="s">
        <v>8</v>
      </c>
      <c r="D84" s="1538" t="s">
        <v>51</v>
      </c>
      <c r="E84" s="163" t="s">
        <v>52</v>
      </c>
      <c r="F84" s="164" t="s">
        <v>53</v>
      </c>
      <c r="G84" s="164" t="s">
        <v>54</v>
      </c>
      <c r="H84" s="164" t="s">
        <v>55</v>
      </c>
      <c r="I84" s="164" t="s">
        <v>56</v>
      </c>
      <c r="J84" s="164" t="s">
        <v>57</v>
      </c>
      <c r="K84" s="165" t="s">
        <v>58</v>
      </c>
    </row>
    <row r="85" spans="1:16" ht="15" customHeight="1">
      <c r="A85" s="2564" t="s">
        <v>551</v>
      </c>
      <c r="B85" s="2025"/>
      <c r="C85" s="84">
        <v>2014</v>
      </c>
      <c r="D85" s="166"/>
      <c r="E85" s="167"/>
      <c r="F85" s="34"/>
      <c r="G85" s="34"/>
      <c r="H85" s="34"/>
      <c r="I85" s="34"/>
      <c r="J85" s="34"/>
      <c r="K85" s="37"/>
    </row>
    <row r="86" spans="1:16">
      <c r="A86" s="2565"/>
      <c r="B86" s="2025"/>
      <c r="C86" s="86">
        <v>2015</v>
      </c>
      <c r="D86" s="168"/>
      <c r="E86" s="118"/>
      <c r="F86" s="42"/>
      <c r="G86" s="42"/>
      <c r="H86" s="42"/>
      <c r="I86" s="42"/>
      <c r="J86" s="42"/>
      <c r="K86" s="99"/>
    </row>
    <row r="87" spans="1:16">
      <c r="A87" s="2565"/>
      <c r="B87" s="2025"/>
      <c r="C87" s="86">
        <v>2016</v>
      </c>
      <c r="D87" s="168">
        <v>4</v>
      </c>
      <c r="E87" s="118">
        <v>4</v>
      </c>
      <c r="F87" s="42"/>
      <c r="G87" s="42"/>
      <c r="H87" s="42"/>
      <c r="I87" s="42"/>
      <c r="J87" s="42"/>
      <c r="K87" s="99"/>
    </row>
    <row r="88" spans="1:16">
      <c r="A88" s="2565"/>
      <c r="B88" s="2025"/>
      <c r="C88" s="86">
        <v>2017</v>
      </c>
      <c r="D88" s="168"/>
      <c r="E88" s="118"/>
      <c r="F88" s="42"/>
      <c r="G88" s="42"/>
      <c r="H88" s="42"/>
      <c r="I88" s="42"/>
      <c r="J88" s="42"/>
      <c r="K88" s="99"/>
    </row>
    <row r="89" spans="1:16">
      <c r="A89" s="2565"/>
      <c r="B89" s="2025"/>
      <c r="C89" s="86">
        <v>2018</v>
      </c>
      <c r="D89" s="168"/>
      <c r="E89" s="118"/>
      <c r="F89" s="42"/>
      <c r="G89" s="42"/>
      <c r="H89" s="42"/>
      <c r="I89" s="42"/>
      <c r="J89" s="42"/>
      <c r="K89" s="99"/>
    </row>
    <row r="90" spans="1:16">
      <c r="A90" s="2565"/>
      <c r="B90" s="2025"/>
      <c r="C90" s="86">
        <v>2019</v>
      </c>
      <c r="D90" s="168"/>
      <c r="E90" s="118"/>
      <c r="F90" s="42"/>
      <c r="G90" s="42"/>
      <c r="H90" s="42"/>
      <c r="I90" s="42"/>
      <c r="J90" s="42"/>
      <c r="K90" s="99"/>
    </row>
    <row r="91" spans="1:16">
      <c r="A91" s="2565"/>
      <c r="B91" s="2025"/>
      <c r="C91" s="86">
        <v>2020</v>
      </c>
      <c r="D91" s="168"/>
      <c r="E91" s="118"/>
      <c r="F91" s="42"/>
      <c r="G91" s="42"/>
      <c r="H91" s="42"/>
      <c r="I91" s="42"/>
      <c r="J91" s="42"/>
      <c r="K91" s="99"/>
    </row>
    <row r="92" spans="1:16" ht="18" customHeight="1" thickBot="1">
      <c r="A92" s="2073"/>
      <c r="B92" s="2027"/>
      <c r="C92" s="148" t="s">
        <v>12</v>
      </c>
      <c r="D92" s="169">
        <f t="shared" ref="D92:I92" si="7">SUM(D85:D91)</f>
        <v>4</v>
      </c>
      <c r="E92" s="124">
        <f t="shared" si="7"/>
        <v>4</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858" t="s">
        <v>60</v>
      </c>
      <c r="B96" s="2860" t="s">
        <v>61</v>
      </c>
      <c r="C96" s="2861" t="s">
        <v>8</v>
      </c>
      <c r="D96" s="2735" t="s">
        <v>62</v>
      </c>
      <c r="E96" s="2736"/>
      <c r="F96" s="1539" t="s">
        <v>63</v>
      </c>
      <c r="G96" s="1720"/>
      <c r="H96" s="1720"/>
      <c r="I96" s="1720"/>
      <c r="J96" s="1720"/>
      <c r="K96" s="1720"/>
      <c r="L96" s="1720"/>
      <c r="M96" s="1721"/>
      <c r="N96" s="177"/>
      <c r="O96" s="177"/>
      <c r="P96" s="177"/>
    </row>
    <row r="97" spans="1:16" ht="100.5" customHeight="1">
      <c r="A97" s="2859"/>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560"/>
      <c r="B98" s="2025"/>
      <c r="C98" s="112">
        <v>2014</v>
      </c>
      <c r="D98" s="33"/>
      <c r="E98" s="34"/>
      <c r="F98" s="186"/>
      <c r="G98" s="187"/>
      <c r="H98" s="187"/>
      <c r="I98" s="187"/>
      <c r="J98" s="187"/>
      <c r="K98" s="187"/>
      <c r="L98" s="187"/>
      <c r="M98" s="188"/>
      <c r="N98" s="177"/>
      <c r="O98" s="177"/>
      <c r="P98" s="177"/>
    </row>
    <row r="99" spans="1:16" ht="16.5" customHeight="1">
      <c r="A99" s="2561"/>
      <c r="B99" s="2025"/>
      <c r="C99" s="116">
        <v>2015</v>
      </c>
      <c r="D99" s="50"/>
      <c r="E99" s="42"/>
      <c r="F99" s="189"/>
      <c r="G99" s="190"/>
      <c r="H99" s="190"/>
      <c r="I99" s="190"/>
      <c r="J99" s="190"/>
      <c r="K99" s="190"/>
      <c r="L99" s="190"/>
      <c r="M99" s="193"/>
      <c r="N99" s="177"/>
      <c r="O99" s="177"/>
      <c r="P99" s="177"/>
    </row>
    <row r="100" spans="1:16" ht="16.5" customHeight="1">
      <c r="A100" s="2561"/>
      <c r="B100" s="2025"/>
      <c r="C100" s="116">
        <v>2016</v>
      </c>
      <c r="D100" s="50"/>
      <c r="E100" s="42"/>
      <c r="F100" s="189"/>
      <c r="G100" s="190"/>
      <c r="H100" s="190"/>
      <c r="I100" s="190"/>
      <c r="J100" s="190"/>
      <c r="K100" s="190"/>
      <c r="L100" s="190"/>
      <c r="M100" s="193"/>
      <c r="N100" s="177"/>
      <c r="O100" s="177"/>
      <c r="P100" s="177"/>
    </row>
    <row r="101" spans="1:16" ht="16.5" customHeight="1">
      <c r="A101" s="2561"/>
      <c r="B101" s="2025"/>
      <c r="C101" s="116">
        <v>2017</v>
      </c>
      <c r="D101" s="50"/>
      <c r="E101" s="42"/>
      <c r="F101" s="189"/>
      <c r="G101" s="190"/>
      <c r="H101" s="190"/>
      <c r="I101" s="190"/>
      <c r="J101" s="190"/>
      <c r="K101" s="190"/>
      <c r="L101" s="190"/>
      <c r="M101" s="193"/>
      <c r="N101" s="177"/>
      <c r="O101" s="177"/>
      <c r="P101" s="177"/>
    </row>
    <row r="102" spans="1:16" ht="15.75" customHeight="1">
      <c r="A102" s="2561"/>
      <c r="B102" s="2025"/>
      <c r="C102" s="116">
        <v>2018</v>
      </c>
      <c r="D102" s="50"/>
      <c r="E102" s="42"/>
      <c r="F102" s="189"/>
      <c r="G102" s="190"/>
      <c r="H102" s="190"/>
      <c r="I102" s="190"/>
      <c r="J102" s="190"/>
      <c r="K102" s="190"/>
      <c r="L102" s="190"/>
      <c r="M102" s="193"/>
      <c r="N102" s="177"/>
      <c r="O102" s="177"/>
      <c r="P102" s="177"/>
    </row>
    <row r="103" spans="1:16" ht="14.25" customHeight="1">
      <c r="A103" s="2561"/>
      <c r="B103" s="2025"/>
      <c r="C103" s="116">
        <v>2019</v>
      </c>
      <c r="D103" s="50"/>
      <c r="E103" s="42"/>
      <c r="F103" s="189"/>
      <c r="G103" s="190"/>
      <c r="H103" s="190"/>
      <c r="I103" s="190"/>
      <c r="J103" s="190"/>
      <c r="K103" s="190"/>
      <c r="L103" s="190"/>
      <c r="M103" s="193"/>
      <c r="N103" s="177"/>
      <c r="O103" s="177"/>
      <c r="P103" s="177"/>
    </row>
    <row r="104" spans="1:16" ht="14.25" customHeight="1">
      <c r="A104" s="2561"/>
      <c r="B104" s="2025"/>
      <c r="C104" s="116">
        <v>2020</v>
      </c>
      <c r="D104" s="50"/>
      <c r="E104" s="42"/>
      <c r="F104" s="189"/>
      <c r="G104" s="190"/>
      <c r="H104" s="190"/>
      <c r="I104" s="190"/>
      <c r="J104" s="190"/>
      <c r="K104" s="190"/>
      <c r="L104" s="190"/>
      <c r="M104" s="193"/>
      <c r="N104" s="177"/>
      <c r="O104" s="177"/>
      <c r="P104" s="177"/>
    </row>
    <row r="105" spans="1:16" ht="19.5" customHeight="1" thickBot="1">
      <c r="A105" s="2046"/>
      <c r="B105" s="2027"/>
      <c r="C105" s="122" t="s">
        <v>12</v>
      </c>
      <c r="D105" s="151">
        <f>SUM(D98:D104)</f>
        <v>0</v>
      </c>
      <c r="E105" s="125">
        <f t="shared" ref="E105:K105" si="8">SUM(E98:E104)</f>
        <v>0</v>
      </c>
      <c r="F105" s="194">
        <f t="shared" si="8"/>
        <v>0</v>
      </c>
      <c r="G105" s="195">
        <f t="shared" si="8"/>
        <v>0</v>
      </c>
      <c r="H105" s="195">
        <f t="shared" si="8"/>
        <v>0</v>
      </c>
      <c r="I105" s="195">
        <f>SUM(I98:I104)</f>
        <v>0</v>
      </c>
      <c r="J105" s="195">
        <f t="shared" si="8"/>
        <v>0</v>
      </c>
      <c r="K105" s="195">
        <f t="shared" si="8"/>
        <v>0</v>
      </c>
      <c r="L105" s="195">
        <f>SUM(L98:L104)</f>
        <v>0</v>
      </c>
      <c r="M105" s="196">
        <f>SUM(M98:M104)</f>
        <v>0</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858" t="s">
        <v>69</v>
      </c>
      <c r="B107" s="2860" t="s">
        <v>61</v>
      </c>
      <c r="C107" s="2861" t="s">
        <v>8</v>
      </c>
      <c r="D107" s="2670" t="s">
        <v>70</v>
      </c>
      <c r="E107" s="1539" t="s">
        <v>71</v>
      </c>
      <c r="F107" s="1720"/>
      <c r="G107" s="1720"/>
      <c r="H107" s="1720"/>
      <c r="I107" s="1720"/>
      <c r="J107" s="1720"/>
      <c r="K107" s="1720"/>
      <c r="L107" s="1721"/>
      <c r="M107" s="199"/>
      <c r="N107" s="199"/>
    </row>
    <row r="108" spans="1:16" ht="103.5" customHeight="1">
      <c r="A108" s="2859"/>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560"/>
      <c r="B109" s="2025"/>
      <c r="C109" s="112">
        <v>2014</v>
      </c>
      <c r="D109" s="34"/>
      <c r="E109" s="186"/>
      <c r="F109" s="187"/>
      <c r="G109" s="187"/>
      <c r="H109" s="187"/>
      <c r="I109" s="187"/>
      <c r="J109" s="187"/>
      <c r="K109" s="187"/>
      <c r="L109" s="188"/>
      <c r="M109" s="199"/>
      <c r="N109" s="199"/>
    </row>
    <row r="110" spans="1:16">
      <c r="A110" s="2561"/>
      <c r="B110" s="2025"/>
      <c r="C110" s="116">
        <v>2015</v>
      </c>
      <c r="D110" s="42"/>
      <c r="E110" s="189"/>
      <c r="F110" s="190"/>
      <c r="G110" s="190"/>
      <c r="H110" s="190"/>
      <c r="I110" s="190"/>
      <c r="J110" s="190"/>
      <c r="K110" s="190"/>
      <c r="L110" s="193"/>
      <c r="M110" s="199"/>
      <c r="N110" s="199"/>
    </row>
    <row r="111" spans="1:16">
      <c r="A111" s="2561"/>
      <c r="B111" s="2025"/>
      <c r="C111" s="116">
        <v>2016</v>
      </c>
      <c r="D111" s="42"/>
      <c r="E111" s="189"/>
      <c r="F111" s="190"/>
      <c r="G111" s="190"/>
      <c r="H111" s="190"/>
      <c r="I111" s="190"/>
      <c r="J111" s="190"/>
      <c r="K111" s="190"/>
      <c r="L111" s="193"/>
      <c r="M111" s="199"/>
      <c r="N111" s="199"/>
    </row>
    <row r="112" spans="1:16">
      <c r="A112" s="2561"/>
      <c r="B112" s="2025"/>
      <c r="C112" s="116">
        <v>2017</v>
      </c>
      <c r="D112" s="42"/>
      <c r="E112" s="189"/>
      <c r="F112" s="190"/>
      <c r="G112" s="190"/>
      <c r="H112" s="190"/>
      <c r="I112" s="190"/>
      <c r="J112" s="190"/>
      <c r="K112" s="190"/>
      <c r="L112" s="193"/>
      <c r="M112" s="199"/>
      <c r="N112" s="199"/>
    </row>
    <row r="113" spans="1:14">
      <c r="A113" s="2561"/>
      <c r="B113" s="2025"/>
      <c r="C113" s="116">
        <v>2018</v>
      </c>
      <c r="D113" s="42"/>
      <c r="E113" s="189"/>
      <c r="F113" s="190"/>
      <c r="G113" s="190"/>
      <c r="H113" s="190"/>
      <c r="I113" s="190"/>
      <c r="J113" s="190"/>
      <c r="K113" s="190"/>
      <c r="L113" s="193"/>
      <c r="M113" s="199"/>
      <c r="N113" s="199"/>
    </row>
    <row r="114" spans="1:14">
      <c r="A114" s="2561"/>
      <c r="B114" s="2025"/>
      <c r="C114" s="116">
        <v>2019</v>
      </c>
      <c r="D114" s="42"/>
      <c r="E114" s="189"/>
      <c r="F114" s="190"/>
      <c r="G114" s="190"/>
      <c r="H114" s="190"/>
      <c r="I114" s="190"/>
      <c r="J114" s="190"/>
      <c r="K114" s="190"/>
      <c r="L114" s="193"/>
      <c r="M114" s="199"/>
      <c r="N114" s="199"/>
    </row>
    <row r="115" spans="1:14">
      <c r="A115" s="2561"/>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858" t="s">
        <v>72</v>
      </c>
      <c r="B118" s="2860" t="s">
        <v>61</v>
      </c>
      <c r="C118" s="2861" t="s">
        <v>8</v>
      </c>
      <c r="D118" s="2670" t="s">
        <v>73</v>
      </c>
      <c r="E118" s="1539" t="s">
        <v>71</v>
      </c>
      <c r="F118" s="1720"/>
      <c r="G118" s="1720"/>
      <c r="H118" s="1720"/>
      <c r="I118" s="1720"/>
      <c r="J118" s="1720"/>
      <c r="K118" s="1720"/>
      <c r="L118" s="1721"/>
      <c r="M118" s="199"/>
      <c r="N118" s="199"/>
    </row>
    <row r="119" spans="1:14" ht="120.75" customHeight="1">
      <c r="A119" s="2859"/>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560"/>
      <c r="B120" s="2025"/>
      <c r="C120" s="112">
        <v>2014</v>
      </c>
      <c r="D120" s="34"/>
      <c r="E120" s="186"/>
      <c r="F120" s="187"/>
      <c r="G120" s="187"/>
      <c r="H120" s="187"/>
      <c r="I120" s="187"/>
      <c r="J120" s="187"/>
      <c r="K120" s="187"/>
      <c r="L120" s="188"/>
      <c r="M120" s="199"/>
      <c r="N120" s="199"/>
    </row>
    <row r="121" spans="1:14">
      <c r="A121" s="2561"/>
      <c r="B121" s="2025"/>
      <c r="C121" s="116">
        <v>2015</v>
      </c>
      <c r="D121" s="42"/>
      <c r="E121" s="189"/>
      <c r="F121" s="190"/>
      <c r="G121" s="190"/>
      <c r="H121" s="190"/>
      <c r="I121" s="190"/>
      <c r="J121" s="190"/>
      <c r="K121" s="190"/>
      <c r="L121" s="193"/>
      <c r="M121" s="199"/>
      <c r="N121" s="199"/>
    </row>
    <row r="122" spans="1:14">
      <c r="A122" s="2561"/>
      <c r="B122" s="2025"/>
      <c r="C122" s="116">
        <v>2016</v>
      </c>
      <c r="D122" s="42"/>
      <c r="E122" s="189"/>
      <c r="F122" s="190"/>
      <c r="G122" s="190"/>
      <c r="H122" s="190"/>
      <c r="I122" s="190"/>
      <c r="J122" s="190"/>
      <c r="K122" s="190"/>
      <c r="L122" s="193"/>
      <c r="M122" s="199"/>
      <c r="N122" s="199"/>
    </row>
    <row r="123" spans="1:14">
      <c r="A123" s="2561"/>
      <c r="B123" s="2025"/>
      <c r="C123" s="116">
        <v>2017</v>
      </c>
      <c r="D123" s="42"/>
      <c r="E123" s="189"/>
      <c r="F123" s="190"/>
      <c r="G123" s="190"/>
      <c r="H123" s="190"/>
      <c r="I123" s="190"/>
      <c r="J123" s="190"/>
      <c r="K123" s="190"/>
      <c r="L123" s="193"/>
      <c r="M123" s="199"/>
      <c r="N123" s="199"/>
    </row>
    <row r="124" spans="1:14">
      <c r="A124" s="2561"/>
      <c r="B124" s="2025"/>
      <c r="C124" s="116">
        <v>2018</v>
      </c>
      <c r="D124" s="42"/>
      <c r="E124" s="189"/>
      <c r="F124" s="190"/>
      <c r="G124" s="190"/>
      <c r="H124" s="190"/>
      <c r="I124" s="190"/>
      <c r="J124" s="190"/>
      <c r="K124" s="190"/>
      <c r="L124" s="193"/>
      <c r="M124" s="199"/>
      <c r="N124" s="199"/>
    </row>
    <row r="125" spans="1:14">
      <c r="A125" s="2561"/>
      <c r="B125" s="2025"/>
      <c r="C125" s="116">
        <v>2019</v>
      </c>
      <c r="D125" s="42"/>
      <c r="E125" s="189"/>
      <c r="F125" s="190"/>
      <c r="G125" s="190"/>
      <c r="H125" s="190"/>
      <c r="I125" s="190"/>
      <c r="J125" s="190"/>
      <c r="K125" s="190"/>
      <c r="L125" s="193"/>
      <c r="M125" s="199"/>
      <c r="N125" s="199"/>
    </row>
    <row r="126" spans="1:14">
      <c r="A126" s="2561"/>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858" t="s">
        <v>74</v>
      </c>
      <c r="B129" s="2860" t="s">
        <v>61</v>
      </c>
      <c r="C129" s="1722" t="s">
        <v>8</v>
      </c>
      <c r="D129" s="1542" t="s">
        <v>75</v>
      </c>
      <c r="E129" s="1723"/>
      <c r="F129" s="1723"/>
      <c r="G129" s="1543"/>
      <c r="H129" s="199"/>
      <c r="I129" s="199"/>
      <c r="J129" s="199"/>
      <c r="K129" s="199"/>
      <c r="L129" s="199"/>
      <c r="M129" s="199"/>
      <c r="N129" s="199"/>
    </row>
    <row r="130" spans="1:16" ht="77.25" customHeight="1">
      <c r="A130" s="2859"/>
      <c r="B130" s="2043"/>
      <c r="C130" s="1663"/>
      <c r="D130" s="178" t="s">
        <v>76</v>
      </c>
      <c r="E130" s="207" t="s">
        <v>77</v>
      </c>
      <c r="F130" s="179" t="s">
        <v>78</v>
      </c>
      <c r="G130" s="208" t="s">
        <v>12</v>
      </c>
      <c r="H130" s="199"/>
      <c r="I130" s="199"/>
      <c r="J130" s="199"/>
      <c r="K130" s="199"/>
      <c r="L130" s="199"/>
      <c r="M130" s="199"/>
      <c r="N130" s="199"/>
    </row>
    <row r="131" spans="1:16" ht="15" customHeight="1">
      <c r="A131" s="2563"/>
      <c r="B131" s="1988"/>
      <c r="C131" s="112">
        <v>2015</v>
      </c>
      <c r="D131" s="33"/>
      <c r="E131" s="34"/>
      <c r="F131" s="34"/>
      <c r="G131" s="209">
        <f t="shared" ref="G131:G136" si="11">SUM(D131:F131)</f>
        <v>0</v>
      </c>
      <c r="H131" s="199"/>
      <c r="I131" s="199"/>
      <c r="J131" s="199"/>
      <c r="K131" s="199"/>
      <c r="L131" s="199"/>
      <c r="M131" s="199"/>
      <c r="N131" s="199"/>
    </row>
    <row r="132" spans="1:16">
      <c r="A132" s="2558"/>
      <c r="B132" s="1988"/>
      <c r="C132" s="116">
        <v>2016</v>
      </c>
      <c r="D132" s="50"/>
      <c r="E132" s="42"/>
      <c r="F132" s="42"/>
      <c r="G132" s="209">
        <f t="shared" si="11"/>
        <v>0</v>
      </c>
      <c r="H132" s="199"/>
      <c r="I132" s="199"/>
      <c r="J132" s="199"/>
      <c r="K132" s="199"/>
      <c r="L132" s="199"/>
      <c r="M132" s="199"/>
      <c r="N132" s="199"/>
    </row>
    <row r="133" spans="1:16">
      <c r="A133" s="2558"/>
      <c r="B133" s="1988"/>
      <c r="C133" s="116">
        <v>2017</v>
      </c>
      <c r="D133" s="50"/>
      <c r="E133" s="42"/>
      <c r="F133" s="42"/>
      <c r="G133" s="209">
        <f t="shared" si="11"/>
        <v>0</v>
      </c>
      <c r="H133" s="199"/>
      <c r="I133" s="199"/>
      <c r="J133" s="199"/>
      <c r="K133" s="199"/>
      <c r="L133" s="199"/>
      <c r="M133" s="199"/>
      <c r="N133" s="199"/>
    </row>
    <row r="134" spans="1:16">
      <c r="A134" s="2558"/>
      <c r="B134" s="1988"/>
      <c r="C134" s="116">
        <v>2018</v>
      </c>
      <c r="D134" s="50"/>
      <c r="E134" s="42"/>
      <c r="F134" s="42"/>
      <c r="G134" s="209">
        <f t="shared" si="11"/>
        <v>0</v>
      </c>
      <c r="H134" s="199"/>
      <c r="I134" s="199"/>
      <c r="J134" s="199"/>
      <c r="K134" s="199"/>
      <c r="L134" s="199"/>
      <c r="M134" s="199"/>
      <c r="N134" s="199"/>
    </row>
    <row r="135" spans="1:16">
      <c r="A135" s="2558"/>
      <c r="B135" s="1988"/>
      <c r="C135" s="116">
        <v>2019</v>
      </c>
      <c r="D135" s="50"/>
      <c r="E135" s="42"/>
      <c r="F135" s="42"/>
      <c r="G135" s="209">
        <f t="shared" si="11"/>
        <v>0</v>
      </c>
      <c r="H135" s="199"/>
      <c r="I135" s="199"/>
      <c r="J135" s="199"/>
      <c r="K135" s="199"/>
      <c r="L135" s="199"/>
      <c r="M135" s="199"/>
      <c r="N135" s="199"/>
    </row>
    <row r="136" spans="1:16">
      <c r="A136" s="2558"/>
      <c r="B136" s="1988"/>
      <c r="C136" s="116">
        <v>2020</v>
      </c>
      <c r="D136" s="50"/>
      <c r="E136" s="42"/>
      <c r="F136" s="42"/>
      <c r="G136" s="209">
        <f t="shared" si="11"/>
        <v>0</v>
      </c>
      <c r="H136" s="199"/>
      <c r="I136" s="199"/>
      <c r="J136" s="199"/>
      <c r="K136" s="199"/>
      <c r="L136" s="199"/>
      <c r="M136" s="199"/>
      <c r="N136" s="199"/>
    </row>
    <row r="137" spans="1:16" ht="17.25" customHeight="1" thickBot="1">
      <c r="A137" s="1989"/>
      <c r="B137" s="1990"/>
      <c r="C137" s="122" t="s">
        <v>12</v>
      </c>
      <c r="D137" s="151">
        <f>SUM(D131:D136)</f>
        <v>0</v>
      </c>
      <c r="E137" s="151">
        <f t="shared" ref="E137:F137" si="12">SUM(E131:E136)</f>
        <v>0</v>
      </c>
      <c r="F137" s="151">
        <f t="shared" si="12"/>
        <v>0</v>
      </c>
      <c r="G137" s="210">
        <f>SUM(G131:G136)</f>
        <v>0</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862" t="s">
        <v>80</v>
      </c>
      <c r="B142" s="2864" t="s">
        <v>61</v>
      </c>
      <c r="C142" s="2870" t="s">
        <v>8</v>
      </c>
      <c r="D142" s="1724" t="s">
        <v>81</v>
      </c>
      <c r="E142" s="1725"/>
      <c r="F142" s="1725"/>
      <c r="G142" s="1725"/>
      <c r="H142" s="1725"/>
      <c r="I142" s="1726"/>
      <c r="J142" s="2865" t="s">
        <v>82</v>
      </c>
      <c r="K142" s="2866"/>
      <c r="L142" s="2866"/>
      <c r="M142" s="2866"/>
      <c r="N142" s="2867"/>
      <c r="O142" s="177"/>
      <c r="P142" s="177"/>
    </row>
    <row r="143" spans="1:16" ht="113.25" customHeight="1">
      <c r="A143" s="2863"/>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560"/>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561"/>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561"/>
      <c r="B146" s="2025"/>
      <c r="C146" s="116">
        <v>2016</v>
      </c>
      <c r="D146" s="50"/>
      <c r="E146" s="50"/>
      <c r="F146" s="42"/>
      <c r="G146" s="190"/>
      <c r="H146" s="190"/>
      <c r="I146" s="227">
        <f t="shared" si="13"/>
        <v>0</v>
      </c>
      <c r="J146" s="231"/>
      <c r="K146" s="232"/>
      <c r="L146" s="231"/>
      <c r="M146" s="232"/>
      <c r="N146" s="233"/>
      <c r="O146" s="177"/>
      <c r="P146" s="177"/>
    </row>
    <row r="147" spans="1:16" ht="17.25" customHeight="1">
      <c r="A147" s="2561"/>
      <c r="B147" s="2025"/>
      <c r="C147" s="116">
        <v>2017</v>
      </c>
      <c r="D147" s="50"/>
      <c r="E147" s="50"/>
      <c r="F147" s="42"/>
      <c r="G147" s="190"/>
      <c r="H147" s="190"/>
      <c r="I147" s="227">
        <f t="shared" si="13"/>
        <v>0</v>
      </c>
      <c r="J147" s="231"/>
      <c r="K147" s="232"/>
      <c r="L147" s="231"/>
      <c r="M147" s="232"/>
      <c r="N147" s="233"/>
      <c r="O147" s="177"/>
      <c r="P147" s="177"/>
    </row>
    <row r="148" spans="1:16" ht="19.5" customHeight="1">
      <c r="A148" s="2561"/>
      <c r="B148" s="2025"/>
      <c r="C148" s="116">
        <v>2018</v>
      </c>
      <c r="D148" s="50"/>
      <c r="E148" s="50"/>
      <c r="F148" s="42"/>
      <c r="G148" s="190"/>
      <c r="H148" s="190"/>
      <c r="I148" s="227">
        <f t="shared" si="13"/>
        <v>0</v>
      </c>
      <c r="J148" s="231"/>
      <c r="K148" s="232"/>
      <c r="L148" s="231"/>
      <c r="M148" s="232"/>
      <c r="N148" s="233"/>
      <c r="O148" s="177"/>
      <c r="P148" s="177"/>
    </row>
    <row r="149" spans="1:16" ht="19.5" customHeight="1">
      <c r="A149" s="2561"/>
      <c r="B149" s="2025"/>
      <c r="C149" s="116">
        <v>2019</v>
      </c>
      <c r="D149" s="50"/>
      <c r="E149" s="50"/>
      <c r="F149" s="42"/>
      <c r="G149" s="190"/>
      <c r="H149" s="190"/>
      <c r="I149" s="227">
        <f t="shared" si="13"/>
        <v>0</v>
      </c>
      <c r="J149" s="231"/>
      <c r="K149" s="232"/>
      <c r="L149" s="231"/>
      <c r="M149" s="232"/>
      <c r="N149" s="233"/>
      <c r="O149" s="177"/>
      <c r="P149" s="177"/>
    </row>
    <row r="150" spans="1:16" ht="18.75" customHeight="1">
      <c r="A150" s="2561"/>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868" t="s">
        <v>93</v>
      </c>
      <c r="B153" s="2864" t="s">
        <v>61</v>
      </c>
      <c r="C153" s="2869" t="s">
        <v>8</v>
      </c>
      <c r="D153" s="1727" t="s">
        <v>94</v>
      </c>
      <c r="E153" s="1727"/>
      <c r="F153" s="1728"/>
      <c r="G153" s="1728"/>
      <c r="H153" s="1727" t="s">
        <v>95</v>
      </c>
      <c r="I153" s="1727"/>
      <c r="J153" s="1729"/>
      <c r="K153" s="31"/>
      <c r="L153" s="31"/>
      <c r="M153" s="31"/>
      <c r="N153" s="31"/>
      <c r="O153" s="177"/>
      <c r="P153" s="177"/>
    </row>
    <row r="154" spans="1:16" ht="49.5" customHeight="1">
      <c r="A154" s="2562"/>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560"/>
      <c r="B155" s="2025"/>
      <c r="C155" s="247">
        <v>2014</v>
      </c>
      <c r="D155" s="228"/>
      <c r="E155" s="187"/>
      <c r="F155" s="229"/>
      <c r="G155" s="227">
        <f>SUM(D155:F155)</f>
        <v>0</v>
      </c>
      <c r="H155" s="228"/>
      <c r="I155" s="187"/>
      <c r="J155" s="188"/>
      <c r="O155" s="177"/>
      <c r="P155" s="177"/>
    </row>
    <row r="156" spans="1:16" ht="19.5" customHeight="1">
      <c r="A156" s="2561"/>
      <c r="B156" s="2025"/>
      <c r="C156" s="248">
        <v>2015</v>
      </c>
      <c r="D156" s="231"/>
      <c r="E156" s="190"/>
      <c r="F156" s="232"/>
      <c r="G156" s="227">
        <f t="shared" ref="G156:G161" si="15">SUM(D156:F156)</f>
        <v>0</v>
      </c>
      <c r="H156" s="231"/>
      <c r="I156" s="190"/>
      <c r="J156" s="193"/>
      <c r="O156" s="177"/>
      <c r="P156" s="177"/>
    </row>
    <row r="157" spans="1:16" ht="17.25" customHeight="1">
      <c r="A157" s="2561"/>
      <c r="B157" s="2025"/>
      <c r="C157" s="248">
        <v>2016</v>
      </c>
      <c r="D157" s="231"/>
      <c r="E157" s="190"/>
      <c r="F157" s="232"/>
      <c r="G157" s="227">
        <f t="shared" si="15"/>
        <v>0</v>
      </c>
      <c r="H157" s="231"/>
      <c r="I157" s="190"/>
      <c r="J157" s="193"/>
      <c r="O157" s="177"/>
      <c r="P157" s="177"/>
    </row>
    <row r="158" spans="1:16" ht="15" customHeight="1">
      <c r="A158" s="2561"/>
      <c r="B158" s="2025"/>
      <c r="C158" s="248">
        <v>2017</v>
      </c>
      <c r="D158" s="231"/>
      <c r="E158" s="190"/>
      <c r="F158" s="232"/>
      <c r="G158" s="227">
        <f t="shared" si="15"/>
        <v>0</v>
      </c>
      <c r="H158" s="231"/>
      <c r="I158" s="190"/>
      <c r="J158" s="193"/>
      <c r="O158" s="177"/>
      <c r="P158" s="177"/>
    </row>
    <row r="159" spans="1:16" ht="19.5" customHeight="1">
      <c r="A159" s="2561"/>
      <c r="B159" s="2025"/>
      <c r="C159" s="248">
        <v>2018</v>
      </c>
      <c r="D159" s="231"/>
      <c r="E159" s="190"/>
      <c r="F159" s="232"/>
      <c r="G159" s="227">
        <f t="shared" si="15"/>
        <v>0</v>
      </c>
      <c r="H159" s="231"/>
      <c r="I159" s="190"/>
      <c r="J159" s="193"/>
      <c r="O159" s="177"/>
      <c r="P159" s="177"/>
    </row>
    <row r="160" spans="1:16" ht="15" customHeight="1">
      <c r="A160" s="2561"/>
      <c r="B160" s="2025"/>
      <c r="C160" s="248">
        <v>2019</v>
      </c>
      <c r="D160" s="231"/>
      <c r="E160" s="190"/>
      <c r="F160" s="232"/>
      <c r="G160" s="227">
        <f t="shared" si="15"/>
        <v>0</v>
      </c>
      <c r="H160" s="231"/>
      <c r="I160" s="190"/>
      <c r="J160" s="193"/>
      <c r="O160" s="177"/>
      <c r="P160" s="177"/>
    </row>
    <row r="161" spans="1:18" ht="17.25" customHeight="1">
      <c r="A161" s="2561"/>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1730"/>
      <c r="F163" s="177"/>
      <c r="G163" s="177"/>
      <c r="H163" s="177"/>
      <c r="I163" s="177"/>
      <c r="J163" s="255"/>
      <c r="K163" s="256"/>
    </row>
    <row r="164" spans="1:18" ht="95.25" customHeight="1">
      <c r="A164" s="1549" t="s">
        <v>102</v>
      </c>
      <c r="B164" s="258" t="s">
        <v>103</v>
      </c>
      <c r="C164" s="1447" t="s">
        <v>8</v>
      </c>
      <c r="D164" s="260" t="s">
        <v>104</v>
      </c>
      <c r="E164" s="260" t="s">
        <v>105</v>
      </c>
      <c r="F164" s="1731" t="s">
        <v>106</v>
      </c>
      <c r="G164" s="260" t="s">
        <v>107</v>
      </c>
      <c r="H164" s="260" t="s">
        <v>108</v>
      </c>
      <c r="I164" s="262" t="s">
        <v>109</v>
      </c>
      <c r="J164" s="1550" t="s">
        <v>110</v>
      </c>
      <c r="K164" s="1550" t="s">
        <v>111</v>
      </c>
      <c r="L164" s="1380"/>
    </row>
    <row r="165" spans="1:18" ht="15.75" customHeight="1">
      <c r="A165" s="2011"/>
      <c r="B165" s="2012"/>
      <c r="C165" s="265">
        <v>2014</v>
      </c>
      <c r="D165" s="187"/>
      <c r="E165" s="187"/>
      <c r="F165" s="187"/>
      <c r="G165" s="187"/>
      <c r="H165" s="187"/>
      <c r="I165" s="188"/>
      <c r="J165" s="1569">
        <f>SUM(D165,F165,H165)</f>
        <v>0</v>
      </c>
      <c r="K165" s="267">
        <f>SUM(E165,G165,I165)</f>
        <v>0</v>
      </c>
      <c r="L165" s="1380"/>
    </row>
    <row r="166" spans="1:18">
      <c r="A166" s="2013"/>
      <c r="B166" s="2014"/>
      <c r="C166" s="268">
        <v>2015</v>
      </c>
      <c r="D166" s="269"/>
      <c r="E166" s="269"/>
      <c r="F166" s="269"/>
      <c r="G166" s="269"/>
      <c r="H166" s="269"/>
      <c r="I166" s="270"/>
      <c r="J166" s="1570">
        <f t="shared" ref="J166:K171" si="17">SUM(D166,F166,H166)</f>
        <v>0</v>
      </c>
      <c r="K166" s="272">
        <f t="shared" si="17"/>
        <v>0</v>
      </c>
      <c r="L166" s="1380"/>
    </row>
    <row r="167" spans="1:18">
      <c r="A167" s="2013"/>
      <c r="B167" s="2014"/>
      <c r="C167" s="268">
        <v>2016</v>
      </c>
      <c r="D167" s="269"/>
      <c r="E167" s="269"/>
      <c r="F167" s="269"/>
      <c r="G167" s="269"/>
      <c r="H167" s="269"/>
      <c r="I167" s="270"/>
      <c r="J167" s="1570">
        <f t="shared" si="17"/>
        <v>0</v>
      </c>
      <c r="K167" s="272">
        <f t="shared" si="17"/>
        <v>0</v>
      </c>
    </row>
    <row r="168" spans="1:18">
      <c r="A168" s="2013"/>
      <c r="B168" s="2014"/>
      <c r="C168" s="268">
        <v>2017</v>
      </c>
      <c r="D168" s="269"/>
      <c r="E168" s="177"/>
      <c r="F168" s="269"/>
      <c r="G168" s="269"/>
      <c r="H168" s="269"/>
      <c r="I168" s="270"/>
      <c r="J168" s="1570">
        <f t="shared" si="17"/>
        <v>0</v>
      </c>
      <c r="K168" s="272">
        <f t="shared" si="17"/>
        <v>0</v>
      </c>
    </row>
    <row r="169" spans="1:18">
      <c r="A169" s="2013"/>
      <c r="B169" s="2014"/>
      <c r="C169" s="273">
        <v>2018</v>
      </c>
      <c r="D169" s="269"/>
      <c r="E169" s="269"/>
      <c r="F169" s="269"/>
      <c r="G169" s="274"/>
      <c r="H169" s="269"/>
      <c r="I169" s="270"/>
      <c r="J169" s="1570">
        <f t="shared" si="17"/>
        <v>0</v>
      </c>
      <c r="K169" s="272">
        <f t="shared" si="17"/>
        <v>0</v>
      </c>
      <c r="L169" s="1380"/>
    </row>
    <row r="170" spans="1:18">
      <c r="A170" s="2013"/>
      <c r="B170" s="2014"/>
      <c r="C170" s="268">
        <v>2019</v>
      </c>
      <c r="D170" s="177"/>
      <c r="E170" s="269"/>
      <c r="F170" s="269"/>
      <c r="G170" s="269"/>
      <c r="H170" s="274"/>
      <c r="I170" s="270"/>
      <c r="J170" s="1570">
        <f t="shared" si="17"/>
        <v>0</v>
      </c>
      <c r="K170" s="272">
        <f t="shared" si="17"/>
        <v>0</v>
      </c>
      <c r="L170" s="1380"/>
    </row>
    <row r="171" spans="1:18">
      <c r="A171" s="2013"/>
      <c r="B171" s="2014"/>
      <c r="C171" s="273">
        <v>2020</v>
      </c>
      <c r="D171" s="269"/>
      <c r="E171" s="269"/>
      <c r="F171" s="269"/>
      <c r="G171" s="269"/>
      <c r="H171" s="269"/>
      <c r="I171" s="270"/>
      <c r="J171" s="1570">
        <f t="shared" si="17"/>
        <v>0</v>
      </c>
      <c r="K171" s="272">
        <f t="shared" si="17"/>
        <v>0</v>
      </c>
      <c r="L171" s="1380"/>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1380"/>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872" t="s">
        <v>113</v>
      </c>
      <c r="B176" s="2874" t="s">
        <v>114</v>
      </c>
      <c r="C176" s="2875" t="s">
        <v>8</v>
      </c>
      <c r="D176" s="1551" t="s">
        <v>115</v>
      </c>
      <c r="E176" s="1732"/>
      <c r="F176" s="1732"/>
      <c r="G176" s="1733"/>
      <c r="H176" s="1553"/>
      <c r="I176" s="2751" t="s">
        <v>116</v>
      </c>
      <c r="J176" s="2876"/>
      <c r="K176" s="2876"/>
      <c r="L176" s="2876"/>
      <c r="M176" s="2876"/>
      <c r="N176" s="2876"/>
      <c r="O176" s="2877"/>
    </row>
    <row r="177" spans="1:15" s="31" customFormat="1" ht="129.75" customHeight="1">
      <c r="A177" s="2873"/>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561"/>
      <c r="B178" s="2025"/>
      <c r="C178" s="112">
        <v>2014</v>
      </c>
      <c r="D178" s="33"/>
      <c r="E178" s="34"/>
      <c r="F178" s="34"/>
      <c r="G178" s="293">
        <f>SUM(D178:F178)</f>
        <v>0</v>
      </c>
      <c r="H178" s="167"/>
      <c r="I178" s="167"/>
      <c r="J178" s="34"/>
      <c r="K178" s="34"/>
      <c r="L178" s="34"/>
      <c r="M178" s="34"/>
      <c r="N178" s="34"/>
      <c r="O178" s="37"/>
    </row>
    <row r="179" spans="1:15">
      <c r="A179" s="2561"/>
      <c r="B179" s="2025"/>
      <c r="C179" s="116">
        <v>2015</v>
      </c>
      <c r="D179" s="50">
        <v>7</v>
      </c>
      <c r="E179" s="42"/>
      <c r="F179" s="42"/>
      <c r="G179" s="293">
        <f t="shared" ref="G179:G184" si="19">SUM(D179:F179)</f>
        <v>7</v>
      </c>
      <c r="H179" s="294">
        <v>7</v>
      </c>
      <c r="I179" s="118">
        <v>7</v>
      </c>
      <c r="J179" s="42"/>
      <c r="K179" s="42"/>
      <c r="L179" s="42"/>
      <c r="M179" s="42"/>
      <c r="N179" s="42"/>
      <c r="O179" s="99"/>
    </row>
    <row r="180" spans="1:15">
      <c r="A180" s="2561"/>
      <c r="B180" s="2025"/>
      <c r="C180" s="116">
        <v>2016</v>
      </c>
      <c r="D180" s="50"/>
      <c r="E180" s="42"/>
      <c r="F180" s="42"/>
      <c r="G180" s="293">
        <f t="shared" si="19"/>
        <v>0</v>
      </c>
      <c r="H180" s="294"/>
      <c r="I180" s="118"/>
      <c r="J180" s="42"/>
      <c r="K180" s="42"/>
      <c r="L180" s="42"/>
      <c r="M180" s="42"/>
      <c r="N180" s="42"/>
      <c r="O180" s="99"/>
    </row>
    <row r="181" spans="1:15">
      <c r="A181" s="2561"/>
      <c r="B181" s="2025"/>
      <c r="C181" s="116">
        <v>2017</v>
      </c>
      <c r="D181" s="50"/>
      <c r="E181" s="42"/>
      <c r="F181" s="42"/>
      <c r="G181" s="293">
        <f t="shared" si="19"/>
        <v>0</v>
      </c>
      <c r="H181" s="294"/>
      <c r="I181" s="118"/>
      <c r="J181" s="42"/>
      <c r="K181" s="42"/>
      <c r="L181" s="42"/>
      <c r="M181" s="42"/>
      <c r="N181" s="42"/>
      <c r="O181" s="99"/>
    </row>
    <row r="182" spans="1:15">
      <c r="A182" s="2561"/>
      <c r="B182" s="2025"/>
      <c r="C182" s="116">
        <v>2018</v>
      </c>
      <c r="D182" s="50"/>
      <c r="E182" s="42"/>
      <c r="F182" s="42"/>
      <c r="G182" s="293">
        <f t="shared" si="19"/>
        <v>0</v>
      </c>
      <c r="H182" s="294"/>
      <c r="I182" s="118"/>
      <c r="J182" s="42"/>
      <c r="K182" s="42"/>
      <c r="L182" s="42"/>
      <c r="M182" s="42"/>
      <c r="N182" s="42"/>
      <c r="O182" s="99"/>
    </row>
    <row r="183" spans="1:15">
      <c r="A183" s="2561"/>
      <c r="B183" s="2025"/>
      <c r="C183" s="116">
        <v>2019</v>
      </c>
      <c r="D183" s="50"/>
      <c r="E183" s="42"/>
      <c r="F183" s="42"/>
      <c r="G183" s="293">
        <f t="shared" si="19"/>
        <v>0</v>
      </c>
      <c r="H183" s="294"/>
      <c r="I183" s="118"/>
      <c r="J183" s="42"/>
      <c r="K183" s="42"/>
      <c r="L183" s="42"/>
      <c r="M183" s="42"/>
      <c r="N183" s="42"/>
      <c r="O183" s="99"/>
    </row>
    <row r="184" spans="1:15">
      <c r="A184" s="2561"/>
      <c r="B184" s="2025"/>
      <c r="C184" s="116">
        <v>2020</v>
      </c>
      <c r="D184" s="50"/>
      <c r="E184" s="42"/>
      <c r="F184" s="42"/>
      <c r="G184" s="293">
        <f t="shared" si="19"/>
        <v>0</v>
      </c>
      <c r="H184" s="294"/>
      <c r="I184" s="118"/>
      <c r="J184" s="42"/>
      <c r="K184" s="42"/>
      <c r="L184" s="42"/>
      <c r="M184" s="42"/>
      <c r="N184" s="42"/>
      <c r="O184" s="99"/>
    </row>
    <row r="185" spans="1:15" ht="45" customHeight="1" thickBot="1">
      <c r="A185" s="2026"/>
      <c r="B185" s="2027"/>
      <c r="C185" s="122" t="s">
        <v>12</v>
      </c>
      <c r="D185" s="151">
        <f>SUM(D178:D184)</f>
        <v>7</v>
      </c>
      <c r="E185" s="125">
        <f>SUM(E178:E184)</f>
        <v>0</v>
      </c>
      <c r="F185" s="125">
        <f>SUM(F178:F184)</f>
        <v>0</v>
      </c>
      <c r="G185" s="234">
        <f t="shared" ref="G185:O185" si="20">SUM(G178:G184)</f>
        <v>7</v>
      </c>
      <c r="H185" s="295">
        <f t="shared" si="20"/>
        <v>7</v>
      </c>
      <c r="I185" s="124">
        <f t="shared" si="20"/>
        <v>7</v>
      </c>
      <c r="J185" s="125">
        <f t="shared" si="20"/>
        <v>0</v>
      </c>
      <c r="K185" s="125">
        <f t="shared" si="20"/>
        <v>0</v>
      </c>
      <c r="L185" s="125">
        <f t="shared" si="20"/>
        <v>0</v>
      </c>
      <c r="M185" s="125">
        <f t="shared" si="20"/>
        <v>0</v>
      </c>
      <c r="N185" s="125">
        <f t="shared" si="20"/>
        <v>0</v>
      </c>
      <c r="O185" s="126">
        <f t="shared" si="20"/>
        <v>0</v>
      </c>
    </row>
    <row r="186" spans="1:15" ht="33" customHeight="1" thickBot="1"/>
    <row r="187" spans="1:15" ht="19.5" customHeight="1">
      <c r="A187" s="2758" t="s">
        <v>122</v>
      </c>
      <c r="B187" s="2874" t="s">
        <v>114</v>
      </c>
      <c r="C187" s="1998" t="s">
        <v>8</v>
      </c>
      <c r="D187" s="2000" t="s">
        <v>123</v>
      </c>
      <c r="E187" s="2871"/>
      <c r="F187" s="2871"/>
      <c r="G187" s="2759"/>
      <c r="H187" s="2747"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111"/>
      <c r="B189" s="2112"/>
      <c r="C189" s="392">
        <v>2014</v>
      </c>
      <c r="D189" s="142"/>
      <c r="E189" s="115"/>
      <c r="F189" s="115"/>
      <c r="G189" s="301">
        <f>SUM(D189:F189)</f>
        <v>0</v>
      </c>
      <c r="H189" s="114"/>
      <c r="I189" s="115"/>
      <c r="J189" s="115"/>
      <c r="K189" s="115"/>
      <c r="L189" s="143"/>
    </row>
    <row r="190" spans="1:15">
      <c r="A190" s="2559"/>
      <c r="B190" s="1988"/>
      <c r="C190" s="86">
        <v>2015</v>
      </c>
      <c r="D190" s="50">
        <v>110</v>
      </c>
      <c r="E190" s="42"/>
      <c r="F190" s="42"/>
      <c r="G190" s="301">
        <f t="shared" ref="G190:G195" si="21">SUM(D190:F190)</f>
        <v>110</v>
      </c>
      <c r="H190" s="118"/>
      <c r="I190" s="42"/>
      <c r="J190" s="42">
        <v>110</v>
      </c>
      <c r="K190" s="42"/>
      <c r="L190" s="99"/>
    </row>
    <row r="191" spans="1:15">
      <c r="A191" s="2559"/>
      <c r="B191" s="1988"/>
      <c r="C191" s="86">
        <v>2016</v>
      </c>
      <c r="D191" s="50"/>
      <c r="E191" s="42"/>
      <c r="F191" s="42"/>
      <c r="G191" s="301">
        <f t="shared" si="21"/>
        <v>0</v>
      </c>
      <c r="H191" s="118"/>
      <c r="I191" s="42"/>
      <c r="J191" s="42"/>
      <c r="K191" s="42"/>
      <c r="L191" s="99"/>
    </row>
    <row r="192" spans="1:15">
      <c r="A192" s="2559"/>
      <c r="B192" s="1988"/>
      <c r="C192" s="86">
        <v>2017</v>
      </c>
      <c r="D192" s="50"/>
      <c r="E192" s="42"/>
      <c r="F192" s="42"/>
      <c r="G192" s="301">
        <f t="shared" si="21"/>
        <v>0</v>
      </c>
      <c r="H192" s="118"/>
      <c r="I192" s="42"/>
      <c r="J192" s="42"/>
      <c r="K192" s="42"/>
      <c r="L192" s="99"/>
    </row>
    <row r="193" spans="1:14">
      <c r="A193" s="2559"/>
      <c r="B193" s="1988"/>
      <c r="C193" s="86">
        <v>2018</v>
      </c>
      <c r="D193" s="50"/>
      <c r="E193" s="42"/>
      <c r="F193" s="42"/>
      <c r="G193" s="301">
        <f t="shared" si="21"/>
        <v>0</v>
      </c>
      <c r="H193" s="118"/>
      <c r="I193" s="42"/>
      <c r="J193" s="42"/>
      <c r="K193" s="42"/>
      <c r="L193" s="99"/>
    </row>
    <row r="194" spans="1:14">
      <c r="A194" s="2559"/>
      <c r="B194" s="1988"/>
      <c r="C194" s="86">
        <v>2019</v>
      </c>
      <c r="D194" s="50"/>
      <c r="E194" s="42"/>
      <c r="F194" s="42"/>
      <c r="G194" s="301">
        <f t="shared" si="21"/>
        <v>0</v>
      </c>
      <c r="H194" s="118"/>
      <c r="I194" s="42"/>
      <c r="J194" s="42"/>
      <c r="K194" s="42"/>
      <c r="L194" s="99"/>
    </row>
    <row r="195" spans="1:14">
      <c r="A195" s="2559"/>
      <c r="B195" s="1988"/>
      <c r="C195" s="86">
        <v>2020</v>
      </c>
      <c r="D195" s="50"/>
      <c r="E195" s="42"/>
      <c r="F195" s="42"/>
      <c r="G195" s="301">
        <f t="shared" si="21"/>
        <v>0</v>
      </c>
      <c r="H195" s="118"/>
      <c r="I195" s="42"/>
      <c r="J195" s="42"/>
      <c r="K195" s="42"/>
      <c r="L195" s="99"/>
    </row>
    <row r="196" spans="1:14" ht="15.75" thickBot="1">
      <c r="A196" s="2114"/>
      <c r="B196" s="1990"/>
      <c r="C196" s="148" t="s">
        <v>12</v>
      </c>
      <c r="D196" s="151">
        <f t="shared" ref="D196:L196" si="22">SUM(D189:D195)</f>
        <v>110</v>
      </c>
      <c r="E196" s="125">
        <f t="shared" si="22"/>
        <v>0</v>
      </c>
      <c r="F196" s="125">
        <f t="shared" si="22"/>
        <v>0</v>
      </c>
      <c r="G196" s="304">
        <f t="shared" si="22"/>
        <v>110</v>
      </c>
      <c r="H196" s="124">
        <f t="shared" si="22"/>
        <v>0</v>
      </c>
      <c r="I196" s="125">
        <f t="shared" si="22"/>
        <v>0</v>
      </c>
      <c r="J196" s="125">
        <f t="shared" si="22"/>
        <v>110</v>
      </c>
      <c r="K196" s="125">
        <f t="shared" si="22"/>
        <v>0</v>
      </c>
      <c r="L196" s="126">
        <f t="shared" si="22"/>
        <v>0</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1734" t="s">
        <v>135</v>
      </c>
      <c r="B201" s="309" t="s">
        <v>114</v>
      </c>
      <c r="C201" s="310" t="s">
        <v>8</v>
      </c>
      <c r="D201" s="1555" t="s">
        <v>136</v>
      </c>
      <c r="E201" s="312" t="s">
        <v>137</v>
      </c>
      <c r="F201" s="312" t="s">
        <v>138</v>
      </c>
      <c r="G201" s="310" t="s">
        <v>139</v>
      </c>
      <c r="H201" s="1735" t="s">
        <v>140</v>
      </c>
      <c r="I201" s="1556" t="s">
        <v>141</v>
      </c>
      <c r="J201" s="1557" t="s">
        <v>142</v>
      </c>
      <c r="K201" s="312" t="s">
        <v>143</v>
      </c>
      <c r="L201" s="316" t="s">
        <v>144</v>
      </c>
    </row>
    <row r="202" spans="1:14" ht="15" customHeight="1">
      <c r="A202" s="2558"/>
      <c r="B202" s="1988"/>
      <c r="C202" s="84">
        <v>2014</v>
      </c>
      <c r="D202" s="33"/>
      <c r="E202" s="34"/>
      <c r="F202" s="34"/>
      <c r="G202" s="32"/>
      <c r="H202" s="317"/>
      <c r="I202" s="318"/>
      <c r="J202" s="319"/>
      <c r="K202" s="34"/>
      <c r="L202" s="37"/>
    </row>
    <row r="203" spans="1:14">
      <c r="A203" s="2558"/>
      <c r="B203" s="1988"/>
      <c r="C203" s="86">
        <v>2015</v>
      </c>
      <c r="D203" s="50"/>
      <c r="E203" s="42"/>
      <c r="F203" s="42"/>
      <c r="G203" s="39"/>
      <c r="H203" s="320"/>
      <c r="I203" s="321"/>
      <c r="J203" s="322"/>
      <c r="K203" s="42"/>
      <c r="L203" s="99"/>
    </row>
    <row r="204" spans="1:14">
      <c r="A204" s="2558"/>
      <c r="B204" s="1988"/>
      <c r="C204" s="86">
        <v>2016</v>
      </c>
      <c r="D204" s="50"/>
      <c r="E204" s="42"/>
      <c r="F204" s="42"/>
      <c r="G204" s="39"/>
      <c r="H204" s="320"/>
      <c r="I204" s="321"/>
      <c r="J204" s="322"/>
      <c r="K204" s="42"/>
      <c r="L204" s="99"/>
    </row>
    <row r="205" spans="1:14">
      <c r="A205" s="2558"/>
      <c r="B205" s="1988"/>
      <c r="C205" s="86">
        <v>2017</v>
      </c>
      <c r="D205" s="50"/>
      <c r="E205" s="42"/>
      <c r="F205" s="42"/>
      <c r="G205" s="39"/>
      <c r="H205" s="320"/>
      <c r="I205" s="321"/>
      <c r="J205" s="322"/>
      <c r="K205" s="42"/>
      <c r="L205" s="99"/>
    </row>
    <row r="206" spans="1:14">
      <c r="A206" s="2558"/>
      <c r="B206" s="1988"/>
      <c r="C206" s="86">
        <v>2018</v>
      </c>
      <c r="D206" s="50"/>
      <c r="E206" s="42"/>
      <c r="F206" s="42"/>
      <c r="G206" s="39"/>
      <c r="H206" s="320"/>
      <c r="I206" s="321"/>
      <c r="J206" s="322"/>
      <c r="K206" s="42"/>
      <c r="L206" s="99"/>
    </row>
    <row r="207" spans="1:14">
      <c r="A207" s="2558"/>
      <c r="B207" s="1988"/>
      <c r="C207" s="86">
        <v>2019</v>
      </c>
      <c r="D207" s="50"/>
      <c r="E207" s="42"/>
      <c r="F207" s="42"/>
      <c r="G207" s="39"/>
      <c r="H207" s="320"/>
      <c r="I207" s="321"/>
      <c r="J207" s="322"/>
      <c r="K207" s="42"/>
      <c r="L207" s="99"/>
    </row>
    <row r="208" spans="1:14">
      <c r="A208" s="2558"/>
      <c r="B208" s="1988"/>
      <c r="C208" s="86">
        <v>2020</v>
      </c>
      <c r="D208" s="1665"/>
      <c r="E208" s="324"/>
      <c r="F208" s="324"/>
      <c r="G208" s="325"/>
      <c r="H208" s="326"/>
      <c r="I208" s="327"/>
      <c r="J208" s="328"/>
      <c r="K208" s="324"/>
      <c r="L208" s="329"/>
    </row>
    <row r="209" spans="1:12" ht="20.25" customHeight="1" thickBot="1">
      <c r="A209" s="1989"/>
      <c r="B209" s="1990"/>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1736" t="s">
        <v>145</v>
      </c>
      <c r="B212" s="331" t="s">
        <v>146</v>
      </c>
      <c r="C212" s="332">
        <v>2014</v>
      </c>
      <c r="D212" s="333">
        <v>2015</v>
      </c>
      <c r="E212" s="333">
        <v>2016</v>
      </c>
      <c r="F212" s="333">
        <v>2017</v>
      </c>
      <c r="G212" s="333">
        <v>2018</v>
      </c>
      <c r="H212" s="333">
        <v>2019</v>
      </c>
      <c r="I212" s="334">
        <v>2020</v>
      </c>
    </row>
    <row r="213" spans="1:12" ht="15" customHeight="1">
      <c r="A213" t="s">
        <v>147</v>
      </c>
      <c r="B213" s="2907" t="s">
        <v>552</v>
      </c>
      <c r="C213" s="84"/>
      <c r="D213" s="147"/>
      <c r="E213" s="403"/>
      <c r="F213" s="147"/>
      <c r="G213" s="147"/>
      <c r="H213" s="147"/>
      <c r="I213" s="335"/>
    </row>
    <row r="214" spans="1:12">
      <c r="A214" t="s">
        <v>149</v>
      </c>
      <c r="B214" s="2168"/>
      <c r="C214" s="84"/>
      <c r="D214" s="403">
        <v>11530</v>
      </c>
      <c r="E214" s="403">
        <v>278680.21999999997</v>
      </c>
      <c r="F214" s="147"/>
      <c r="G214" s="147"/>
      <c r="H214" s="147"/>
      <c r="I214" s="335"/>
    </row>
    <row r="215" spans="1:12">
      <c r="A215" t="s">
        <v>150</v>
      </c>
      <c r="B215" s="2168"/>
      <c r="C215" s="84"/>
      <c r="D215" s="147"/>
      <c r="E215" s="147"/>
      <c r="F215" s="147"/>
      <c r="G215" s="147"/>
      <c r="H215" s="147"/>
      <c r="I215" s="335"/>
    </row>
    <row r="216" spans="1:12">
      <c r="A216" t="s">
        <v>151</v>
      </c>
      <c r="B216" s="2168"/>
      <c r="C216" s="84"/>
      <c r="D216" s="147"/>
      <c r="E216" s="147"/>
      <c r="F216" s="147"/>
      <c r="G216" s="147"/>
      <c r="H216" s="147"/>
      <c r="I216" s="335"/>
    </row>
    <row r="217" spans="1:12">
      <c r="A217" t="s">
        <v>152</v>
      </c>
      <c r="B217" s="2168"/>
      <c r="C217" s="84"/>
      <c r="D217" s="147"/>
      <c r="E217" s="147"/>
      <c r="F217" s="147"/>
      <c r="G217" s="147"/>
      <c r="H217" s="147"/>
      <c r="I217" s="335"/>
    </row>
    <row r="218" spans="1:12" ht="30">
      <c r="A218" s="31" t="s">
        <v>153</v>
      </c>
      <c r="B218" s="2168"/>
      <c r="C218" s="84"/>
      <c r="D218" s="1737">
        <v>87927.09</v>
      </c>
      <c r="E218" s="147">
        <v>105036.97</v>
      </c>
      <c r="F218" s="147"/>
      <c r="G218" s="147"/>
      <c r="H218" s="147"/>
      <c r="I218" s="335"/>
    </row>
    <row r="219" spans="1:12" ht="15.75" thickBot="1">
      <c r="A219" s="1664"/>
      <c r="B219" s="2169"/>
      <c r="C219" s="54" t="s">
        <v>12</v>
      </c>
      <c r="D219" s="337">
        <f>SUM(D214:D218)</f>
        <v>99457.09</v>
      </c>
      <c r="E219" s="337">
        <f t="shared" ref="E219:I219" si="24">SUM(E214:E218)</f>
        <v>383717.18999999994</v>
      </c>
      <c r="F219" s="337">
        <f t="shared" si="24"/>
        <v>0</v>
      </c>
      <c r="G219" s="337">
        <f t="shared" si="24"/>
        <v>0</v>
      </c>
      <c r="H219" s="337">
        <f t="shared" si="24"/>
        <v>0</v>
      </c>
      <c r="I219" s="337">
        <f t="shared" si="24"/>
        <v>0</v>
      </c>
    </row>
    <row r="220" spans="1:12">
      <c r="E220">
        <f>255310.22-252818.96</f>
        <v>2491.2600000000093</v>
      </c>
    </row>
    <row r="221" spans="1:12">
      <c r="E221">
        <f>383717.19-368318.72</f>
        <v>15398.47000000003</v>
      </c>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4"/>
  <dimension ref="A1:Y227"/>
  <sheetViews>
    <sheetView topLeftCell="A205" workbookViewId="0">
      <selection activeCell="D219" sqref="D219"/>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512</v>
      </c>
      <c r="C1" s="2077"/>
      <c r="D1" s="2077"/>
      <c r="E1" s="2077"/>
      <c r="F1" s="2077"/>
      <c r="G1" s="2942"/>
      <c r="H1" s="2942"/>
      <c r="I1" s="2942"/>
      <c r="J1" s="2942"/>
    </row>
    <row r="2" spans="1:25" s="2" customFormat="1" ht="20.100000000000001" customHeight="1" thickBot="1"/>
    <row r="3" spans="1:25" s="5" customFormat="1" ht="20.100000000000001" customHeight="1">
      <c r="A3" s="1571" t="s">
        <v>1</v>
      </c>
      <c r="B3" s="1572"/>
      <c r="C3" s="1572"/>
      <c r="D3" s="1572"/>
      <c r="E3" s="1572"/>
      <c r="F3" s="2768"/>
      <c r="G3" s="2768"/>
      <c r="H3" s="2768"/>
      <c r="I3" s="2768"/>
      <c r="J3" s="2768"/>
      <c r="K3" s="2768"/>
      <c r="L3" s="2768"/>
      <c r="M3" s="2768"/>
      <c r="N3" s="2768"/>
      <c r="O3" s="2769"/>
    </row>
    <row r="4" spans="1:25" s="5" customFormat="1" ht="20.100000000000001" customHeight="1">
      <c r="A4" s="2566" t="s">
        <v>2</v>
      </c>
      <c r="B4" s="2081"/>
      <c r="C4" s="2081"/>
      <c r="D4" s="2081"/>
      <c r="E4" s="2081"/>
      <c r="F4" s="2081"/>
      <c r="G4" s="2081"/>
      <c r="H4" s="2081"/>
      <c r="I4" s="2081"/>
      <c r="J4" s="2081"/>
      <c r="K4" s="2081"/>
      <c r="L4" s="2081"/>
      <c r="M4" s="2081"/>
      <c r="N4" s="2081"/>
      <c r="O4" s="2082"/>
    </row>
    <row r="5" spans="1:25" s="5" customFormat="1" ht="20.100000000000001" customHeight="1">
      <c r="A5" s="2566"/>
      <c r="B5" s="2081"/>
      <c r="C5" s="2081"/>
      <c r="D5" s="2081"/>
      <c r="E5" s="2081"/>
      <c r="F5" s="2081"/>
      <c r="G5" s="2081"/>
      <c r="H5" s="2081"/>
      <c r="I5" s="2081"/>
      <c r="J5" s="2081"/>
      <c r="K5" s="2081"/>
      <c r="L5" s="2081"/>
      <c r="M5" s="2081"/>
      <c r="N5" s="2081"/>
      <c r="O5" s="2082"/>
    </row>
    <row r="6" spans="1:25" s="5" customFormat="1" ht="20.100000000000001" customHeight="1">
      <c r="A6" s="2566"/>
      <c r="B6" s="2081"/>
      <c r="C6" s="2081"/>
      <c r="D6" s="2081"/>
      <c r="E6" s="2081"/>
      <c r="F6" s="2081"/>
      <c r="G6" s="2081"/>
      <c r="H6" s="2081"/>
      <c r="I6" s="2081"/>
      <c r="J6" s="2081"/>
      <c r="K6" s="2081"/>
      <c r="L6" s="2081"/>
      <c r="M6" s="2081"/>
      <c r="N6" s="2081"/>
      <c r="O6" s="2082"/>
    </row>
    <row r="7" spans="1:25" s="5" customFormat="1" ht="20.100000000000001" customHeight="1">
      <c r="A7" s="2566"/>
      <c r="B7" s="2081"/>
      <c r="C7" s="2081"/>
      <c r="D7" s="2081"/>
      <c r="E7" s="2081"/>
      <c r="F7" s="2081"/>
      <c r="G7" s="2081"/>
      <c r="H7" s="2081"/>
      <c r="I7" s="2081"/>
      <c r="J7" s="2081"/>
      <c r="K7" s="2081"/>
      <c r="L7" s="2081"/>
      <c r="M7" s="2081"/>
      <c r="N7" s="2081"/>
      <c r="O7" s="2082"/>
    </row>
    <row r="8" spans="1:25" s="5" customFormat="1" ht="20.100000000000001" customHeight="1">
      <c r="A8" s="2566"/>
      <c r="B8" s="2081"/>
      <c r="C8" s="2081"/>
      <c r="D8" s="2081"/>
      <c r="E8" s="2081"/>
      <c r="F8" s="2081"/>
      <c r="G8" s="2081"/>
      <c r="H8" s="2081"/>
      <c r="I8" s="2081"/>
      <c r="J8" s="2081"/>
      <c r="K8" s="2081"/>
      <c r="L8" s="2081"/>
      <c r="M8" s="2081"/>
      <c r="N8" s="2081"/>
      <c r="O8" s="2082"/>
    </row>
    <row r="9" spans="1:25" s="5" customFormat="1" ht="20.100000000000001" customHeight="1">
      <c r="A9" s="2566"/>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1666"/>
      <c r="B15" s="1667"/>
      <c r="C15" s="11"/>
      <c r="D15" s="2718" t="s">
        <v>4</v>
      </c>
      <c r="E15" s="2902"/>
      <c r="F15" s="2902"/>
      <c r="G15" s="2902"/>
      <c r="H15" s="1520"/>
      <c r="I15" s="13" t="s">
        <v>5</v>
      </c>
      <c r="J15" s="14"/>
      <c r="K15" s="14"/>
      <c r="L15" s="14"/>
      <c r="M15" s="14"/>
      <c r="N15" s="14"/>
      <c r="O15" s="15"/>
      <c r="P15" s="16"/>
      <c r="Q15" s="17"/>
      <c r="R15" s="18"/>
      <c r="S15" s="18"/>
      <c r="T15" s="18"/>
      <c r="U15" s="18"/>
      <c r="V15" s="18"/>
      <c r="W15" s="16"/>
      <c r="X15" s="16"/>
      <c r="Y15" s="17"/>
    </row>
    <row r="16" spans="1:25" s="31" customFormat="1" ht="129" customHeight="1">
      <c r="A16" s="1567"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940">
        <v>33</v>
      </c>
      <c r="B17" s="2943"/>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940"/>
      <c r="B18" s="2943"/>
      <c r="C18" s="39">
        <v>2015</v>
      </c>
      <c r="D18" s="50">
        <v>1</v>
      </c>
      <c r="E18" s="42"/>
      <c r="F18" s="42"/>
      <c r="G18" s="35">
        <f>SUM(D18:F18)</f>
        <v>1</v>
      </c>
      <c r="H18" s="51">
        <v>1</v>
      </c>
      <c r="I18" s="42"/>
      <c r="J18" s="42"/>
      <c r="K18" s="42"/>
      <c r="L18" s="42"/>
      <c r="M18" s="42"/>
      <c r="N18" s="42"/>
      <c r="O18" s="52"/>
      <c r="P18" s="38"/>
      <c r="Q18" s="38"/>
      <c r="R18" s="38"/>
      <c r="S18" s="38"/>
      <c r="T18" s="38"/>
      <c r="U18" s="38"/>
      <c r="V18" s="38"/>
      <c r="W18" s="38"/>
      <c r="X18" s="38"/>
      <c r="Y18" s="38"/>
    </row>
    <row r="19" spans="1:25">
      <c r="A19" s="2940"/>
      <c r="B19" s="2943"/>
      <c r="C19" s="39">
        <v>2016</v>
      </c>
      <c r="D19" s="50">
        <v>32</v>
      </c>
      <c r="E19" s="42"/>
      <c r="F19" s="42"/>
      <c r="G19" s="35">
        <f t="shared" si="0"/>
        <v>32</v>
      </c>
      <c r="H19" s="51">
        <v>32</v>
      </c>
      <c r="I19" s="42"/>
      <c r="J19" s="42"/>
      <c r="K19" s="42"/>
      <c r="L19" s="42"/>
      <c r="M19" s="42"/>
      <c r="N19" s="42"/>
      <c r="O19" s="52"/>
      <c r="P19" s="38"/>
      <c r="Q19" s="38"/>
      <c r="R19" s="38"/>
      <c r="S19" s="38"/>
      <c r="T19" s="38"/>
      <c r="U19" s="38"/>
      <c r="V19" s="38"/>
      <c r="W19" s="38"/>
      <c r="X19" s="38"/>
      <c r="Y19" s="38"/>
    </row>
    <row r="20" spans="1:25">
      <c r="A20" s="2940"/>
      <c r="B20" s="2943"/>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2940"/>
      <c r="B21" s="2943"/>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2940"/>
      <c r="B22" s="2943"/>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2940"/>
      <c r="B23" s="2943"/>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19.5" customHeight="1" thickBot="1">
      <c r="A24" s="2944"/>
      <c r="B24" s="2945"/>
      <c r="C24" s="54" t="s">
        <v>12</v>
      </c>
      <c r="D24" s="55">
        <f>SUM(D17:D23)</f>
        <v>33</v>
      </c>
      <c r="E24" s="56">
        <f>SUM(E17:E23)</f>
        <v>0</v>
      </c>
      <c r="F24" s="56">
        <f>SUM(F17:F23)</f>
        <v>0</v>
      </c>
      <c r="G24" s="57">
        <f>SUM(D24:F24)</f>
        <v>33</v>
      </c>
      <c r="H24" s="58">
        <f>SUM(H17:H23)</f>
        <v>33</v>
      </c>
      <c r="I24" s="59">
        <f>SUM(I17:I23)</f>
        <v>0</v>
      </c>
      <c r="J24" s="59">
        <f t="shared" ref="J24:N24" si="1">SUM(J17:J23)</f>
        <v>0</v>
      </c>
      <c r="K24" s="59">
        <f t="shared" si="1"/>
        <v>0</v>
      </c>
      <c r="L24" s="59">
        <f t="shared" si="1"/>
        <v>0</v>
      </c>
      <c r="M24" s="59">
        <f t="shared" si="1"/>
        <v>0</v>
      </c>
      <c r="N24" s="59">
        <f t="shared" si="1"/>
        <v>0</v>
      </c>
      <c r="O24" s="60">
        <f>SUM(O17:O23)</f>
        <v>0</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1666"/>
      <c r="B26" s="1667"/>
      <c r="C26" s="63"/>
      <c r="D26" s="2723" t="s">
        <v>4</v>
      </c>
      <c r="E26" s="2903"/>
      <c r="F26" s="2903"/>
      <c r="G26" s="2904"/>
      <c r="H26" s="16"/>
      <c r="I26" s="17"/>
      <c r="J26" s="18"/>
      <c r="K26" s="18"/>
      <c r="L26" s="18"/>
      <c r="M26" s="18"/>
      <c r="N26" s="18"/>
      <c r="O26" s="16"/>
      <c r="P26" s="16"/>
    </row>
    <row r="27" spans="1:25" s="31" customFormat="1" ht="93" customHeight="1">
      <c r="A27" s="1364"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940">
        <v>1160</v>
      </c>
      <c r="B28" s="2014" t="s">
        <v>513</v>
      </c>
      <c r="C28" s="68">
        <v>2014</v>
      </c>
      <c r="D28" s="36"/>
      <c r="E28" s="34"/>
      <c r="F28" s="34"/>
      <c r="G28" s="69">
        <f>SUM(D28:F28)</f>
        <v>0</v>
      </c>
      <c r="H28" s="38"/>
      <c r="I28" s="38"/>
      <c r="J28" s="38"/>
      <c r="K28" s="38"/>
      <c r="L28" s="38"/>
      <c r="M28" s="38"/>
      <c r="N28" s="38"/>
      <c r="O28" s="38"/>
      <c r="P28" s="38"/>
      <c r="Q28" s="8"/>
    </row>
    <row r="29" spans="1:25">
      <c r="A29" s="2941"/>
      <c r="B29" s="2014"/>
      <c r="C29" s="70">
        <v>2015</v>
      </c>
      <c r="D29" s="51">
        <v>80</v>
      </c>
      <c r="E29" s="42"/>
      <c r="F29" s="42"/>
      <c r="G29" s="69">
        <f t="shared" ref="G29:G35" si="2">SUM(D29:F29)</f>
        <v>80</v>
      </c>
      <c r="H29" s="38"/>
      <c r="I29" s="38"/>
      <c r="J29" s="38"/>
      <c r="K29" s="38"/>
      <c r="L29" s="38"/>
      <c r="M29" s="38"/>
      <c r="N29" s="38"/>
      <c r="O29" s="38"/>
      <c r="P29" s="38"/>
      <c r="Q29" s="8"/>
    </row>
    <row r="30" spans="1:25">
      <c r="A30" s="2941"/>
      <c r="B30" s="2014"/>
      <c r="C30" s="70">
        <v>2016</v>
      </c>
      <c r="D30" s="51">
        <v>1080</v>
      </c>
      <c r="E30" s="42"/>
      <c r="F30" s="42"/>
      <c r="G30" s="69">
        <f t="shared" si="2"/>
        <v>1080</v>
      </c>
      <c r="H30" s="38"/>
      <c r="I30" s="38"/>
      <c r="J30" s="38"/>
      <c r="K30" s="38"/>
      <c r="L30" s="38"/>
      <c r="M30" s="38"/>
      <c r="N30" s="38"/>
      <c r="O30" s="38"/>
      <c r="P30" s="38"/>
      <c r="Q30" s="8"/>
    </row>
    <row r="31" spans="1:25">
      <c r="A31" s="2941"/>
      <c r="B31" s="2014"/>
      <c r="C31" s="70">
        <v>2017</v>
      </c>
      <c r="D31" s="51"/>
      <c r="E31" s="42"/>
      <c r="F31" s="42"/>
      <c r="G31" s="69">
        <f t="shared" si="2"/>
        <v>0</v>
      </c>
      <c r="H31" s="38"/>
      <c r="I31" s="38"/>
      <c r="J31" s="38"/>
      <c r="K31" s="38"/>
      <c r="L31" s="38"/>
      <c r="M31" s="38"/>
      <c r="N31" s="38"/>
      <c r="O31" s="38"/>
      <c r="P31" s="38"/>
      <c r="Q31" s="8"/>
    </row>
    <row r="32" spans="1:25">
      <c r="A32" s="2941"/>
      <c r="B32" s="2014"/>
      <c r="C32" s="70">
        <v>2018</v>
      </c>
      <c r="D32" s="51"/>
      <c r="E32" s="42"/>
      <c r="F32" s="42"/>
      <c r="G32" s="69">
        <f>SUM(D32:F32)</f>
        <v>0</v>
      </c>
      <c r="H32" s="38"/>
      <c r="I32" s="38"/>
      <c r="J32" s="38"/>
      <c r="K32" s="38"/>
      <c r="L32" s="38"/>
      <c r="M32" s="38"/>
      <c r="N32" s="38"/>
      <c r="O32" s="38"/>
      <c r="P32" s="38"/>
      <c r="Q32" s="8"/>
    </row>
    <row r="33" spans="1:17">
      <c r="A33" s="2941"/>
      <c r="B33" s="2014"/>
      <c r="C33" s="72">
        <v>2019</v>
      </c>
      <c r="D33" s="51"/>
      <c r="E33" s="42"/>
      <c r="F33" s="42"/>
      <c r="G33" s="69">
        <f t="shared" si="2"/>
        <v>0</v>
      </c>
      <c r="H33" s="38"/>
      <c r="I33" s="38"/>
      <c r="J33" s="38"/>
      <c r="K33" s="38"/>
      <c r="L33" s="38"/>
      <c r="M33" s="38"/>
      <c r="N33" s="38"/>
      <c r="O33" s="38"/>
      <c r="P33" s="38"/>
      <c r="Q33" s="8"/>
    </row>
    <row r="34" spans="1:17">
      <c r="A34" s="2941"/>
      <c r="B34" s="2014"/>
      <c r="C34" s="70">
        <v>2020</v>
      </c>
      <c r="D34" s="51"/>
      <c r="E34" s="42"/>
      <c r="F34" s="42"/>
      <c r="G34" s="69">
        <f t="shared" si="2"/>
        <v>0</v>
      </c>
      <c r="H34" s="38"/>
      <c r="I34" s="38"/>
      <c r="J34" s="38"/>
      <c r="K34" s="38"/>
      <c r="L34" s="38"/>
      <c r="M34" s="38"/>
      <c r="N34" s="38"/>
      <c r="O34" s="38"/>
      <c r="P34" s="38"/>
      <c r="Q34" s="8"/>
    </row>
    <row r="35" spans="1:17" ht="30" customHeight="1" thickBot="1">
      <c r="A35" s="2134"/>
      <c r="B35" s="2016"/>
      <c r="C35" s="73" t="s">
        <v>12</v>
      </c>
      <c r="D35" s="58">
        <f>SUM(D28:D34)</f>
        <v>1160</v>
      </c>
      <c r="E35" s="56">
        <f>SUM(E28:E34)</f>
        <v>0</v>
      </c>
      <c r="F35" s="56">
        <f>SUM(F28:F34)</f>
        <v>0</v>
      </c>
      <c r="G35" s="60">
        <f t="shared" si="2"/>
        <v>1160</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1669" t="s">
        <v>25</v>
      </c>
      <c r="B39" s="1670" t="s">
        <v>7</v>
      </c>
      <c r="C39" s="80" t="s">
        <v>8</v>
      </c>
      <c r="D39" s="1523" t="s">
        <v>26</v>
      </c>
      <c r="E39" s="352" t="s">
        <v>27</v>
      </c>
      <c r="F39" s="353"/>
      <c r="G39" s="30"/>
      <c r="H39" s="30"/>
    </row>
    <row r="40" spans="1:17">
      <c r="A40" s="2550"/>
      <c r="B40" s="1988" t="s">
        <v>514</v>
      </c>
      <c r="C40" s="84">
        <v>2014</v>
      </c>
      <c r="D40" s="33"/>
      <c r="E40" s="32"/>
      <c r="F40" s="8"/>
      <c r="G40" s="38"/>
      <c r="H40" s="38"/>
    </row>
    <row r="41" spans="1:17">
      <c r="A41" s="2761"/>
      <c r="B41" s="1988"/>
      <c r="C41" s="86">
        <v>2015</v>
      </c>
      <c r="D41" s="50"/>
      <c r="E41" s="39"/>
      <c r="F41" s="8"/>
      <c r="G41" s="38"/>
      <c r="H41" s="38"/>
    </row>
    <row r="42" spans="1:17">
      <c r="A42" s="2761"/>
      <c r="B42" s="1988"/>
      <c r="C42" s="86">
        <v>2016</v>
      </c>
      <c r="D42" s="50"/>
      <c r="E42" s="39"/>
      <c r="F42" s="8"/>
      <c r="G42" s="38"/>
      <c r="H42" s="38"/>
    </row>
    <row r="43" spans="1:17">
      <c r="A43" s="2761"/>
      <c r="B43" s="1988"/>
      <c r="C43" s="86">
        <v>2017</v>
      </c>
      <c r="D43" s="50"/>
      <c r="E43" s="39"/>
      <c r="F43" s="8"/>
      <c r="G43" s="38"/>
      <c r="H43" s="38"/>
    </row>
    <row r="44" spans="1:17">
      <c r="A44" s="2761"/>
      <c r="B44" s="1988"/>
      <c r="C44" s="86">
        <v>2018</v>
      </c>
      <c r="D44" s="50"/>
      <c r="E44" s="39"/>
      <c r="F44" s="8"/>
      <c r="G44" s="38"/>
      <c r="H44" s="38"/>
    </row>
    <row r="45" spans="1:17">
      <c r="A45" s="2761"/>
      <c r="B45" s="1988"/>
      <c r="C45" s="86">
        <v>2019</v>
      </c>
      <c r="D45" s="50"/>
      <c r="E45" s="39"/>
      <c r="F45" s="8"/>
      <c r="G45" s="38"/>
      <c r="H45" s="38"/>
    </row>
    <row r="46" spans="1:17">
      <c r="A46" s="2761"/>
      <c r="B46" s="1988"/>
      <c r="C46" s="86">
        <v>2020</v>
      </c>
      <c r="D46" s="50"/>
      <c r="E46" s="39"/>
      <c r="F46" s="8"/>
      <c r="G46" s="38"/>
      <c r="H46" s="38"/>
    </row>
    <row r="47" spans="1:17" ht="15.75" thickBot="1">
      <c r="A47" s="2762"/>
      <c r="B47" s="1990"/>
      <c r="C47" s="54" t="s">
        <v>12</v>
      </c>
      <c r="D47" s="55">
        <f>SUM(D40:D46)</f>
        <v>0</v>
      </c>
      <c r="E47" s="419">
        <f>SUM(E40:E46)</f>
        <v>0</v>
      </c>
      <c r="F47" s="121"/>
      <c r="G47" s="38"/>
      <c r="H47" s="38"/>
    </row>
    <row r="48" spans="1:17" s="38" customFormat="1" ht="15.75" thickBot="1">
      <c r="A48" s="1671"/>
      <c r="B48" s="92"/>
      <c r="C48" s="93"/>
    </row>
    <row r="49" spans="1:15" ht="83.25" customHeight="1">
      <c r="A49" s="1527" t="s">
        <v>29</v>
      </c>
      <c r="B49" s="1670" t="s">
        <v>7</v>
      </c>
      <c r="C49" s="95" t="s">
        <v>8</v>
      </c>
      <c r="D49" s="1523" t="s">
        <v>30</v>
      </c>
      <c r="E49" s="96" t="s">
        <v>31</v>
      </c>
      <c r="F49" s="96" t="s">
        <v>32</v>
      </c>
      <c r="G49" s="96" t="s">
        <v>33</v>
      </c>
      <c r="H49" s="96" t="s">
        <v>34</v>
      </c>
      <c r="I49" s="96" t="s">
        <v>35</v>
      </c>
      <c r="J49" s="96" t="s">
        <v>36</v>
      </c>
      <c r="K49" s="97" t="s">
        <v>37</v>
      </c>
    </row>
    <row r="50" spans="1:15" ht="17.25" customHeight="1">
      <c r="A50" s="2005"/>
      <c r="B50" s="2012" t="s">
        <v>515</v>
      </c>
      <c r="C50" s="98" t="s">
        <v>38</v>
      </c>
      <c r="D50" s="33"/>
      <c r="E50" s="34"/>
      <c r="F50" s="34"/>
      <c r="G50" s="34"/>
      <c r="H50" s="34"/>
      <c r="I50" s="34"/>
      <c r="J50" s="34"/>
      <c r="K50" s="37"/>
    </row>
    <row r="51" spans="1:15" ht="15" customHeight="1">
      <c r="A51" s="2761"/>
      <c r="B51" s="2014"/>
      <c r="C51" s="86">
        <v>2014</v>
      </c>
      <c r="D51" s="50"/>
      <c r="E51" s="42"/>
      <c r="F51" s="42"/>
      <c r="G51" s="42"/>
      <c r="H51" s="42"/>
      <c r="I51" s="42"/>
      <c r="J51" s="42"/>
      <c r="K51" s="99"/>
    </row>
    <row r="52" spans="1:15">
      <c r="A52" s="2761"/>
      <c r="B52" s="2014"/>
      <c r="C52" s="86">
        <v>2015</v>
      </c>
      <c r="D52" s="50"/>
      <c r="E52" s="42"/>
      <c r="F52" s="42"/>
      <c r="G52" s="42"/>
      <c r="H52" s="42"/>
      <c r="I52" s="42"/>
      <c r="J52" s="42"/>
      <c r="K52" s="99"/>
    </row>
    <row r="53" spans="1:15">
      <c r="A53" s="2761"/>
      <c r="B53" s="2014"/>
      <c r="C53" s="86">
        <v>2016</v>
      </c>
      <c r="D53" s="50"/>
      <c r="E53" s="42"/>
      <c r="F53" s="42"/>
      <c r="G53" s="42"/>
      <c r="H53" s="42"/>
      <c r="I53" s="42"/>
      <c r="J53" s="42"/>
      <c r="K53" s="99"/>
    </row>
    <row r="54" spans="1:15">
      <c r="A54" s="2761"/>
      <c r="B54" s="2014"/>
      <c r="C54" s="86">
        <v>2017</v>
      </c>
      <c r="D54" s="50"/>
      <c r="E54" s="42"/>
      <c r="F54" s="42"/>
      <c r="G54" s="42"/>
      <c r="H54" s="42"/>
      <c r="I54" s="42"/>
      <c r="J54" s="42"/>
      <c r="K54" s="99"/>
    </row>
    <row r="55" spans="1:15">
      <c r="A55" s="2761"/>
      <c r="B55" s="2014"/>
      <c r="C55" s="86">
        <v>2018</v>
      </c>
      <c r="D55" s="50"/>
      <c r="E55" s="42"/>
      <c r="F55" s="42"/>
      <c r="G55" s="42"/>
      <c r="H55" s="42"/>
      <c r="I55" s="42"/>
      <c r="J55" s="42"/>
      <c r="K55" s="99"/>
    </row>
    <row r="56" spans="1:15">
      <c r="A56" s="2761"/>
      <c r="B56" s="2014"/>
      <c r="C56" s="86">
        <v>2019</v>
      </c>
      <c r="D56" s="50"/>
      <c r="E56" s="42"/>
      <c r="F56" s="42"/>
      <c r="G56" s="42"/>
      <c r="H56" s="42"/>
      <c r="I56" s="42"/>
      <c r="J56" s="42"/>
      <c r="K56" s="99"/>
    </row>
    <row r="57" spans="1:15">
      <c r="A57" s="2761"/>
      <c r="B57" s="2014"/>
      <c r="C57" s="86">
        <v>2020</v>
      </c>
      <c r="D57" s="50"/>
      <c r="E57" s="42"/>
      <c r="F57" s="42"/>
      <c r="G57" s="42"/>
      <c r="H57" s="42"/>
      <c r="I57" s="42"/>
      <c r="J57" s="42"/>
      <c r="K57" s="100"/>
    </row>
    <row r="58" spans="1:15" ht="20.25" customHeight="1" thickBot="1">
      <c r="A58" s="2762"/>
      <c r="B58" s="2016"/>
      <c r="C58" s="54" t="s">
        <v>12</v>
      </c>
      <c r="D58" s="55">
        <f>SUM(D51:D57)</f>
        <v>0</v>
      </c>
      <c r="E58" s="56">
        <f>SUM(E51:E57)</f>
        <v>0</v>
      </c>
      <c r="F58" s="56">
        <f>SUM(F51:F57)</f>
        <v>0</v>
      </c>
      <c r="G58" s="56">
        <f>SUM(G51:G57)</f>
        <v>0</v>
      </c>
      <c r="H58" s="56">
        <f>SUM(H51:H57)</f>
        <v>0</v>
      </c>
      <c r="I58" s="56">
        <f t="shared" ref="I58" si="3">SUM(I51:I57)</f>
        <v>0</v>
      </c>
      <c r="J58" s="56">
        <f>SUM(J51:J57)</f>
        <v>0</v>
      </c>
      <c r="K58" s="60">
        <f>SUM(K50:K56)</f>
        <v>0</v>
      </c>
    </row>
    <row r="59" spans="1:15" ht="15.75" thickBot="1"/>
    <row r="60" spans="1:15" ht="21" customHeight="1">
      <c r="A60" s="2905" t="s">
        <v>39</v>
      </c>
      <c r="B60" s="1672"/>
      <c r="C60" s="2906" t="s">
        <v>8</v>
      </c>
      <c r="D60" s="2671" t="s">
        <v>40</v>
      </c>
      <c r="E60" s="1477" t="s">
        <v>5</v>
      </c>
      <c r="F60" s="1673"/>
      <c r="G60" s="1673"/>
      <c r="H60" s="1673"/>
      <c r="I60" s="1673"/>
      <c r="J60" s="1673"/>
      <c r="K60" s="1673"/>
      <c r="L60" s="1674"/>
    </row>
    <row r="61" spans="1:15" ht="115.5" customHeight="1">
      <c r="A61" s="2775"/>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924">
        <v>4</v>
      </c>
      <c r="B62" s="2025"/>
      <c r="C62" s="112">
        <v>2014</v>
      </c>
      <c r="D62" s="113"/>
      <c r="E62" s="114"/>
      <c r="F62" s="115"/>
      <c r="G62" s="115"/>
      <c r="H62" s="115"/>
      <c r="I62" s="115"/>
      <c r="J62" s="115"/>
      <c r="K62" s="115"/>
      <c r="L62" s="37"/>
      <c r="M62" s="8"/>
      <c r="N62" s="8"/>
      <c r="O62" s="8"/>
    </row>
    <row r="63" spans="1:15">
      <c r="A63" s="2938"/>
      <c r="B63" s="2025"/>
      <c r="C63" s="116">
        <v>2015</v>
      </c>
      <c r="D63" s="117"/>
      <c r="E63" s="118"/>
      <c r="F63" s="42"/>
      <c r="G63" s="42"/>
      <c r="H63" s="42"/>
      <c r="I63" s="42"/>
      <c r="J63" s="42"/>
      <c r="K63" s="42"/>
      <c r="L63" s="99"/>
      <c r="M63" s="8"/>
      <c r="N63" s="8"/>
      <c r="O63" s="8"/>
    </row>
    <row r="64" spans="1:15">
      <c r="A64" s="2938"/>
      <c r="B64" s="2025"/>
      <c r="C64" s="116">
        <v>2016</v>
      </c>
      <c r="D64" s="117">
        <v>4</v>
      </c>
      <c r="E64" s="118">
        <v>4</v>
      </c>
      <c r="F64" s="42"/>
      <c r="G64" s="42"/>
      <c r="H64" s="42"/>
      <c r="I64" s="42"/>
      <c r="J64" s="42"/>
      <c r="K64" s="42"/>
      <c r="L64" s="99"/>
      <c r="M64" s="8"/>
      <c r="N64" s="8"/>
      <c r="O64" s="8"/>
    </row>
    <row r="65" spans="1:20">
      <c r="A65" s="2938"/>
      <c r="B65" s="2025"/>
      <c r="C65" s="116">
        <v>2017</v>
      </c>
      <c r="D65" s="117"/>
      <c r="E65" s="118"/>
      <c r="F65" s="42"/>
      <c r="G65" s="42"/>
      <c r="H65" s="42"/>
      <c r="I65" s="42"/>
      <c r="J65" s="42"/>
      <c r="K65" s="42"/>
      <c r="L65" s="99"/>
      <c r="M65" s="8"/>
      <c r="N65" s="8"/>
      <c r="O65" s="8"/>
    </row>
    <row r="66" spans="1:20">
      <c r="A66" s="2938"/>
      <c r="B66" s="2025"/>
      <c r="C66" s="116">
        <v>2018</v>
      </c>
      <c r="D66" s="117"/>
      <c r="E66" s="118"/>
      <c r="F66" s="42"/>
      <c r="G66" s="42"/>
      <c r="H66" s="42"/>
      <c r="I66" s="42"/>
      <c r="J66" s="42"/>
      <c r="K66" s="42"/>
      <c r="L66" s="99"/>
      <c r="M66" s="8"/>
      <c r="N66" s="8"/>
      <c r="O66" s="8"/>
    </row>
    <row r="67" spans="1:20" ht="17.25" customHeight="1">
      <c r="A67" s="2938"/>
      <c r="B67" s="2025"/>
      <c r="C67" s="116">
        <v>2019</v>
      </c>
      <c r="D67" s="117"/>
      <c r="E67" s="118"/>
      <c r="F67" s="42"/>
      <c r="G67" s="42"/>
      <c r="H67" s="42"/>
      <c r="I67" s="42"/>
      <c r="J67" s="42"/>
      <c r="K67" s="42"/>
      <c r="L67" s="99"/>
      <c r="M67" s="8"/>
      <c r="N67" s="8"/>
      <c r="O67" s="8"/>
    </row>
    <row r="68" spans="1:20" ht="16.5" customHeight="1">
      <c r="A68" s="2938"/>
      <c r="B68" s="2025"/>
      <c r="C68" s="116">
        <v>2020</v>
      </c>
      <c r="D68" s="117"/>
      <c r="E68" s="118"/>
      <c r="F68" s="42"/>
      <c r="G68" s="42"/>
      <c r="H68" s="42"/>
      <c r="I68" s="42"/>
      <c r="J68" s="42"/>
      <c r="K68" s="42"/>
      <c r="L68" s="99"/>
      <c r="M68" s="121"/>
      <c r="N68" s="121"/>
      <c r="O68" s="121"/>
    </row>
    <row r="69" spans="1:20" ht="18" customHeight="1" thickBot="1">
      <c r="A69" s="2926"/>
      <c r="B69" s="2027"/>
      <c r="C69" s="122" t="s">
        <v>12</v>
      </c>
      <c r="D69" s="123">
        <f>SUM(D62:D68)</f>
        <v>4</v>
      </c>
      <c r="E69" s="124">
        <f>SUM(E62:E68)</f>
        <v>4</v>
      </c>
      <c r="F69" s="125">
        <f t="shared" ref="F69:I69" si="4">SUM(F62:F68)</f>
        <v>0</v>
      </c>
      <c r="G69" s="125">
        <f t="shared" si="4"/>
        <v>0</v>
      </c>
      <c r="H69" s="125">
        <f t="shared" si="4"/>
        <v>0</v>
      </c>
      <c r="I69" s="125">
        <f t="shared" si="4"/>
        <v>0</v>
      </c>
      <c r="J69" s="125"/>
      <c r="K69" s="125">
        <f>SUM(K62:K68)</f>
        <v>0</v>
      </c>
      <c r="L69" s="126">
        <f>SUM(L62:L68)</f>
        <v>0</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1669" t="s">
        <v>42</v>
      </c>
      <c r="B71" s="1670" t="s">
        <v>7</v>
      </c>
      <c r="C71" s="80" t="s">
        <v>8</v>
      </c>
      <c r="D71" s="132" t="s">
        <v>43</v>
      </c>
      <c r="E71" s="132" t="s">
        <v>44</v>
      </c>
      <c r="F71" s="133" t="s">
        <v>45</v>
      </c>
      <c r="G71" s="1532" t="s">
        <v>46</v>
      </c>
      <c r="H71" s="135" t="s">
        <v>13</v>
      </c>
      <c r="I71" s="136" t="s">
        <v>14</v>
      </c>
      <c r="J71" s="137" t="s">
        <v>15</v>
      </c>
      <c r="K71" s="136" t="s">
        <v>16</v>
      </c>
      <c r="L71" s="136" t="s">
        <v>17</v>
      </c>
      <c r="M71" s="138" t="s">
        <v>18</v>
      </c>
      <c r="N71" s="137" t="s">
        <v>19</v>
      </c>
      <c r="O71" s="139" t="s">
        <v>20</v>
      </c>
    </row>
    <row r="72" spans="1:20" ht="15" customHeight="1">
      <c r="A72" s="2920">
        <v>0</v>
      </c>
      <c r="B72" s="2925"/>
      <c r="C72" s="84">
        <v>2014</v>
      </c>
      <c r="D72" s="140"/>
      <c r="E72" s="140"/>
      <c r="F72" s="140"/>
      <c r="G72" s="141">
        <f>SUM(D72:F72)</f>
        <v>0</v>
      </c>
      <c r="H72" s="33"/>
      <c r="I72" s="142"/>
      <c r="J72" s="115"/>
      <c r="K72" s="115"/>
      <c r="L72" s="115"/>
      <c r="M72" s="115"/>
      <c r="N72" s="115"/>
      <c r="O72" s="143"/>
    </row>
    <row r="73" spans="1:20">
      <c r="A73" s="2920"/>
      <c r="B73" s="2925"/>
      <c r="C73" s="86">
        <v>2015</v>
      </c>
      <c r="D73" s="147"/>
      <c r="E73" s="147"/>
      <c r="F73" s="147"/>
      <c r="G73" s="141">
        <f t="shared" ref="G73:G78" si="5">SUM(D73:F73)</f>
        <v>0</v>
      </c>
      <c r="H73" s="50"/>
      <c r="I73" s="50"/>
      <c r="J73" s="42"/>
      <c r="K73" s="42"/>
      <c r="L73" s="42"/>
      <c r="M73" s="42"/>
      <c r="N73" s="42"/>
      <c r="O73" s="99"/>
    </row>
    <row r="74" spans="1:20">
      <c r="A74" s="2920"/>
      <c r="B74" s="2925"/>
      <c r="C74" s="86">
        <v>2016</v>
      </c>
      <c r="D74" s="147"/>
      <c r="E74" s="147"/>
      <c r="F74" s="147"/>
      <c r="G74" s="141">
        <f t="shared" si="5"/>
        <v>0</v>
      </c>
      <c r="H74" s="50"/>
      <c r="I74" s="50"/>
      <c r="J74" s="42"/>
      <c r="K74" s="42"/>
      <c r="L74" s="42"/>
      <c r="M74" s="42"/>
      <c r="N74" s="42"/>
      <c r="O74" s="99"/>
    </row>
    <row r="75" spans="1:20">
      <c r="A75" s="2920"/>
      <c r="B75" s="2925"/>
      <c r="C75" s="86">
        <v>2017</v>
      </c>
      <c r="D75" s="147"/>
      <c r="E75" s="147"/>
      <c r="F75" s="147"/>
      <c r="G75" s="141">
        <f t="shared" si="5"/>
        <v>0</v>
      </c>
      <c r="H75" s="50"/>
      <c r="I75" s="50"/>
      <c r="J75" s="42"/>
      <c r="K75" s="42"/>
      <c r="L75" s="42"/>
      <c r="M75" s="42"/>
      <c r="N75" s="42"/>
      <c r="O75" s="99"/>
    </row>
    <row r="76" spans="1:20">
      <c r="A76" s="2920"/>
      <c r="B76" s="2925"/>
      <c r="C76" s="86">
        <v>2018</v>
      </c>
      <c r="D76" s="147"/>
      <c r="E76" s="147"/>
      <c r="F76" s="147"/>
      <c r="G76" s="141">
        <f t="shared" si="5"/>
        <v>0</v>
      </c>
      <c r="H76" s="50"/>
      <c r="I76" s="50"/>
      <c r="J76" s="42"/>
      <c r="K76" s="42"/>
      <c r="L76" s="42"/>
      <c r="M76" s="42"/>
      <c r="N76" s="42"/>
      <c r="O76" s="99"/>
    </row>
    <row r="77" spans="1:20" ht="15.75" customHeight="1">
      <c r="A77" s="2920"/>
      <c r="B77" s="2925"/>
      <c r="C77" s="86">
        <v>2019</v>
      </c>
      <c r="D77" s="147"/>
      <c r="E77" s="147"/>
      <c r="F77" s="147"/>
      <c r="G77" s="141">
        <f t="shared" si="5"/>
        <v>0</v>
      </c>
      <c r="H77" s="50"/>
      <c r="I77" s="50"/>
      <c r="J77" s="42"/>
      <c r="K77" s="42"/>
      <c r="L77" s="42"/>
      <c r="M77" s="42"/>
      <c r="N77" s="42"/>
      <c r="O77" s="99"/>
    </row>
    <row r="78" spans="1:20" ht="17.25" customHeight="1">
      <c r="A78" s="2920"/>
      <c r="B78" s="2925"/>
      <c r="C78" s="86">
        <v>2020</v>
      </c>
      <c r="D78" s="147"/>
      <c r="E78" s="147"/>
      <c r="F78" s="147"/>
      <c r="G78" s="141">
        <f t="shared" si="5"/>
        <v>0</v>
      </c>
      <c r="H78" s="50"/>
      <c r="I78" s="50"/>
      <c r="J78" s="42"/>
      <c r="K78" s="42"/>
      <c r="L78" s="42"/>
      <c r="M78" s="42"/>
      <c r="N78" s="42"/>
      <c r="O78" s="99"/>
    </row>
    <row r="79" spans="1:20" ht="20.25" customHeight="1" thickBot="1">
      <c r="A79" s="2926"/>
      <c r="B79" s="2927"/>
      <c r="C79" s="148" t="s">
        <v>12</v>
      </c>
      <c r="D79" s="123">
        <f>SUM(D72:D78)</f>
        <v>0</v>
      </c>
      <c r="E79" s="123">
        <f>SUM(E72:E78)</f>
        <v>0</v>
      </c>
      <c r="F79" s="123">
        <f>SUM(F72:F78)</f>
        <v>0</v>
      </c>
      <c r="G79" s="149">
        <f>SUM(G72:G78)</f>
        <v>0</v>
      </c>
      <c r="H79" s="150">
        <v>0</v>
      </c>
      <c r="I79" s="151">
        <f t="shared" ref="I79:O79" si="6">SUM(I72:I78)</f>
        <v>0</v>
      </c>
      <c r="J79" s="125">
        <f t="shared" si="6"/>
        <v>0</v>
      </c>
      <c r="K79" s="125">
        <f t="shared" si="6"/>
        <v>0</v>
      </c>
      <c r="L79" s="125">
        <f t="shared" si="6"/>
        <v>0</v>
      </c>
      <c r="M79" s="125">
        <f t="shared" si="6"/>
        <v>0</v>
      </c>
      <c r="N79" s="125">
        <f t="shared" si="6"/>
        <v>0</v>
      </c>
      <c r="O79" s="126">
        <f t="shared" si="6"/>
        <v>0</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1675" t="s">
        <v>49</v>
      </c>
      <c r="B84" s="1676" t="s">
        <v>50</v>
      </c>
      <c r="C84" s="161" t="s">
        <v>8</v>
      </c>
      <c r="D84" s="1538" t="s">
        <v>51</v>
      </c>
      <c r="E84" s="163" t="s">
        <v>52</v>
      </c>
      <c r="F84" s="164" t="s">
        <v>53</v>
      </c>
      <c r="G84" s="164" t="s">
        <v>54</v>
      </c>
      <c r="H84" s="164" t="s">
        <v>55</v>
      </c>
      <c r="I84" s="164" t="s">
        <v>56</v>
      </c>
      <c r="J84" s="164" t="s">
        <v>57</v>
      </c>
      <c r="K84" s="165" t="s">
        <v>58</v>
      </c>
    </row>
    <row r="85" spans="1:16" ht="15" customHeight="1">
      <c r="A85" s="2939">
        <v>0</v>
      </c>
      <c r="B85" s="2014" t="s">
        <v>516</v>
      </c>
      <c r="C85" s="84">
        <v>2014</v>
      </c>
      <c r="D85" s="166"/>
      <c r="E85" s="167"/>
      <c r="F85" s="34"/>
      <c r="G85" s="34"/>
      <c r="H85" s="34"/>
      <c r="I85" s="34"/>
      <c r="J85" s="34"/>
      <c r="K85" s="37"/>
    </row>
    <row r="86" spans="1:16">
      <c r="A86" s="2938"/>
      <c r="B86" s="2014"/>
      <c r="C86" s="86">
        <v>2015</v>
      </c>
      <c r="D86" s="168"/>
      <c r="E86" s="118"/>
      <c r="F86" s="42"/>
      <c r="G86" s="42"/>
      <c r="H86" s="42"/>
      <c r="I86" s="42"/>
      <c r="J86" s="42"/>
      <c r="K86" s="99"/>
    </row>
    <row r="87" spans="1:16">
      <c r="A87" s="2938"/>
      <c r="B87" s="2014"/>
      <c r="C87" s="86">
        <v>2016</v>
      </c>
      <c r="D87" s="168">
        <v>0</v>
      </c>
      <c r="E87" s="118">
        <v>0</v>
      </c>
      <c r="F87" s="42"/>
      <c r="G87" s="42"/>
      <c r="H87" s="42"/>
      <c r="I87" s="42"/>
      <c r="J87" s="42"/>
      <c r="K87" s="99"/>
    </row>
    <row r="88" spans="1:16">
      <c r="A88" s="2938"/>
      <c r="B88" s="2014"/>
      <c r="C88" s="86">
        <v>2017</v>
      </c>
      <c r="D88" s="168"/>
      <c r="E88" s="118"/>
      <c r="F88" s="42"/>
      <c r="G88" s="42"/>
      <c r="H88" s="42"/>
      <c r="I88" s="42"/>
      <c r="J88" s="42"/>
      <c r="K88" s="99"/>
    </row>
    <row r="89" spans="1:16">
      <c r="A89" s="2938"/>
      <c r="B89" s="2014"/>
      <c r="C89" s="86">
        <v>2018</v>
      </c>
      <c r="D89" s="168"/>
      <c r="E89" s="118"/>
      <c r="F89" s="42"/>
      <c r="G89" s="42"/>
      <c r="H89" s="42"/>
      <c r="I89" s="42"/>
      <c r="J89" s="42"/>
      <c r="K89" s="99"/>
    </row>
    <row r="90" spans="1:16">
      <c r="A90" s="2938"/>
      <c r="B90" s="2014"/>
      <c r="C90" s="86">
        <v>2019</v>
      </c>
      <c r="D90" s="168"/>
      <c r="E90" s="118"/>
      <c r="F90" s="42"/>
      <c r="G90" s="42"/>
      <c r="H90" s="42"/>
      <c r="I90" s="42"/>
      <c r="J90" s="42"/>
      <c r="K90" s="99"/>
    </row>
    <row r="91" spans="1:16">
      <c r="A91" s="2938"/>
      <c r="B91" s="2014"/>
      <c r="C91" s="86">
        <v>2020</v>
      </c>
      <c r="D91" s="168"/>
      <c r="E91" s="118"/>
      <c r="F91" s="42"/>
      <c r="G91" s="42"/>
      <c r="H91" s="42"/>
      <c r="I91" s="42"/>
      <c r="J91" s="42"/>
      <c r="K91" s="99"/>
    </row>
    <row r="92" spans="1:16" ht="18" customHeight="1" thickBot="1">
      <c r="A92" s="2926"/>
      <c r="B92" s="2016"/>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898" t="s">
        <v>60</v>
      </c>
      <c r="B96" s="2899" t="s">
        <v>61</v>
      </c>
      <c r="C96" s="2901" t="s">
        <v>8</v>
      </c>
      <c r="D96" s="2735" t="s">
        <v>62</v>
      </c>
      <c r="E96" s="2736"/>
      <c r="F96" s="1539" t="s">
        <v>63</v>
      </c>
      <c r="G96" s="1677"/>
      <c r="H96" s="1677"/>
      <c r="I96" s="1677"/>
      <c r="J96" s="1677"/>
      <c r="K96" s="1677"/>
      <c r="L96" s="1677"/>
      <c r="M96" s="1678"/>
      <c r="N96" s="177"/>
      <c r="O96" s="177"/>
      <c r="P96" s="177"/>
    </row>
    <row r="97" spans="1:16" ht="100.5" customHeight="1">
      <c r="A97" s="2778"/>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924">
        <v>0</v>
      </c>
      <c r="B98" s="2925"/>
      <c r="C98" s="112">
        <v>2014</v>
      </c>
      <c r="D98" s="33"/>
      <c r="E98" s="34"/>
      <c r="F98" s="186"/>
      <c r="G98" s="187"/>
      <c r="H98" s="187"/>
      <c r="I98" s="187"/>
      <c r="J98" s="187"/>
      <c r="K98" s="187"/>
      <c r="L98" s="187"/>
      <c r="M98" s="188"/>
      <c r="N98" s="177"/>
      <c r="O98" s="177"/>
      <c r="P98" s="177"/>
    </row>
    <row r="99" spans="1:16" ht="16.5" customHeight="1">
      <c r="A99" s="2924"/>
      <c r="B99" s="2925"/>
      <c r="C99" s="116">
        <v>2015</v>
      </c>
      <c r="D99" s="50"/>
      <c r="E99" s="42"/>
      <c r="F99" s="189"/>
      <c r="G99" s="190"/>
      <c r="H99" s="190"/>
      <c r="I99" s="190"/>
      <c r="J99" s="190"/>
      <c r="K99" s="190"/>
      <c r="L99" s="190"/>
      <c r="M99" s="193"/>
      <c r="N99" s="177"/>
      <c r="O99" s="177"/>
      <c r="P99" s="177"/>
    </row>
    <row r="100" spans="1:16" ht="16.5" customHeight="1">
      <c r="A100" s="2924"/>
      <c r="B100" s="2925"/>
      <c r="C100" s="116">
        <v>2016</v>
      </c>
      <c r="D100" s="50"/>
      <c r="E100" s="42"/>
      <c r="F100" s="189"/>
      <c r="G100" s="190"/>
      <c r="H100" s="190"/>
      <c r="I100" s="190"/>
      <c r="J100" s="190"/>
      <c r="K100" s="190"/>
      <c r="L100" s="190"/>
      <c r="M100" s="193"/>
      <c r="N100" s="177"/>
      <c r="O100" s="177"/>
      <c r="P100" s="177"/>
    </row>
    <row r="101" spans="1:16" ht="16.5" customHeight="1">
      <c r="A101" s="2924"/>
      <c r="B101" s="2925"/>
      <c r="C101" s="116">
        <v>2017</v>
      </c>
      <c r="D101" s="50"/>
      <c r="E101" s="42"/>
      <c r="F101" s="189"/>
      <c r="G101" s="190"/>
      <c r="H101" s="190"/>
      <c r="I101" s="190"/>
      <c r="J101" s="190"/>
      <c r="K101" s="190"/>
      <c r="L101" s="190"/>
      <c r="M101" s="193"/>
      <c r="N101" s="177"/>
      <c r="O101" s="177"/>
      <c r="P101" s="177"/>
    </row>
    <row r="102" spans="1:16" ht="15.75" customHeight="1">
      <c r="A102" s="2924"/>
      <c r="B102" s="2925"/>
      <c r="C102" s="116">
        <v>2018</v>
      </c>
      <c r="D102" s="50"/>
      <c r="E102" s="42"/>
      <c r="F102" s="189"/>
      <c r="G102" s="190"/>
      <c r="H102" s="190"/>
      <c r="I102" s="190"/>
      <c r="J102" s="190"/>
      <c r="K102" s="190"/>
      <c r="L102" s="190"/>
      <c r="M102" s="193"/>
      <c r="N102" s="177"/>
      <c r="O102" s="177"/>
      <c r="P102" s="177"/>
    </row>
    <row r="103" spans="1:16" ht="14.25" customHeight="1">
      <c r="A103" s="2924"/>
      <c r="B103" s="2925"/>
      <c r="C103" s="116">
        <v>2019</v>
      </c>
      <c r="D103" s="50"/>
      <c r="E103" s="42"/>
      <c r="F103" s="189"/>
      <c r="G103" s="190"/>
      <c r="H103" s="190"/>
      <c r="I103" s="190"/>
      <c r="J103" s="190"/>
      <c r="K103" s="190"/>
      <c r="L103" s="190"/>
      <c r="M103" s="193"/>
      <c r="N103" s="177"/>
      <c r="O103" s="177"/>
      <c r="P103" s="177"/>
    </row>
    <row r="104" spans="1:16" ht="14.25" customHeight="1">
      <c r="A104" s="2924"/>
      <c r="B104" s="2925"/>
      <c r="C104" s="116">
        <v>2020</v>
      </c>
      <c r="D104" s="50"/>
      <c r="E104" s="42"/>
      <c r="F104" s="189"/>
      <c r="G104" s="190"/>
      <c r="H104" s="190"/>
      <c r="I104" s="190"/>
      <c r="J104" s="190"/>
      <c r="K104" s="190"/>
      <c r="L104" s="190"/>
      <c r="M104" s="193"/>
      <c r="N104" s="177"/>
      <c r="O104" s="177"/>
      <c r="P104" s="177"/>
    </row>
    <row r="105" spans="1:16" ht="19.5" customHeight="1" thickBot="1">
      <c r="A105" s="2926"/>
      <c r="B105" s="2927"/>
      <c r="C105" s="122" t="s">
        <v>12</v>
      </c>
      <c r="D105" s="151">
        <f>SUM(D98:D104)</f>
        <v>0</v>
      </c>
      <c r="E105" s="125">
        <f t="shared" ref="E105:K105" si="8">SUM(E98:E104)</f>
        <v>0</v>
      </c>
      <c r="F105" s="194">
        <f t="shared" si="8"/>
        <v>0</v>
      </c>
      <c r="G105" s="195">
        <f t="shared" si="8"/>
        <v>0</v>
      </c>
      <c r="H105" s="195">
        <f t="shared" si="8"/>
        <v>0</v>
      </c>
      <c r="I105" s="195">
        <f>SUM(I98:I104)</f>
        <v>0</v>
      </c>
      <c r="J105" s="195">
        <f t="shared" si="8"/>
        <v>0</v>
      </c>
      <c r="K105" s="195">
        <f t="shared" si="8"/>
        <v>0</v>
      </c>
      <c r="L105" s="195">
        <f>SUM(L98:L104)</f>
        <v>0</v>
      </c>
      <c r="M105" s="196">
        <f>SUM(M98:M104)</f>
        <v>0</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898" t="s">
        <v>69</v>
      </c>
      <c r="B107" s="2899" t="s">
        <v>61</v>
      </c>
      <c r="C107" s="2901" t="s">
        <v>8</v>
      </c>
      <c r="D107" s="2670" t="s">
        <v>70</v>
      </c>
      <c r="E107" s="1539" t="s">
        <v>71</v>
      </c>
      <c r="F107" s="1677"/>
      <c r="G107" s="1677"/>
      <c r="H107" s="1677"/>
      <c r="I107" s="1677"/>
      <c r="J107" s="1677"/>
      <c r="K107" s="1677"/>
      <c r="L107" s="1678"/>
      <c r="M107" s="199"/>
      <c r="N107" s="199"/>
    </row>
    <row r="108" spans="1:16" ht="103.5" customHeight="1">
      <c r="A108" s="2778"/>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934">
        <v>0</v>
      </c>
      <c r="B109" s="2935"/>
      <c r="C109" s="112">
        <v>2014</v>
      </c>
      <c r="D109" s="34"/>
      <c r="E109" s="186"/>
      <c r="F109" s="187"/>
      <c r="G109" s="187"/>
      <c r="H109" s="187"/>
      <c r="I109" s="187"/>
      <c r="J109" s="187"/>
      <c r="K109" s="187"/>
      <c r="L109" s="188"/>
      <c r="M109" s="199"/>
      <c r="N109" s="199"/>
    </row>
    <row r="110" spans="1:16">
      <c r="A110" s="2934"/>
      <c r="B110" s="2935"/>
      <c r="C110" s="116">
        <v>2015</v>
      </c>
      <c r="D110" s="42"/>
      <c r="E110" s="189"/>
      <c r="F110" s="190"/>
      <c r="G110" s="190"/>
      <c r="H110" s="190"/>
      <c r="I110" s="190"/>
      <c r="J110" s="190"/>
      <c r="K110" s="190"/>
      <c r="L110" s="193"/>
      <c r="M110" s="199"/>
      <c r="N110" s="199"/>
    </row>
    <row r="111" spans="1:16">
      <c r="A111" s="2934"/>
      <c r="B111" s="2935"/>
      <c r="C111" s="116">
        <v>2016</v>
      </c>
      <c r="D111" s="42"/>
      <c r="E111" s="189"/>
      <c r="F111" s="190"/>
      <c r="G111" s="190"/>
      <c r="H111" s="190"/>
      <c r="I111" s="190"/>
      <c r="J111" s="190"/>
      <c r="K111" s="190"/>
      <c r="L111" s="193"/>
      <c r="M111" s="199"/>
      <c r="N111" s="199"/>
    </row>
    <row r="112" spans="1:16">
      <c r="A112" s="2934"/>
      <c r="B112" s="2935"/>
      <c r="C112" s="116">
        <v>2017</v>
      </c>
      <c r="D112" s="42"/>
      <c r="E112" s="189"/>
      <c r="F112" s="190"/>
      <c r="G112" s="190"/>
      <c r="H112" s="190"/>
      <c r="I112" s="190"/>
      <c r="J112" s="190"/>
      <c r="K112" s="190"/>
      <c r="L112" s="193"/>
      <c r="M112" s="199"/>
      <c r="N112" s="199"/>
    </row>
    <row r="113" spans="1:14">
      <c r="A113" s="2934"/>
      <c r="B113" s="2935"/>
      <c r="C113" s="116">
        <v>2018</v>
      </c>
      <c r="D113" s="42"/>
      <c r="E113" s="189"/>
      <c r="F113" s="190"/>
      <c r="G113" s="190"/>
      <c r="H113" s="190"/>
      <c r="I113" s="190"/>
      <c r="J113" s="190"/>
      <c r="K113" s="190"/>
      <c r="L113" s="193"/>
      <c r="M113" s="199"/>
      <c r="N113" s="199"/>
    </row>
    <row r="114" spans="1:14">
      <c r="A114" s="2934"/>
      <c r="B114" s="2935"/>
      <c r="C114" s="116">
        <v>2019</v>
      </c>
      <c r="D114" s="42"/>
      <c r="E114" s="189"/>
      <c r="F114" s="190"/>
      <c r="G114" s="190"/>
      <c r="H114" s="190"/>
      <c r="I114" s="190"/>
      <c r="J114" s="190"/>
      <c r="K114" s="190"/>
      <c r="L114" s="193"/>
      <c r="M114" s="199"/>
      <c r="N114" s="199"/>
    </row>
    <row r="115" spans="1:14">
      <c r="A115" s="2934"/>
      <c r="B115" s="2935"/>
      <c r="C115" s="116">
        <v>2020</v>
      </c>
      <c r="D115" s="42"/>
      <c r="E115" s="189"/>
      <c r="F115" s="190"/>
      <c r="G115" s="190"/>
      <c r="H115" s="190"/>
      <c r="I115" s="190"/>
      <c r="J115" s="190"/>
      <c r="K115" s="190"/>
      <c r="L115" s="193"/>
      <c r="M115" s="199"/>
      <c r="N115" s="199"/>
    </row>
    <row r="116" spans="1:14" ht="25.5" customHeight="1" thickBot="1">
      <c r="A116" s="2936"/>
      <c r="B116" s="2937"/>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898" t="s">
        <v>72</v>
      </c>
      <c r="B118" s="2899" t="s">
        <v>61</v>
      </c>
      <c r="C118" s="2901" t="s">
        <v>8</v>
      </c>
      <c r="D118" s="2670" t="s">
        <v>73</v>
      </c>
      <c r="E118" s="1539" t="s">
        <v>71</v>
      </c>
      <c r="F118" s="1677"/>
      <c r="G118" s="1677"/>
      <c r="H118" s="1677"/>
      <c r="I118" s="1677"/>
      <c r="J118" s="1677"/>
      <c r="K118" s="1677"/>
      <c r="L118" s="1678"/>
      <c r="M118" s="199"/>
      <c r="N118" s="199"/>
    </row>
    <row r="119" spans="1:14" ht="120.75" customHeight="1">
      <c r="A119" s="2778"/>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924">
        <v>0</v>
      </c>
      <c r="B120" s="2925"/>
      <c r="C120" s="112">
        <v>2014</v>
      </c>
      <c r="D120" s="34"/>
      <c r="E120" s="186"/>
      <c r="F120" s="187"/>
      <c r="G120" s="187"/>
      <c r="H120" s="187"/>
      <c r="I120" s="187"/>
      <c r="J120" s="187"/>
      <c r="K120" s="187"/>
      <c r="L120" s="188"/>
      <c r="M120" s="199"/>
      <c r="N120" s="199"/>
    </row>
    <row r="121" spans="1:14">
      <c r="A121" s="2924"/>
      <c r="B121" s="2925"/>
      <c r="C121" s="116">
        <v>2015</v>
      </c>
      <c r="D121" s="42"/>
      <c r="E121" s="189"/>
      <c r="F121" s="190"/>
      <c r="G121" s="190"/>
      <c r="H121" s="190"/>
      <c r="I121" s="190"/>
      <c r="J121" s="190"/>
      <c r="K121" s="190"/>
      <c r="L121" s="193"/>
      <c r="M121" s="199"/>
      <c r="N121" s="199"/>
    </row>
    <row r="122" spans="1:14">
      <c r="A122" s="2924"/>
      <c r="B122" s="2925"/>
      <c r="C122" s="116">
        <v>2016</v>
      </c>
      <c r="D122" s="42"/>
      <c r="E122" s="189"/>
      <c r="F122" s="190"/>
      <c r="G122" s="190"/>
      <c r="H122" s="190"/>
      <c r="I122" s="190"/>
      <c r="J122" s="190"/>
      <c r="K122" s="190"/>
      <c r="L122" s="193"/>
      <c r="M122" s="199"/>
      <c r="N122" s="199"/>
    </row>
    <row r="123" spans="1:14">
      <c r="A123" s="2924"/>
      <c r="B123" s="2925"/>
      <c r="C123" s="116">
        <v>2017</v>
      </c>
      <c r="D123" s="42"/>
      <c r="E123" s="189"/>
      <c r="F123" s="190"/>
      <c r="G123" s="190"/>
      <c r="H123" s="190"/>
      <c r="I123" s="190"/>
      <c r="J123" s="190"/>
      <c r="K123" s="190"/>
      <c r="L123" s="193"/>
      <c r="M123" s="199"/>
      <c r="N123" s="199"/>
    </row>
    <row r="124" spans="1:14">
      <c r="A124" s="2924"/>
      <c r="B124" s="2925"/>
      <c r="C124" s="116">
        <v>2018</v>
      </c>
      <c r="D124" s="42"/>
      <c r="E124" s="189"/>
      <c r="F124" s="190"/>
      <c r="G124" s="190"/>
      <c r="H124" s="190"/>
      <c r="I124" s="190"/>
      <c r="J124" s="190"/>
      <c r="K124" s="190"/>
      <c r="L124" s="193"/>
      <c r="M124" s="199"/>
      <c r="N124" s="199"/>
    </row>
    <row r="125" spans="1:14">
      <c r="A125" s="2924"/>
      <c r="B125" s="2925"/>
      <c r="C125" s="116">
        <v>2019</v>
      </c>
      <c r="D125" s="42"/>
      <c r="E125" s="189"/>
      <c r="F125" s="190"/>
      <c r="G125" s="190"/>
      <c r="H125" s="190"/>
      <c r="I125" s="190"/>
      <c r="J125" s="190"/>
      <c r="K125" s="190"/>
      <c r="L125" s="193"/>
      <c r="M125" s="199"/>
      <c r="N125" s="199"/>
    </row>
    <row r="126" spans="1:14">
      <c r="A126" s="2924"/>
      <c r="B126" s="2925"/>
      <c r="C126" s="116">
        <v>2020</v>
      </c>
      <c r="D126" s="42"/>
      <c r="E126" s="189"/>
      <c r="F126" s="190"/>
      <c r="G126" s="190"/>
      <c r="H126" s="190"/>
      <c r="I126" s="190"/>
      <c r="J126" s="190"/>
      <c r="K126" s="190"/>
      <c r="L126" s="193"/>
      <c r="M126" s="199"/>
      <c r="N126" s="199"/>
    </row>
    <row r="127" spans="1:14" ht="15.75" thickBot="1">
      <c r="A127" s="2926"/>
      <c r="B127" s="2927"/>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898" t="s">
        <v>74</v>
      </c>
      <c r="B129" s="2899" t="s">
        <v>61</v>
      </c>
      <c r="C129" s="1679" t="s">
        <v>8</v>
      </c>
      <c r="D129" s="1542" t="s">
        <v>75</v>
      </c>
      <c r="E129" s="1680"/>
      <c r="F129" s="1680"/>
      <c r="G129" s="1543"/>
      <c r="H129" s="199"/>
      <c r="I129" s="199"/>
      <c r="J129" s="199"/>
      <c r="K129" s="199"/>
      <c r="L129" s="199"/>
      <c r="M129" s="199"/>
      <c r="N129" s="199"/>
    </row>
    <row r="130" spans="1:16" ht="77.25" customHeight="1">
      <c r="A130" s="2778"/>
      <c r="B130" s="2043"/>
      <c r="C130" s="1655"/>
      <c r="D130" s="178" t="s">
        <v>76</v>
      </c>
      <c r="E130" s="207" t="s">
        <v>77</v>
      </c>
      <c r="F130" s="179" t="s">
        <v>78</v>
      </c>
      <c r="G130" s="208" t="s">
        <v>12</v>
      </c>
      <c r="H130" s="199"/>
      <c r="I130" s="199"/>
      <c r="J130" s="199"/>
      <c r="K130" s="199"/>
      <c r="L130" s="199"/>
      <c r="M130" s="199"/>
      <c r="N130" s="199"/>
    </row>
    <row r="131" spans="1:16" ht="15" customHeight="1">
      <c r="A131" s="2920">
        <v>0</v>
      </c>
      <c r="B131" s="2921"/>
      <c r="C131" s="112">
        <v>2015</v>
      </c>
      <c r="D131" s="33"/>
      <c r="E131" s="34"/>
      <c r="F131" s="34"/>
      <c r="G131" s="209">
        <f t="shared" ref="G131:G136" si="11">SUM(D131:F131)</f>
        <v>0</v>
      </c>
      <c r="H131" s="199"/>
      <c r="I131" s="199"/>
      <c r="J131" s="199"/>
      <c r="K131" s="199"/>
      <c r="L131" s="199"/>
      <c r="M131" s="199"/>
      <c r="N131" s="199"/>
    </row>
    <row r="132" spans="1:16">
      <c r="A132" s="2920"/>
      <c r="B132" s="2921"/>
      <c r="C132" s="116">
        <v>2016</v>
      </c>
      <c r="D132" s="50"/>
      <c r="E132" s="42"/>
      <c r="F132" s="42"/>
      <c r="G132" s="209">
        <f t="shared" si="11"/>
        <v>0</v>
      </c>
      <c r="H132" s="199"/>
      <c r="I132" s="199"/>
      <c r="J132" s="199"/>
      <c r="K132" s="199"/>
      <c r="L132" s="199"/>
      <c r="M132" s="199"/>
      <c r="N132" s="199"/>
    </row>
    <row r="133" spans="1:16">
      <c r="A133" s="2920"/>
      <c r="B133" s="2921"/>
      <c r="C133" s="116">
        <v>2017</v>
      </c>
      <c r="D133" s="50"/>
      <c r="E133" s="42"/>
      <c r="F133" s="42"/>
      <c r="G133" s="209">
        <f t="shared" si="11"/>
        <v>0</v>
      </c>
      <c r="H133" s="199"/>
      <c r="I133" s="199"/>
      <c r="J133" s="199"/>
      <c r="K133" s="199"/>
      <c r="L133" s="199"/>
      <c r="M133" s="199"/>
      <c r="N133" s="199"/>
    </row>
    <row r="134" spans="1:16">
      <c r="A134" s="2920"/>
      <c r="B134" s="2921"/>
      <c r="C134" s="116">
        <v>2018</v>
      </c>
      <c r="D134" s="50"/>
      <c r="E134" s="42"/>
      <c r="F134" s="42"/>
      <c r="G134" s="209">
        <f t="shared" si="11"/>
        <v>0</v>
      </c>
      <c r="H134" s="199"/>
      <c r="I134" s="199"/>
      <c r="J134" s="199"/>
      <c r="K134" s="199"/>
      <c r="L134" s="199"/>
      <c r="M134" s="199"/>
      <c r="N134" s="199"/>
    </row>
    <row r="135" spans="1:16">
      <c r="A135" s="2920"/>
      <c r="B135" s="2921"/>
      <c r="C135" s="116">
        <v>2019</v>
      </c>
      <c r="D135" s="50"/>
      <c r="E135" s="42"/>
      <c r="F135" s="42"/>
      <c r="G135" s="209">
        <f t="shared" si="11"/>
        <v>0</v>
      </c>
      <c r="H135" s="199"/>
      <c r="I135" s="199"/>
      <c r="J135" s="199"/>
      <c r="K135" s="199"/>
      <c r="L135" s="199"/>
      <c r="M135" s="199"/>
      <c r="N135" s="199"/>
    </row>
    <row r="136" spans="1:16">
      <c r="A136" s="2920"/>
      <c r="B136" s="2921"/>
      <c r="C136" s="116">
        <v>2020</v>
      </c>
      <c r="D136" s="50"/>
      <c r="E136" s="42"/>
      <c r="F136" s="42"/>
      <c r="G136" s="209">
        <f t="shared" si="11"/>
        <v>0</v>
      </c>
      <c r="H136" s="199"/>
      <c r="I136" s="199"/>
      <c r="J136" s="199"/>
      <c r="K136" s="199"/>
      <c r="L136" s="199"/>
      <c r="M136" s="199"/>
      <c r="N136" s="199"/>
    </row>
    <row r="137" spans="1:16" ht="17.25" customHeight="1" thickBot="1">
      <c r="A137" s="2922"/>
      <c r="B137" s="2923"/>
      <c r="C137" s="122" t="s">
        <v>12</v>
      </c>
      <c r="D137" s="151">
        <f>SUM(D131:D136)</f>
        <v>0</v>
      </c>
      <c r="E137" s="151">
        <f t="shared" ref="E137:F137" si="12">SUM(E131:E136)</f>
        <v>0</v>
      </c>
      <c r="F137" s="151">
        <f t="shared" si="12"/>
        <v>0</v>
      </c>
      <c r="G137" s="210">
        <f>SUM(G131:G136)</f>
        <v>0</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900" t="s">
        <v>80</v>
      </c>
      <c r="B142" s="2895" t="s">
        <v>61</v>
      </c>
      <c r="C142" s="2897" t="s">
        <v>8</v>
      </c>
      <c r="D142" s="1681" t="s">
        <v>81</v>
      </c>
      <c r="E142" s="1682"/>
      <c r="F142" s="1682"/>
      <c r="G142" s="1682"/>
      <c r="H142" s="1682"/>
      <c r="I142" s="1683"/>
      <c r="J142" s="2891" t="s">
        <v>82</v>
      </c>
      <c r="K142" s="2892"/>
      <c r="L142" s="2892"/>
      <c r="M142" s="2892"/>
      <c r="N142" s="2893"/>
      <c r="O142" s="177"/>
      <c r="P142" s="177"/>
    </row>
    <row r="143" spans="1:16" ht="113.25" customHeight="1">
      <c r="A143" s="2782"/>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924">
        <v>0</v>
      </c>
      <c r="B144" s="2925"/>
      <c r="C144" s="112">
        <v>2014</v>
      </c>
      <c r="D144" s="33"/>
      <c r="E144" s="33"/>
      <c r="F144" s="34"/>
      <c r="G144" s="187"/>
      <c r="H144" s="187"/>
      <c r="I144" s="227">
        <f>D144+F144+G144+H144</f>
        <v>0</v>
      </c>
      <c r="J144" s="228"/>
      <c r="K144" s="229"/>
      <c r="L144" s="228"/>
      <c r="M144" s="229"/>
      <c r="N144" s="230"/>
      <c r="O144" s="177"/>
      <c r="P144" s="177"/>
    </row>
    <row r="145" spans="1:16" ht="19.5" customHeight="1">
      <c r="A145" s="2924"/>
      <c r="B145" s="29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924"/>
      <c r="B146" s="2925"/>
      <c r="C146" s="116">
        <v>2016</v>
      </c>
      <c r="D146" s="50"/>
      <c r="E146" s="50"/>
      <c r="F146" s="42"/>
      <c r="G146" s="190"/>
      <c r="H146" s="190"/>
      <c r="I146" s="227">
        <f t="shared" si="13"/>
        <v>0</v>
      </c>
      <c r="J146" s="231"/>
      <c r="K146" s="232"/>
      <c r="L146" s="231"/>
      <c r="M146" s="232"/>
      <c r="N146" s="233"/>
      <c r="O146" s="177"/>
      <c r="P146" s="177"/>
    </row>
    <row r="147" spans="1:16" ht="17.25" customHeight="1">
      <c r="A147" s="2924"/>
      <c r="B147" s="2925"/>
      <c r="C147" s="116">
        <v>2017</v>
      </c>
      <c r="D147" s="50"/>
      <c r="E147" s="50"/>
      <c r="F147" s="42"/>
      <c r="G147" s="190"/>
      <c r="H147" s="190"/>
      <c r="I147" s="227">
        <f t="shared" si="13"/>
        <v>0</v>
      </c>
      <c r="J147" s="231"/>
      <c r="K147" s="232"/>
      <c r="L147" s="231"/>
      <c r="M147" s="232"/>
      <c r="N147" s="233"/>
      <c r="O147" s="177"/>
      <c r="P147" s="177"/>
    </row>
    <row r="148" spans="1:16" ht="19.5" customHeight="1">
      <c r="A148" s="2924"/>
      <c r="B148" s="2925"/>
      <c r="C148" s="116">
        <v>2018</v>
      </c>
      <c r="D148" s="50"/>
      <c r="E148" s="50"/>
      <c r="F148" s="42"/>
      <c r="G148" s="190"/>
      <c r="H148" s="190"/>
      <c r="I148" s="227">
        <f t="shared" si="13"/>
        <v>0</v>
      </c>
      <c r="J148" s="231"/>
      <c r="K148" s="232"/>
      <c r="L148" s="231"/>
      <c r="M148" s="232"/>
      <c r="N148" s="233"/>
      <c r="O148" s="177"/>
      <c r="P148" s="177"/>
    </row>
    <row r="149" spans="1:16" ht="19.5" customHeight="1">
      <c r="A149" s="2924"/>
      <c r="B149" s="2925"/>
      <c r="C149" s="116">
        <v>2019</v>
      </c>
      <c r="D149" s="50"/>
      <c r="E149" s="50"/>
      <c r="F149" s="42"/>
      <c r="G149" s="190"/>
      <c r="H149" s="190"/>
      <c r="I149" s="227">
        <f t="shared" si="13"/>
        <v>0</v>
      </c>
      <c r="J149" s="231"/>
      <c r="K149" s="232"/>
      <c r="L149" s="231"/>
      <c r="M149" s="232"/>
      <c r="N149" s="233"/>
      <c r="O149" s="177"/>
      <c r="P149" s="177"/>
    </row>
    <row r="150" spans="1:16" ht="18.75" customHeight="1">
      <c r="A150" s="2924"/>
      <c r="B150" s="2925"/>
      <c r="C150" s="116">
        <v>2020</v>
      </c>
      <c r="D150" s="50"/>
      <c r="E150" s="50"/>
      <c r="F150" s="42"/>
      <c r="G150" s="190"/>
      <c r="H150" s="190"/>
      <c r="I150" s="227">
        <f t="shared" si="13"/>
        <v>0</v>
      </c>
      <c r="J150" s="231"/>
      <c r="K150" s="232"/>
      <c r="L150" s="231"/>
      <c r="M150" s="232"/>
      <c r="N150" s="233"/>
      <c r="O150" s="177"/>
      <c r="P150" s="177"/>
    </row>
    <row r="151" spans="1:16" ht="18" customHeight="1" thickBot="1">
      <c r="A151" s="2926"/>
      <c r="B151" s="29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894" t="s">
        <v>93</v>
      </c>
      <c r="B153" s="2895" t="s">
        <v>61</v>
      </c>
      <c r="C153" s="2896" t="s">
        <v>8</v>
      </c>
      <c r="D153" s="1684" t="s">
        <v>94</v>
      </c>
      <c r="E153" s="1684"/>
      <c r="F153" s="1685"/>
      <c r="G153" s="1685"/>
      <c r="H153" s="1684" t="s">
        <v>95</v>
      </c>
      <c r="I153" s="1684"/>
      <c r="J153" s="1686"/>
      <c r="K153" s="31"/>
      <c r="L153" s="31"/>
      <c r="M153" s="31"/>
      <c r="N153" s="31"/>
      <c r="O153" s="177"/>
      <c r="P153" s="177"/>
    </row>
    <row r="154" spans="1:16" ht="49.5" customHeight="1">
      <c r="A154" s="2556"/>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924">
        <v>0</v>
      </c>
      <c r="B155" s="2925"/>
      <c r="C155" s="247">
        <v>2014</v>
      </c>
      <c r="D155" s="228"/>
      <c r="E155" s="187"/>
      <c r="F155" s="229"/>
      <c r="G155" s="227">
        <f>SUM(D155:F155)</f>
        <v>0</v>
      </c>
      <c r="H155" s="228"/>
      <c r="I155" s="187"/>
      <c r="J155" s="188"/>
      <c r="O155" s="177"/>
      <c r="P155" s="177"/>
    </row>
    <row r="156" spans="1:16" ht="19.5" customHeight="1">
      <c r="A156" s="2924"/>
      <c r="B156" s="2925"/>
      <c r="C156" s="248">
        <v>2015</v>
      </c>
      <c r="D156" s="231"/>
      <c r="E156" s="190"/>
      <c r="F156" s="232"/>
      <c r="G156" s="227">
        <f t="shared" ref="G156:G161" si="15">SUM(D156:F156)</f>
        <v>0</v>
      </c>
      <c r="H156" s="231"/>
      <c r="I156" s="190"/>
      <c r="J156" s="193"/>
      <c r="O156" s="177"/>
      <c r="P156" s="177"/>
    </row>
    <row r="157" spans="1:16" ht="17.25" customHeight="1">
      <c r="A157" s="2924"/>
      <c r="B157" s="2925"/>
      <c r="C157" s="248">
        <v>2016</v>
      </c>
      <c r="D157" s="231"/>
      <c r="E157" s="190"/>
      <c r="F157" s="232"/>
      <c r="G157" s="227">
        <f t="shared" si="15"/>
        <v>0</v>
      </c>
      <c r="H157" s="231"/>
      <c r="I157" s="190"/>
      <c r="J157" s="193"/>
      <c r="O157" s="177"/>
      <c r="P157" s="177"/>
    </row>
    <row r="158" spans="1:16" ht="15" customHeight="1">
      <c r="A158" s="2924"/>
      <c r="B158" s="2925"/>
      <c r="C158" s="248">
        <v>2017</v>
      </c>
      <c r="D158" s="231"/>
      <c r="E158" s="190"/>
      <c r="F158" s="232"/>
      <c r="G158" s="227">
        <f t="shared" si="15"/>
        <v>0</v>
      </c>
      <c r="H158" s="231"/>
      <c r="I158" s="190"/>
      <c r="J158" s="193"/>
      <c r="O158" s="177"/>
      <c r="P158" s="177"/>
    </row>
    <row r="159" spans="1:16" ht="19.5" customHeight="1">
      <c r="A159" s="2924"/>
      <c r="B159" s="2925"/>
      <c r="C159" s="248">
        <v>2018</v>
      </c>
      <c r="D159" s="231"/>
      <c r="E159" s="190"/>
      <c r="F159" s="232"/>
      <c r="G159" s="227">
        <f t="shared" si="15"/>
        <v>0</v>
      </c>
      <c r="H159" s="231"/>
      <c r="I159" s="190"/>
      <c r="J159" s="193"/>
      <c r="O159" s="177"/>
      <c r="P159" s="177"/>
    </row>
    <row r="160" spans="1:16" ht="15" customHeight="1">
      <c r="A160" s="2924"/>
      <c r="B160" s="2925"/>
      <c r="C160" s="248">
        <v>2019</v>
      </c>
      <c r="D160" s="231"/>
      <c r="E160" s="190"/>
      <c r="F160" s="232"/>
      <c r="G160" s="227">
        <f t="shared" si="15"/>
        <v>0</v>
      </c>
      <c r="H160" s="231"/>
      <c r="I160" s="190"/>
      <c r="J160" s="193"/>
      <c r="O160" s="177"/>
      <c r="P160" s="177"/>
    </row>
    <row r="161" spans="1:18" ht="17.25" customHeight="1">
      <c r="A161" s="2924"/>
      <c r="B161" s="2925"/>
      <c r="C161" s="248">
        <v>2020</v>
      </c>
      <c r="D161" s="231"/>
      <c r="E161" s="190"/>
      <c r="F161" s="232"/>
      <c r="G161" s="227">
        <f t="shared" si="15"/>
        <v>0</v>
      </c>
      <c r="H161" s="231"/>
      <c r="I161" s="190"/>
      <c r="J161" s="193"/>
      <c r="O161" s="177"/>
      <c r="P161" s="177"/>
    </row>
    <row r="162" spans="1:18" ht="15.75" thickBot="1">
      <c r="A162" s="2926"/>
      <c r="B162" s="29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1687"/>
      <c r="F163" s="177"/>
      <c r="G163" s="177"/>
      <c r="H163" s="177"/>
      <c r="I163" s="177"/>
      <c r="J163" s="255"/>
      <c r="K163" s="256"/>
    </row>
    <row r="164" spans="1:18" ht="95.25" customHeight="1">
      <c r="A164" s="1549" t="s">
        <v>102</v>
      </c>
      <c r="B164" s="258" t="s">
        <v>103</v>
      </c>
      <c r="C164" s="1447" t="s">
        <v>8</v>
      </c>
      <c r="D164" s="260" t="s">
        <v>104</v>
      </c>
      <c r="E164" s="260" t="s">
        <v>105</v>
      </c>
      <c r="F164" s="1688" t="s">
        <v>106</v>
      </c>
      <c r="G164" s="260" t="s">
        <v>107</v>
      </c>
      <c r="H164" s="260" t="s">
        <v>108</v>
      </c>
      <c r="I164" s="262" t="s">
        <v>109</v>
      </c>
      <c r="J164" s="1550" t="s">
        <v>110</v>
      </c>
      <c r="K164" s="1550" t="s">
        <v>111</v>
      </c>
      <c r="L164" s="1371"/>
    </row>
    <row r="165" spans="1:18" ht="15.75" customHeight="1">
      <c r="A165" s="2928">
        <v>0</v>
      </c>
      <c r="B165" s="2929"/>
      <c r="C165" s="265">
        <v>2014</v>
      </c>
      <c r="D165" s="187"/>
      <c r="E165" s="187"/>
      <c r="F165" s="187"/>
      <c r="G165" s="187"/>
      <c r="H165" s="187"/>
      <c r="I165" s="188"/>
      <c r="J165" s="1569">
        <f>SUM(D165,F165,H165)</f>
        <v>0</v>
      </c>
      <c r="K165" s="267">
        <f>SUM(E165,G165,I165)</f>
        <v>0</v>
      </c>
      <c r="L165" s="1371"/>
    </row>
    <row r="166" spans="1:18">
      <c r="A166" s="2930"/>
      <c r="B166" s="2931"/>
      <c r="C166" s="268">
        <v>2015</v>
      </c>
      <c r="D166" s="269"/>
      <c r="E166" s="269"/>
      <c r="F166" s="269"/>
      <c r="G166" s="269"/>
      <c r="H166" s="269"/>
      <c r="I166" s="270"/>
      <c r="J166" s="1570">
        <f t="shared" ref="J166:K171" si="17">SUM(D166,F166,H166)</f>
        <v>0</v>
      </c>
      <c r="K166" s="272">
        <f t="shared" si="17"/>
        <v>0</v>
      </c>
      <c r="L166" s="1371"/>
    </row>
    <row r="167" spans="1:18">
      <c r="A167" s="2930"/>
      <c r="B167" s="2931"/>
      <c r="C167" s="268">
        <v>2016</v>
      </c>
      <c r="D167" s="269"/>
      <c r="E167" s="269"/>
      <c r="F167" s="269"/>
      <c r="G167" s="269"/>
      <c r="H167" s="269"/>
      <c r="I167" s="270"/>
      <c r="J167" s="1570">
        <f t="shared" si="17"/>
        <v>0</v>
      </c>
      <c r="K167" s="272">
        <f t="shared" si="17"/>
        <v>0</v>
      </c>
    </row>
    <row r="168" spans="1:18">
      <c r="A168" s="2930"/>
      <c r="B168" s="2931"/>
      <c r="C168" s="268">
        <v>2017</v>
      </c>
      <c r="D168" s="269"/>
      <c r="E168" s="177"/>
      <c r="F168" s="269"/>
      <c r="G168" s="269"/>
      <c r="H168" s="269"/>
      <c r="I168" s="270"/>
      <c r="J168" s="1570">
        <f t="shared" si="17"/>
        <v>0</v>
      </c>
      <c r="K168" s="272">
        <f t="shared" si="17"/>
        <v>0</v>
      </c>
    </row>
    <row r="169" spans="1:18">
      <c r="A169" s="2930"/>
      <c r="B169" s="2931"/>
      <c r="C169" s="273">
        <v>2018</v>
      </c>
      <c r="D169" s="269"/>
      <c r="E169" s="269"/>
      <c r="F169" s="269"/>
      <c r="G169" s="274"/>
      <c r="H169" s="269"/>
      <c r="I169" s="270"/>
      <c r="J169" s="1570">
        <f t="shared" si="17"/>
        <v>0</v>
      </c>
      <c r="K169" s="272">
        <f t="shared" si="17"/>
        <v>0</v>
      </c>
      <c r="L169" s="1371"/>
    </row>
    <row r="170" spans="1:18">
      <c r="A170" s="2930"/>
      <c r="B170" s="2931"/>
      <c r="C170" s="268">
        <v>2019</v>
      </c>
      <c r="D170" s="177"/>
      <c r="E170" s="269"/>
      <c r="F170" s="269"/>
      <c r="G170" s="269"/>
      <c r="H170" s="274"/>
      <c r="I170" s="270"/>
      <c r="J170" s="1570">
        <f t="shared" si="17"/>
        <v>0</v>
      </c>
      <c r="K170" s="272">
        <f t="shared" si="17"/>
        <v>0</v>
      </c>
      <c r="L170" s="1371"/>
    </row>
    <row r="171" spans="1:18">
      <c r="A171" s="2930"/>
      <c r="B171" s="2931"/>
      <c r="C171" s="273">
        <v>2020</v>
      </c>
      <c r="D171" s="269"/>
      <c r="E171" s="269"/>
      <c r="F171" s="269"/>
      <c r="G171" s="269"/>
      <c r="H171" s="269"/>
      <c r="I171" s="270"/>
      <c r="J171" s="1570">
        <f t="shared" si="17"/>
        <v>0</v>
      </c>
      <c r="K171" s="272">
        <f t="shared" si="17"/>
        <v>0</v>
      </c>
      <c r="L171" s="1371"/>
    </row>
    <row r="172" spans="1:18" ht="41.25" customHeight="1" thickBot="1">
      <c r="A172" s="2932"/>
      <c r="B172" s="2933"/>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1371"/>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887" t="s">
        <v>113</v>
      </c>
      <c r="B176" s="2885" t="s">
        <v>114</v>
      </c>
      <c r="C176" s="2888" t="s">
        <v>8</v>
      </c>
      <c r="D176" s="1551" t="s">
        <v>115</v>
      </c>
      <c r="E176" s="1689"/>
      <c r="F176" s="1689"/>
      <c r="G176" s="1690"/>
      <c r="H176" s="1553"/>
      <c r="I176" s="2751" t="s">
        <v>116</v>
      </c>
      <c r="J176" s="2889"/>
      <c r="K176" s="2889"/>
      <c r="L176" s="2889"/>
      <c r="M176" s="2889"/>
      <c r="N176" s="2889"/>
      <c r="O176" s="2890"/>
    </row>
    <row r="177" spans="1:15" s="31" customFormat="1" ht="129.75" customHeight="1">
      <c r="A177" s="2793"/>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909">
        <v>6</v>
      </c>
      <c r="B178" s="2917" t="s">
        <v>517</v>
      </c>
      <c r="C178" s="112">
        <v>2014</v>
      </c>
      <c r="D178" s="33"/>
      <c r="E178" s="34"/>
      <c r="F178" s="34"/>
      <c r="G178" s="293">
        <f>SUM(D178:F178)</f>
        <v>0</v>
      </c>
      <c r="H178" s="167"/>
      <c r="I178" s="167"/>
      <c r="J178" s="34"/>
      <c r="K178" s="34"/>
      <c r="L178" s="34"/>
      <c r="M178" s="34"/>
      <c r="N178" s="34"/>
      <c r="O178" s="37"/>
    </row>
    <row r="179" spans="1:15">
      <c r="A179" s="2915"/>
      <c r="B179" s="2918"/>
      <c r="C179" s="116">
        <v>2015</v>
      </c>
      <c r="D179" s="50"/>
      <c r="E179" s="42"/>
      <c r="F179" s="42"/>
      <c r="G179" s="293">
        <f t="shared" ref="G179:G184" si="19">SUM(D179:F179)</f>
        <v>0</v>
      </c>
      <c r="H179" s="294"/>
      <c r="I179" s="118"/>
      <c r="J179" s="42"/>
      <c r="K179" s="42"/>
      <c r="L179" s="42"/>
      <c r="M179" s="42"/>
      <c r="N179" s="42"/>
      <c r="O179" s="99"/>
    </row>
    <row r="180" spans="1:15">
      <c r="A180" s="2915"/>
      <c r="B180" s="2918"/>
      <c r="C180" s="116">
        <v>2016</v>
      </c>
      <c r="D180" s="50">
        <v>5</v>
      </c>
      <c r="E180" s="42"/>
      <c r="F180" s="42">
        <v>1</v>
      </c>
      <c r="G180" s="293">
        <f t="shared" si="19"/>
        <v>6</v>
      </c>
      <c r="H180" s="294">
        <v>7</v>
      </c>
      <c r="I180" s="118">
        <v>6</v>
      </c>
      <c r="J180" s="42"/>
      <c r="K180" s="42"/>
      <c r="L180" s="42"/>
      <c r="M180" s="42"/>
      <c r="N180" s="42"/>
      <c r="O180" s="99"/>
    </row>
    <row r="181" spans="1:15">
      <c r="A181" s="2915"/>
      <c r="B181" s="2918"/>
      <c r="C181" s="116">
        <v>2017</v>
      </c>
      <c r="D181" s="50"/>
      <c r="E181" s="42"/>
      <c r="F181" s="42"/>
      <c r="G181" s="293">
        <f t="shared" si="19"/>
        <v>0</v>
      </c>
      <c r="H181" s="294"/>
      <c r="I181" s="118"/>
      <c r="J181" s="42"/>
      <c r="K181" s="42"/>
      <c r="L181" s="42"/>
      <c r="M181" s="42"/>
      <c r="N181" s="42"/>
      <c r="O181" s="99"/>
    </row>
    <row r="182" spans="1:15">
      <c r="A182" s="2915"/>
      <c r="B182" s="2918"/>
      <c r="C182" s="116">
        <v>2018</v>
      </c>
      <c r="D182" s="50"/>
      <c r="E182" s="42"/>
      <c r="F182" s="42"/>
      <c r="G182" s="293">
        <f t="shared" si="19"/>
        <v>0</v>
      </c>
      <c r="H182" s="294"/>
      <c r="I182" s="118"/>
      <c r="J182" s="42"/>
      <c r="K182" s="42"/>
      <c r="L182" s="42"/>
      <c r="M182" s="42"/>
      <c r="N182" s="42"/>
      <c r="O182" s="99"/>
    </row>
    <row r="183" spans="1:15">
      <c r="A183" s="2915"/>
      <c r="B183" s="2918"/>
      <c r="C183" s="116">
        <v>2019</v>
      </c>
      <c r="D183" s="50"/>
      <c r="E183" s="42"/>
      <c r="F183" s="42"/>
      <c r="G183" s="293">
        <f t="shared" si="19"/>
        <v>0</v>
      </c>
      <c r="H183" s="294"/>
      <c r="I183" s="118"/>
      <c r="J183" s="42"/>
      <c r="K183" s="42"/>
      <c r="L183" s="42"/>
      <c r="M183" s="42"/>
      <c r="N183" s="42"/>
      <c r="O183" s="99"/>
    </row>
    <row r="184" spans="1:15">
      <c r="A184" s="2915"/>
      <c r="B184" s="2918"/>
      <c r="C184" s="116">
        <v>2020</v>
      </c>
      <c r="D184" s="50"/>
      <c r="E184" s="42"/>
      <c r="F184" s="42"/>
      <c r="G184" s="293">
        <f t="shared" si="19"/>
        <v>0</v>
      </c>
      <c r="H184" s="294"/>
      <c r="I184" s="118"/>
      <c r="J184" s="42"/>
      <c r="K184" s="42"/>
      <c r="L184" s="42"/>
      <c r="M184" s="42"/>
      <c r="N184" s="42"/>
      <c r="O184" s="99"/>
    </row>
    <row r="185" spans="1:15" ht="45" customHeight="1" thickBot="1">
      <c r="A185" s="2916"/>
      <c r="B185" s="2919"/>
      <c r="C185" s="122" t="s">
        <v>12</v>
      </c>
      <c r="D185" s="151">
        <f>SUM(D178:D184)</f>
        <v>5</v>
      </c>
      <c r="E185" s="125">
        <f>SUM(E178:E184)</f>
        <v>0</v>
      </c>
      <c r="F185" s="125">
        <f>SUM(F178:F184)</f>
        <v>1</v>
      </c>
      <c r="G185" s="234">
        <f t="shared" ref="G185:O185" si="20">SUM(G178:G184)</f>
        <v>6</v>
      </c>
      <c r="H185" s="295">
        <f t="shared" si="20"/>
        <v>7</v>
      </c>
      <c r="I185" s="124">
        <f t="shared" si="20"/>
        <v>6</v>
      </c>
      <c r="J185" s="125">
        <f t="shared" si="20"/>
        <v>0</v>
      </c>
      <c r="K185" s="125">
        <f t="shared" si="20"/>
        <v>0</v>
      </c>
      <c r="L185" s="125">
        <f t="shared" si="20"/>
        <v>0</v>
      </c>
      <c r="M185" s="125">
        <f t="shared" si="20"/>
        <v>0</v>
      </c>
      <c r="N185" s="125">
        <f t="shared" si="20"/>
        <v>0</v>
      </c>
      <c r="O185" s="126">
        <f t="shared" si="20"/>
        <v>0</v>
      </c>
    </row>
    <row r="186" spans="1:15" ht="33" customHeight="1" thickBot="1"/>
    <row r="187" spans="1:15" ht="19.5" customHeight="1">
      <c r="A187" s="2758" t="s">
        <v>122</v>
      </c>
      <c r="B187" s="2885" t="s">
        <v>114</v>
      </c>
      <c r="C187" s="1998" t="s">
        <v>8</v>
      </c>
      <c r="D187" s="2000" t="s">
        <v>123</v>
      </c>
      <c r="E187" s="2886"/>
      <c r="F187" s="2886"/>
      <c r="G187" s="2759"/>
      <c r="H187" s="2747"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908">
        <v>180</v>
      </c>
      <c r="B189" s="2112" t="s">
        <v>518</v>
      </c>
      <c r="C189" s="392">
        <v>2014</v>
      </c>
      <c r="D189" s="142"/>
      <c r="E189" s="115"/>
      <c r="F189" s="115"/>
      <c r="G189" s="301">
        <f>SUM(D189:F189)</f>
        <v>0</v>
      </c>
      <c r="H189" s="114"/>
      <c r="I189" s="115"/>
      <c r="J189" s="115"/>
      <c r="K189" s="115"/>
      <c r="L189" s="143"/>
    </row>
    <row r="190" spans="1:15">
      <c r="A190" s="2909"/>
      <c r="B190" s="1988"/>
      <c r="C190" s="86">
        <v>2015</v>
      </c>
      <c r="D190" s="50"/>
      <c r="E190" s="42"/>
      <c r="F190" s="42"/>
      <c r="G190" s="301">
        <f t="shared" ref="G190:G195" si="21">SUM(D190:F190)</f>
        <v>0</v>
      </c>
      <c r="H190" s="118"/>
      <c r="I190" s="42"/>
      <c r="J190" s="42"/>
      <c r="K190" s="42"/>
      <c r="L190" s="99"/>
    </row>
    <row r="191" spans="1:15">
      <c r="A191" s="2909"/>
      <c r="B191" s="1988"/>
      <c r="C191" s="86">
        <v>2016</v>
      </c>
      <c r="D191" s="50">
        <v>140</v>
      </c>
      <c r="E191" s="42">
        <v>40</v>
      </c>
      <c r="F191" s="42"/>
      <c r="G191" s="301">
        <f t="shared" si="21"/>
        <v>180</v>
      </c>
      <c r="H191" s="118"/>
      <c r="I191" s="42"/>
      <c r="J191" s="42">
        <v>60</v>
      </c>
      <c r="K191" s="42">
        <v>5</v>
      </c>
      <c r="L191" s="99">
        <v>115</v>
      </c>
    </row>
    <row r="192" spans="1:15">
      <c r="A192" s="2909"/>
      <c r="B192" s="1988"/>
      <c r="C192" s="86">
        <v>2017</v>
      </c>
      <c r="D192" s="50"/>
      <c r="E192" s="42"/>
      <c r="F192" s="42"/>
      <c r="G192" s="301">
        <f t="shared" si="21"/>
        <v>0</v>
      </c>
      <c r="H192" s="118"/>
      <c r="I192" s="42"/>
      <c r="J192" s="42"/>
      <c r="K192" s="42"/>
      <c r="L192" s="99"/>
    </row>
    <row r="193" spans="1:14">
      <c r="A193" s="2909"/>
      <c r="B193" s="1988"/>
      <c r="C193" s="86">
        <v>2018</v>
      </c>
      <c r="D193" s="50"/>
      <c r="E193" s="42"/>
      <c r="F193" s="42"/>
      <c r="G193" s="301">
        <f t="shared" si="21"/>
        <v>0</v>
      </c>
      <c r="H193" s="118"/>
      <c r="I193" s="42"/>
      <c r="J193" s="42"/>
      <c r="K193" s="42"/>
      <c r="L193" s="99"/>
    </row>
    <row r="194" spans="1:14">
      <c r="A194" s="2909"/>
      <c r="B194" s="1988"/>
      <c r="C194" s="86">
        <v>2019</v>
      </c>
      <c r="D194" s="50"/>
      <c r="E194" s="42"/>
      <c r="F194" s="42"/>
      <c r="G194" s="301">
        <f t="shared" si="21"/>
        <v>0</v>
      </c>
      <c r="H194" s="118"/>
      <c r="I194" s="42"/>
      <c r="J194" s="42"/>
      <c r="K194" s="42"/>
      <c r="L194" s="99"/>
    </row>
    <row r="195" spans="1:14">
      <c r="A195" s="2909"/>
      <c r="B195" s="1988"/>
      <c r="C195" s="86">
        <v>2020</v>
      </c>
      <c r="D195" s="50"/>
      <c r="E195" s="42"/>
      <c r="F195" s="42"/>
      <c r="G195" s="301">
        <f t="shared" si="21"/>
        <v>0</v>
      </c>
      <c r="H195" s="118"/>
      <c r="I195" s="42"/>
      <c r="J195" s="42"/>
      <c r="K195" s="42"/>
      <c r="L195" s="99"/>
    </row>
    <row r="196" spans="1:14" ht="15.75" thickBot="1">
      <c r="A196" s="2910"/>
      <c r="B196" s="1990"/>
      <c r="C196" s="148" t="s">
        <v>12</v>
      </c>
      <c r="D196" s="151">
        <f t="shared" ref="D196:L196" si="22">SUM(D189:D195)</f>
        <v>140</v>
      </c>
      <c r="E196" s="125">
        <f t="shared" si="22"/>
        <v>40</v>
      </c>
      <c r="F196" s="125">
        <f t="shared" si="22"/>
        <v>0</v>
      </c>
      <c r="G196" s="304">
        <f t="shared" si="22"/>
        <v>180</v>
      </c>
      <c r="H196" s="124">
        <f t="shared" si="22"/>
        <v>0</v>
      </c>
      <c r="I196" s="125">
        <f t="shared" si="22"/>
        <v>0</v>
      </c>
      <c r="J196" s="125">
        <f t="shared" si="22"/>
        <v>60</v>
      </c>
      <c r="K196" s="125">
        <f t="shared" si="22"/>
        <v>5</v>
      </c>
      <c r="L196" s="126">
        <f t="shared" si="22"/>
        <v>115</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1691" t="s">
        <v>135</v>
      </c>
      <c r="B201" s="309" t="s">
        <v>114</v>
      </c>
      <c r="C201" s="310" t="s">
        <v>8</v>
      </c>
      <c r="D201" s="1555" t="s">
        <v>136</v>
      </c>
      <c r="E201" s="312" t="s">
        <v>137</v>
      </c>
      <c r="F201" s="312" t="s">
        <v>138</v>
      </c>
      <c r="G201" s="310" t="s">
        <v>139</v>
      </c>
      <c r="H201" s="1692" t="s">
        <v>140</v>
      </c>
      <c r="I201" s="1556" t="s">
        <v>141</v>
      </c>
      <c r="J201" s="1557" t="s">
        <v>142</v>
      </c>
      <c r="K201" s="312" t="s">
        <v>143</v>
      </c>
      <c r="L201" s="316" t="s">
        <v>144</v>
      </c>
    </row>
    <row r="202" spans="1:14" ht="15" customHeight="1">
      <c r="A202" s="2911">
        <v>0</v>
      </c>
      <c r="B202" s="2912"/>
      <c r="C202" s="84">
        <v>2014</v>
      </c>
      <c r="D202" s="33"/>
      <c r="E202" s="34"/>
      <c r="F202" s="34"/>
      <c r="G202" s="32"/>
      <c r="H202" s="317"/>
      <c r="I202" s="318"/>
      <c r="J202" s="319"/>
      <c r="K202" s="34"/>
      <c r="L202" s="37"/>
    </row>
    <row r="203" spans="1:14">
      <c r="A203" s="2911"/>
      <c r="B203" s="2912"/>
      <c r="C203" s="86">
        <v>2015</v>
      </c>
      <c r="D203" s="50"/>
      <c r="E203" s="42"/>
      <c r="F203" s="42"/>
      <c r="G203" s="39"/>
      <c r="H203" s="320"/>
      <c r="I203" s="321"/>
      <c r="J203" s="322"/>
      <c r="K203" s="42"/>
      <c r="L203" s="99"/>
    </row>
    <row r="204" spans="1:14">
      <c r="A204" s="2911"/>
      <c r="B204" s="2912"/>
      <c r="C204" s="86">
        <v>2016</v>
      </c>
      <c r="D204" s="50"/>
      <c r="E204" s="42"/>
      <c r="F204" s="42"/>
      <c r="G204" s="39"/>
      <c r="H204" s="320"/>
      <c r="I204" s="321"/>
      <c r="J204" s="322"/>
      <c r="K204" s="42"/>
      <c r="L204" s="99"/>
    </row>
    <row r="205" spans="1:14">
      <c r="A205" s="2911"/>
      <c r="B205" s="2912"/>
      <c r="C205" s="86">
        <v>2017</v>
      </c>
      <c r="D205" s="50"/>
      <c r="E205" s="42"/>
      <c r="F205" s="42"/>
      <c r="G205" s="39"/>
      <c r="H205" s="320"/>
      <c r="I205" s="321"/>
      <c r="J205" s="322"/>
      <c r="K205" s="42"/>
      <c r="L205" s="99"/>
    </row>
    <row r="206" spans="1:14">
      <c r="A206" s="2911"/>
      <c r="B206" s="2912"/>
      <c r="C206" s="86">
        <v>2018</v>
      </c>
      <c r="D206" s="50"/>
      <c r="E206" s="42"/>
      <c r="F206" s="42"/>
      <c r="G206" s="39"/>
      <c r="H206" s="320"/>
      <c r="I206" s="321"/>
      <c r="J206" s="322"/>
      <c r="K206" s="42"/>
      <c r="L206" s="99"/>
    </row>
    <row r="207" spans="1:14">
      <c r="A207" s="2911"/>
      <c r="B207" s="2912"/>
      <c r="C207" s="86">
        <v>2019</v>
      </c>
      <c r="D207" s="50"/>
      <c r="E207" s="42"/>
      <c r="F207" s="42"/>
      <c r="G207" s="39"/>
      <c r="H207" s="320"/>
      <c r="I207" s="321"/>
      <c r="J207" s="322"/>
      <c r="K207" s="42"/>
      <c r="L207" s="99"/>
    </row>
    <row r="208" spans="1:14">
      <c r="A208" s="2911"/>
      <c r="B208" s="2912"/>
      <c r="C208" s="86">
        <v>2020</v>
      </c>
      <c r="D208" s="1657"/>
      <c r="E208" s="324"/>
      <c r="F208" s="324"/>
      <c r="G208" s="325"/>
      <c r="H208" s="326"/>
      <c r="I208" s="327"/>
      <c r="J208" s="328"/>
      <c r="K208" s="324"/>
      <c r="L208" s="329"/>
    </row>
    <row r="209" spans="1:12" ht="20.25" customHeight="1" thickBot="1">
      <c r="A209" s="2913"/>
      <c r="B209" s="2914"/>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1693" t="s">
        <v>145</v>
      </c>
      <c r="B212" s="331" t="s">
        <v>146</v>
      </c>
      <c r="C212" s="332">
        <v>2014</v>
      </c>
      <c r="D212" s="333">
        <v>2015</v>
      </c>
      <c r="E212" s="333">
        <v>2016</v>
      </c>
      <c r="F212" s="333">
        <v>2017</v>
      </c>
      <c r="G212" s="333">
        <v>2018</v>
      </c>
      <c r="H212" s="333">
        <v>2019</v>
      </c>
      <c r="I212" s="334">
        <v>2020</v>
      </c>
    </row>
    <row r="213" spans="1:12" ht="15" customHeight="1">
      <c r="A213" t="s">
        <v>147</v>
      </c>
      <c r="B213" s="2196" t="s">
        <v>519</v>
      </c>
      <c r="C213" s="84"/>
      <c r="D213" s="147">
        <v>7724.25</v>
      </c>
      <c r="E213" s="147">
        <f>E214+E217</f>
        <v>267516.40999999997</v>
      </c>
      <c r="F213" s="147"/>
      <c r="G213" s="147"/>
      <c r="H213" s="147"/>
      <c r="I213" s="335"/>
    </row>
    <row r="214" spans="1:12">
      <c r="A214" t="s">
        <v>149</v>
      </c>
      <c r="B214" s="2168"/>
      <c r="C214" s="84"/>
      <c r="D214" s="147">
        <v>7724.25</v>
      </c>
      <c r="E214" s="147">
        <v>182485.99</v>
      </c>
      <c r="F214" s="147"/>
      <c r="G214" s="147"/>
      <c r="H214" s="147"/>
      <c r="I214" s="335"/>
    </row>
    <row r="215" spans="1:12">
      <c r="A215" t="s">
        <v>150</v>
      </c>
      <c r="B215" s="2168"/>
      <c r="C215" s="84"/>
      <c r="D215" s="147"/>
      <c r="E215" s="147">
        <v>0</v>
      </c>
      <c r="F215" s="147"/>
      <c r="G215" s="147"/>
      <c r="H215" s="147"/>
      <c r="I215" s="335"/>
    </row>
    <row r="216" spans="1:12">
      <c r="A216" t="s">
        <v>151</v>
      </c>
      <c r="B216" s="2168"/>
      <c r="C216" s="84"/>
      <c r="D216" s="147"/>
      <c r="E216" s="147">
        <v>0</v>
      </c>
      <c r="F216" s="147"/>
      <c r="G216" s="147"/>
      <c r="H216" s="147"/>
      <c r="I216" s="335"/>
    </row>
    <row r="217" spans="1:12">
      <c r="A217" t="s">
        <v>152</v>
      </c>
      <c r="B217" s="2168"/>
      <c r="C217" s="84"/>
      <c r="D217" s="147"/>
      <c r="E217" s="147">
        <v>85030.42</v>
      </c>
      <c r="F217" s="147"/>
      <c r="G217" s="147"/>
      <c r="H217" s="147"/>
      <c r="I217" s="335"/>
    </row>
    <row r="218" spans="1:12" ht="30">
      <c r="A218" s="31" t="s">
        <v>153</v>
      </c>
      <c r="B218" s="2168"/>
      <c r="C218" s="84"/>
      <c r="D218" s="147">
        <v>98562.86</v>
      </c>
      <c r="E218" s="147">
        <v>106741.33</v>
      </c>
      <c r="F218" s="147"/>
      <c r="G218" s="147"/>
      <c r="H218" s="147"/>
      <c r="I218" s="335"/>
    </row>
    <row r="219" spans="1:12" ht="15.75" thickBot="1">
      <c r="A219" s="1656"/>
      <c r="B219" s="2169"/>
      <c r="C219" s="54" t="s">
        <v>12</v>
      </c>
      <c r="D219" s="337">
        <f>SUM(D214:D218)</f>
        <v>106287.11</v>
      </c>
      <c r="E219" s="337">
        <f t="shared" ref="E219:I219" si="24">SUM(E214:E218)</f>
        <v>374257.74</v>
      </c>
      <c r="F219" s="337">
        <f t="shared" si="24"/>
        <v>0</v>
      </c>
      <c r="G219" s="337">
        <f t="shared" si="24"/>
        <v>0</v>
      </c>
      <c r="H219" s="337">
        <f t="shared" si="24"/>
        <v>0</v>
      </c>
      <c r="I219" s="337">
        <f t="shared" si="24"/>
        <v>0</v>
      </c>
    </row>
    <row r="227" spans="1:1">
      <c r="A227" s="31"/>
    </row>
  </sheetData>
  <mergeCells count="63">
    <mergeCell ref="D26:G26"/>
    <mergeCell ref="B1:J1"/>
    <mergeCell ref="F3:O3"/>
    <mergeCell ref="A4:O10"/>
    <mergeCell ref="D15:G15"/>
    <mergeCell ref="A17:B24"/>
    <mergeCell ref="A28:A35"/>
    <mergeCell ref="B28:B35"/>
    <mergeCell ref="A40:A47"/>
    <mergeCell ref="B40:B47"/>
    <mergeCell ref="A50:A58"/>
    <mergeCell ref="B50:B58"/>
    <mergeCell ref="D118:D119"/>
    <mergeCell ref="A120:B127"/>
    <mergeCell ref="A129:A130"/>
    <mergeCell ref="A60:A61"/>
    <mergeCell ref="C60:C61"/>
    <mergeCell ref="D60:D61"/>
    <mergeCell ref="A62:A69"/>
    <mergeCell ref="B62:B69"/>
    <mergeCell ref="A72:B79"/>
    <mergeCell ref="A85:A92"/>
    <mergeCell ref="B85:B92"/>
    <mergeCell ref="A96:A97"/>
    <mergeCell ref="B96:B97"/>
    <mergeCell ref="A109:B116"/>
    <mergeCell ref="A107:A108"/>
    <mergeCell ref="A118:A119"/>
    <mergeCell ref="B118:B119"/>
    <mergeCell ref="C118:C119"/>
    <mergeCell ref="B107:B108"/>
    <mergeCell ref="C96:C97"/>
    <mergeCell ref="D96:E96"/>
    <mergeCell ref="A98:B105"/>
    <mergeCell ref="C107:C108"/>
    <mergeCell ref="D107:D108"/>
    <mergeCell ref="J142:N142"/>
    <mergeCell ref="A153:A154"/>
    <mergeCell ref="B153:B154"/>
    <mergeCell ref="C153:C154"/>
    <mergeCell ref="A144:B151"/>
    <mergeCell ref="B142:B143"/>
    <mergeCell ref="C142:C143"/>
    <mergeCell ref="B129:B130"/>
    <mergeCell ref="A131:B137"/>
    <mergeCell ref="A142:A143"/>
    <mergeCell ref="A155:B162"/>
    <mergeCell ref="A165:B172"/>
    <mergeCell ref="A189:A196"/>
    <mergeCell ref="B189:B196"/>
    <mergeCell ref="A202:B209"/>
    <mergeCell ref="B213:B219"/>
    <mergeCell ref="I176:O176"/>
    <mergeCell ref="A178:A185"/>
    <mergeCell ref="B178:B185"/>
    <mergeCell ref="A187:A188"/>
    <mergeCell ref="B187:B188"/>
    <mergeCell ref="C187:C188"/>
    <mergeCell ref="D187:G187"/>
    <mergeCell ref="H187:L187"/>
    <mergeCell ref="A176:A177"/>
    <mergeCell ref="B176:B177"/>
    <mergeCell ref="C176:C177"/>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5"/>
  <dimension ref="A1:Y227"/>
  <sheetViews>
    <sheetView topLeftCell="A205" workbookViewId="0">
      <selection activeCell="E219" sqref="E219"/>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16" width="17.42578125" customWidth="1"/>
    <col min="17" max="17" width="16.7109375" customWidth="1"/>
    <col min="18" max="25" width="13.7109375" customWidth="1"/>
  </cols>
  <sheetData>
    <row r="1" spans="1:25" s="2" customFormat="1" ht="31.5">
      <c r="A1" s="1" t="s">
        <v>0</v>
      </c>
      <c r="B1" s="2076" t="s">
        <v>520</v>
      </c>
      <c r="C1" s="2076"/>
      <c r="D1" s="2076"/>
      <c r="E1" s="2076"/>
      <c r="F1" s="2076"/>
    </row>
    <row r="2" spans="1:25" s="2" customFormat="1" ht="20.100000000000001" customHeight="1" thickBot="1"/>
    <row r="3" spans="1:25" s="5" customFormat="1" ht="20.100000000000001" customHeight="1">
      <c r="A3" s="1571" t="s">
        <v>1</v>
      </c>
      <c r="B3" s="1572"/>
      <c r="C3" s="1572"/>
      <c r="D3" s="1572"/>
      <c r="E3" s="1572"/>
      <c r="F3" s="2768"/>
      <c r="G3" s="2768"/>
      <c r="H3" s="2768"/>
      <c r="I3" s="2768"/>
      <c r="J3" s="2768"/>
      <c r="K3" s="2768"/>
      <c r="L3" s="2768"/>
      <c r="M3" s="2768"/>
      <c r="N3" s="2768"/>
      <c r="O3" s="2769"/>
    </row>
    <row r="4" spans="1:25" s="5" customFormat="1" ht="20.100000000000001" customHeight="1">
      <c r="A4" s="2851" t="s">
        <v>2</v>
      </c>
      <c r="B4" s="2081"/>
      <c r="C4" s="2081"/>
      <c r="D4" s="2081"/>
      <c r="E4" s="2081"/>
      <c r="F4" s="2081"/>
      <c r="G4" s="2081"/>
      <c r="H4" s="2081"/>
      <c r="I4" s="2081"/>
      <c r="J4" s="2081"/>
      <c r="K4" s="2081"/>
      <c r="L4" s="2081"/>
      <c r="M4" s="2081"/>
      <c r="N4" s="2081"/>
      <c r="O4" s="2082"/>
    </row>
    <row r="5" spans="1:25" s="5" customFormat="1" ht="20.100000000000001" customHeight="1">
      <c r="A5" s="2851"/>
      <c r="B5" s="2081"/>
      <c r="C5" s="2081"/>
      <c r="D5" s="2081"/>
      <c r="E5" s="2081"/>
      <c r="F5" s="2081"/>
      <c r="G5" s="2081"/>
      <c r="H5" s="2081"/>
      <c r="I5" s="2081"/>
      <c r="J5" s="2081"/>
      <c r="K5" s="2081"/>
      <c r="L5" s="2081"/>
      <c r="M5" s="2081"/>
      <c r="N5" s="2081"/>
      <c r="O5" s="2082"/>
    </row>
    <row r="6" spans="1:25" s="5" customFormat="1" ht="20.100000000000001" customHeight="1">
      <c r="A6" s="2851"/>
      <c r="B6" s="2081"/>
      <c r="C6" s="2081"/>
      <c r="D6" s="2081"/>
      <c r="E6" s="2081"/>
      <c r="F6" s="2081"/>
      <c r="G6" s="2081"/>
      <c r="H6" s="2081"/>
      <c r="I6" s="2081"/>
      <c r="J6" s="2081"/>
      <c r="K6" s="2081"/>
      <c r="L6" s="2081"/>
      <c r="M6" s="2081"/>
      <c r="N6" s="2081"/>
      <c r="O6" s="2082"/>
    </row>
    <row r="7" spans="1:25" s="5" customFormat="1" ht="20.100000000000001" customHeight="1">
      <c r="A7" s="2851"/>
      <c r="B7" s="2081"/>
      <c r="C7" s="2081"/>
      <c r="D7" s="2081"/>
      <c r="E7" s="2081"/>
      <c r="F7" s="2081"/>
      <c r="G7" s="2081"/>
      <c r="H7" s="2081"/>
      <c r="I7" s="2081"/>
      <c r="J7" s="2081"/>
      <c r="K7" s="2081"/>
      <c r="L7" s="2081"/>
      <c r="M7" s="2081"/>
      <c r="N7" s="2081"/>
      <c r="O7" s="2082"/>
    </row>
    <row r="8" spans="1:25" s="5" customFormat="1" ht="20.100000000000001" customHeight="1">
      <c r="A8" s="2851"/>
      <c r="B8" s="2081"/>
      <c r="C8" s="2081"/>
      <c r="D8" s="2081"/>
      <c r="E8" s="2081"/>
      <c r="F8" s="2081"/>
      <c r="G8" s="2081"/>
      <c r="H8" s="2081"/>
      <c r="I8" s="2081"/>
      <c r="J8" s="2081"/>
      <c r="K8" s="2081"/>
      <c r="L8" s="2081"/>
      <c r="M8" s="2081"/>
      <c r="N8" s="2081"/>
      <c r="O8" s="2082"/>
    </row>
    <row r="9" spans="1:25" s="5" customFormat="1" ht="20.100000000000001" customHeight="1">
      <c r="A9" s="2851"/>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1666"/>
      <c r="B15" s="1667"/>
      <c r="C15" s="11"/>
      <c r="D15" s="2718" t="s">
        <v>4</v>
      </c>
      <c r="E15" s="2902"/>
      <c r="F15" s="2902"/>
      <c r="G15" s="2981"/>
      <c r="H15" s="1520"/>
      <c r="I15" s="13" t="s">
        <v>5</v>
      </c>
      <c r="J15" s="14"/>
      <c r="K15" s="14"/>
      <c r="L15" s="14"/>
      <c r="M15" s="14"/>
      <c r="N15" s="14"/>
      <c r="O15" s="15"/>
      <c r="P15" s="1694"/>
      <c r="Q15" s="1695"/>
      <c r="R15" s="1696"/>
      <c r="S15" s="1696"/>
      <c r="T15" s="1696"/>
      <c r="U15" s="1696"/>
      <c r="V15" s="1696"/>
      <c r="W15" s="1694"/>
      <c r="X15" s="1694"/>
      <c r="Y15" s="17"/>
    </row>
    <row r="16" spans="1:25" s="31" customFormat="1" ht="129" customHeight="1">
      <c r="A16" s="1697"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2982"/>
      <c r="Q16" s="2980"/>
      <c r="R16" s="2980"/>
      <c r="S16" s="2980"/>
      <c r="T16" s="2980"/>
      <c r="U16" s="2980"/>
      <c r="V16" s="2980"/>
      <c r="W16" s="2980"/>
      <c r="X16" s="2980"/>
      <c r="Y16" s="30"/>
    </row>
    <row r="17" spans="1:25" ht="15" customHeight="1">
      <c r="A17" s="2550"/>
      <c r="B17" s="2967"/>
      <c r="C17" s="32">
        <v>2014</v>
      </c>
      <c r="D17" s="33"/>
      <c r="E17" s="34"/>
      <c r="F17" s="34"/>
      <c r="G17" s="35">
        <f t="shared" ref="G17:G23" si="0">SUM(D17:F17)</f>
        <v>0</v>
      </c>
      <c r="H17" s="36"/>
      <c r="I17" s="34"/>
      <c r="J17" s="34"/>
      <c r="K17" s="34"/>
      <c r="L17" s="34"/>
      <c r="M17" s="34"/>
      <c r="N17" s="34"/>
      <c r="O17" s="37"/>
      <c r="P17" s="121"/>
      <c r="Q17" s="121"/>
      <c r="R17" s="1698"/>
      <c r="S17" s="1698"/>
      <c r="T17" s="1698"/>
      <c r="U17" s="1698"/>
      <c r="V17" s="121"/>
      <c r="W17" s="121"/>
      <c r="X17" s="121"/>
      <c r="Y17" s="38"/>
    </row>
    <row r="18" spans="1:25">
      <c r="A18" s="2550"/>
      <c r="B18" s="2967"/>
      <c r="C18" s="39">
        <v>2015</v>
      </c>
      <c r="D18" s="50">
        <v>1</v>
      </c>
      <c r="E18" s="42"/>
      <c r="F18" s="42"/>
      <c r="G18" s="35"/>
      <c r="H18" s="51">
        <v>1</v>
      </c>
      <c r="I18" s="42"/>
      <c r="J18" s="42"/>
      <c r="K18" s="42"/>
      <c r="L18" s="42"/>
      <c r="M18" s="42"/>
      <c r="N18" s="42"/>
      <c r="O18" s="52"/>
      <c r="P18" s="121"/>
      <c r="Q18" s="121"/>
      <c r="R18" s="1699"/>
      <c r="S18" s="1699"/>
      <c r="T18" s="1699"/>
      <c r="U18" s="1699"/>
      <c r="V18" s="1699"/>
      <c r="W18" s="1699"/>
      <c r="X18" s="1699"/>
      <c r="Y18" s="38"/>
    </row>
    <row r="19" spans="1:25">
      <c r="A19" s="2550"/>
      <c r="B19" s="2967"/>
      <c r="C19" s="39">
        <v>2016</v>
      </c>
      <c r="D19" s="50">
        <v>5</v>
      </c>
      <c r="E19" s="42"/>
      <c r="F19" s="42"/>
      <c r="G19" s="35">
        <f t="shared" si="0"/>
        <v>5</v>
      </c>
      <c r="H19" s="51">
        <v>5</v>
      </c>
      <c r="I19" s="42"/>
      <c r="J19" s="42"/>
      <c r="K19" s="42"/>
      <c r="L19" s="42"/>
      <c r="M19" s="42"/>
      <c r="N19" s="42"/>
      <c r="O19" s="52">
        <v>2</v>
      </c>
      <c r="P19" s="2946"/>
      <c r="Q19" s="2947"/>
      <c r="R19" s="1699"/>
      <c r="S19" s="1699"/>
      <c r="T19" s="1699"/>
      <c r="U19" s="1699"/>
      <c r="V19" s="1699"/>
      <c r="W19" s="1699"/>
      <c r="X19" s="1699"/>
      <c r="Y19" s="38"/>
    </row>
    <row r="20" spans="1:25">
      <c r="A20" s="2550"/>
      <c r="B20" s="2967"/>
      <c r="C20" s="39">
        <v>2017</v>
      </c>
      <c r="D20" s="50"/>
      <c r="E20" s="42"/>
      <c r="F20" s="42"/>
      <c r="G20" s="35">
        <f t="shared" si="0"/>
        <v>0</v>
      </c>
      <c r="H20" s="51"/>
      <c r="I20" s="42"/>
      <c r="J20" s="42"/>
      <c r="K20" s="42"/>
      <c r="L20" s="42"/>
      <c r="M20" s="42"/>
      <c r="N20" s="42"/>
      <c r="O20" s="52"/>
      <c r="P20" s="121"/>
      <c r="Q20" s="121"/>
      <c r="R20" s="1699"/>
      <c r="S20" s="1699"/>
      <c r="T20" s="1699"/>
      <c r="U20" s="1699"/>
      <c r="V20" s="1699"/>
      <c r="W20" s="1699"/>
      <c r="X20" s="1699"/>
      <c r="Y20" s="38"/>
    </row>
    <row r="21" spans="1:25">
      <c r="A21" s="2550"/>
      <c r="B21" s="2967"/>
      <c r="C21" s="39">
        <v>2018</v>
      </c>
      <c r="D21" s="50"/>
      <c r="E21" s="42"/>
      <c r="F21" s="42"/>
      <c r="G21" s="35">
        <f t="shared" si="0"/>
        <v>0</v>
      </c>
      <c r="H21" s="51"/>
      <c r="I21" s="42"/>
      <c r="J21" s="42"/>
      <c r="K21" s="42"/>
      <c r="L21" s="42"/>
      <c r="M21" s="42"/>
      <c r="N21" s="42"/>
      <c r="O21" s="52"/>
      <c r="P21" s="121"/>
      <c r="Q21" s="121"/>
      <c r="R21" s="1699"/>
      <c r="S21" s="1699"/>
      <c r="T21" s="1699"/>
      <c r="U21" s="1699"/>
      <c r="V21" s="1699"/>
      <c r="W21" s="1699"/>
      <c r="X21" s="1699"/>
      <c r="Y21" s="38"/>
    </row>
    <row r="22" spans="1:25">
      <c r="A22" s="2550"/>
      <c r="B22" s="2967"/>
      <c r="C22" s="53">
        <v>2019</v>
      </c>
      <c r="D22" s="50"/>
      <c r="E22" s="42"/>
      <c r="F22" s="42"/>
      <c r="G22" s="35">
        <f>SUM(D22:F22)</f>
        <v>0</v>
      </c>
      <c r="H22" s="51"/>
      <c r="I22" s="42"/>
      <c r="J22" s="42"/>
      <c r="K22" s="42"/>
      <c r="L22" s="42"/>
      <c r="M22" s="42"/>
      <c r="N22" s="42"/>
      <c r="O22" s="52"/>
      <c r="P22" s="121"/>
      <c r="Q22" s="121"/>
      <c r="R22" s="1699"/>
      <c r="S22" s="1699"/>
      <c r="T22" s="1699"/>
      <c r="U22" s="1699"/>
      <c r="V22" s="1699"/>
      <c r="W22" s="1699"/>
      <c r="X22" s="1699"/>
      <c r="Y22" s="38"/>
    </row>
    <row r="23" spans="1:25">
      <c r="A23" s="2550"/>
      <c r="B23" s="2967"/>
      <c r="C23" s="39">
        <v>2020</v>
      </c>
      <c r="D23" s="50"/>
      <c r="E23" s="42"/>
      <c r="F23" s="42"/>
      <c r="G23" s="35">
        <f t="shared" si="0"/>
        <v>0</v>
      </c>
      <c r="H23" s="51"/>
      <c r="I23" s="42"/>
      <c r="J23" s="42"/>
      <c r="K23" s="42"/>
      <c r="L23" s="42"/>
      <c r="M23" s="42"/>
      <c r="N23" s="42"/>
      <c r="O23" s="52"/>
      <c r="P23" s="121"/>
      <c r="Q23" s="121"/>
      <c r="R23" s="1700"/>
      <c r="S23" s="1700"/>
      <c r="T23" s="1700"/>
      <c r="U23" s="1700"/>
      <c r="V23" s="1700"/>
      <c r="W23" s="1700"/>
      <c r="X23" s="1700"/>
      <c r="Y23" s="38"/>
    </row>
    <row r="24" spans="1:25" ht="19.5" customHeight="1" thickBot="1">
      <c r="A24" s="2009"/>
      <c r="B24" s="2968"/>
      <c r="C24" s="54" t="s">
        <v>12</v>
      </c>
      <c r="D24" s="55">
        <f>SUM(D17:D23)</f>
        <v>6</v>
      </c>
      <c r="E24" s="56">
        <f>SUM(E17:E23)</f>
        <v>0</v>
      </c>
      <c r="F24" s="56">
        <f>SUM(F17:F23)</f>
        <v>0</v>
      </c>
      <c r="G24" s="57">
        <f>SUM(D24:F24)</f>
        <v>6</v>
      </c>
      <c r="H24" s="58">
        <f>SUM(H17:H23)</f>
        <v>6</v>
      </c>
      <c r="I24" s="59">
        <f>SUM(I17:I23)</f>
        <v>0</v>
      </c>
      <c r="J24" s="59">
        <f t="shared" ref="J24:N24" si="1">SUM(J17:J23)</f>
        <v>0</v>
      </c>
      <c r="K24" s="59">
        <f t="shared" si="1"/>
        <v>0</v>
      </c>
      <c r="L24" s="59">
        <f t="shared" si="1"/>
        <v>0</v>
      </c>
      <c r="M24" s="59">
        <f t="shared" si="1"/>
        <v>0</v>
      </c>
      <c r="N24" s="59">
        <f t="shared" si="1"/>
        <v>0</v>
      </c>
      <c r="O24" s="60">
        <f>SUM(O17:O23)</f>
        <v>2</v>
      </c>
      <c r="P24" s="121"/>
      <c r="Q24" s="121"/>
      <c r="R24" s="1701"/>
      <c r="S24" s="1701"/>
      <c r="T24" s="1701"/>
      <c r="U24" s="1701"/>
      <c r="V24" s="1701"/>
      <c r="W24" s="1701"/>
      <c r="X24" s="1701"/>
      <c r="Y24" s="38"/>
    </row>
    <row r="25" spans="1:25" ht="15.75" thickBot="1">
      <c r="C25" s="62"/>
      <c r="H25" s="8"/>
      <c r="I25" s="8"/>
      <c r="J25" s="8"/>
      <c r="K25" s="8"/>
      <c r="L25" s="8"/>
      <c r="M25" s="8"/>
      <c r="N25" s="8"/>
      <c r="O25" s="8"/>
      <c r="P25" s="121"/>
      <c r="Q25" s="121"/>
      <c r="R25" s="2978"/>
      <c r="S25" s="2978"/>
      <c r="T25" s="2978"/>
      <c r="U25" s="2978"/>
      <c r="V25" s="2978"/>
      <c r="W25" s="2978"/>
      <c r="X25" s="2978"/>
    </row>
    <row r="26" spans="1:25" s="19" customFormat="1" ht="30.75" customHeight="1">
      <c r="A26" s="1666"/>
      <c r="B26" s="1667"/>
      <c r="C26" s="63"/>
      <c r="D26" s="2723" t="s">
        <v>4</v>
      </c>
      <c r="E26" s="2903"/>
      <c r="F26" s="2903"/>
      <c r="G26" s="2904"/>
      <c r="H26" s="16"/>
      <c r="I26" s="17"/>
      <c r="J26" s="18"/>
      <c r="K26" s="18"/>
      <c r="L26" s="18"/>
      <c r="M26" s="18"/>
      <c r="N26" s="18"/>
      <c r="O26" s="16"/>
      <c r="P26" s="1694"/>
      <c r="Q26" s="131"/>
      <c r="R26" s="2979"/>
      <c r="S26" s="2979"/>
      <c r="T26" s="2979"/>
      <c r="U26" s="2979"/>
      <c r="V26" s="2979"/>
      <c r="W26" s="2979"/>
      <c r="X26" s="2979"/>
    </row>
    <row r="27" spans="1:25" s="31" customFormat="1" ht="93" customHeight="1">
      <c r="A27" s="1364" t="s">
        <v>22</v>
      </c>
      <c r="B27" s="21" t="s">
        <v>7</v>
      </c>
      <c r="C27" s="65" t="s">
        <v>8</v>
      </c>
      <c r="D27" s="66" t="s">
        <v>9</v>
      </c>
      <c r="E27" s="24" t="s">
        <v>10</v>
      </c>
      <c r="F27" s="24" t="s">
        <v>11</v>
      </c>
      <c r="G27" s="67" t="s">
        <v>12</v>
      </c>
      <c r="H27" s="30"/>
      <c r="I27" s="30"/>
      <c r="J27" s="30"/>
      <c r="K27" s="30"/>
      <c r="L27" s="30"/>
      <c r="M27" s="30"/>
      <c r="N27" s="30"/>
      <c r="O27" s="30"/>
      <c r="P27" s="353"/>
      <c r="Q27" s="131"/>
      <c r="R27" s="1702"/>
      <c r="S27" s="1702"/>
      <c r="T27" s="1702"/>
      <c r="U27" s="1702"/>
      <c r="V27" s="1702"/>
      <c r="W27" s="1702"/>
      <c r="X27" s="1702"/>
    </row>
    <row r="28" spans="1:25" ht="15" customHeight="1">
      <c r="A28" s="2550" t="s">
        <v>521</v>
      </c>
      <c r="B28" s="2967"/>
      <c r="C28" s="68">
        <v>2014</v>
      </c>
      <c r="D28" s="36"/>
      <c r="E28" s="34"/>
      <c r="F28" s="34"/>
      <c r="G28" s="69">
        <f>SUM(D28:F28)</f>
        <v>0</v>
      </c>
      <c r="H28" s="38"/>
      <c r="I28" s="38"/>
      <c r="J28" s="38"/>
      <c r="K28" s="38"/>
      <c r="L28" s="38"/>
      <c r="M28" s="38"/>
      <c r="N28" s="38"/>
      <c r="O28" s="38"/>
      <c r="P28" s="38"/>
      <c r="Q28" s="8"/>
    </row>
    <row r="29" spans="1:25">
      <c r="A29" s="2550"/>
      <c r="B29" s="2967"/>
      <c r="C29" s="70">
        <v>2015</v>
      </c>
      <c r="D29" s="51">
        <v>137</v>
      </c>
      <c r="E29" s="42"/>
      <c r="F29" s="42"/>
      <c r="G29" s="69">
        <v>137</v>
      </c>
      <c r="H29" s="38"/>
      <c r="I29" s="38"/>
      <c r="J29" s="38"/>
      <c r="K29" s="38"/>
      <c r="L29" s="38"/>
      <c r="M29" s="38"/>
      <c r="N29" s="38"/>
      <c r="O29" s="38"/>
      <c r="P29" s="38"/>
      <c r="Q29" s="8"/>
    </row>
    <row r="30" spans="1:25">
      <c r="A30" s="2550"/>
      <c r="B30" s="2967"/>
      <c r="C30" s="70">
        <v>2016</v>
      </c>
      <c r="D30" s="51">
        <v>257</v>
      </c>
      <c r="E30" s="42"/>
      <c r="F30" s="42"/>
      <c r="G30" s="69">
        <v>257</v>
      </c>
      <c r="H30" s="121"/>
      <c r="I30" s="38"/>
      <c r="J30" s="38"/>
      <c r="K30" s="38"/>
      <c r="L30" s="38"/>
      <c r="M30" s="38"/>
      <c r="N30" s="38"/>
      <c r="O30" s="38"/>
      <c r="P30" s="38"/>
      <c r="Q30" s="8"/>
    </row>
    <row r="31" spans="1:25">
      <c r="A31" s="2550"/>
      <c r="B31" s="2967"/>
      <c r="C31" s="70">
        <v>2017</v>
      </c>
      <c r="D31" s="51"/>
      <c r="E31" s="42"/>
      <c r="F31" s="42"/>
      <c r="G31" s="69">
        <f t="shared" ref="G31:G35" si="2">SUM(D31:F31)</f>
        <v>0</v>
      </c>
      <c r="H31" s="38"/>
      <c r="I31" s="38"/>
      <c r="J31" s="38"/>
      <c r="K31" s="38"/>
      <c r="L31" s="38"/>
      <c r="M31" s="38"/>
      <c r="N31" s="38"/>
      <c r="O31" s="38"/>
      <c r="P31" s="38"/>
      <c r="Q31" s="8"/>
    </row>
    <row r="32" spans="1:25">
      <c r="A32" s="2550"/>
      <c r="B32" s="2967"/>
      <c r="C32" s="70">
        <v>2018</v>
      </c>
      <c r="D32" s="51"/>
      <c r="E32" s="42"/>
      <c r="F32" s="42"/>
      <c r="G32" s="69">
        <f>SUM(D32:F32)</f>
        <v>0</v>
      </c>
      <c r="H32" s="38"/>
      <c r="I32" s="38"/>
      <c r="J32" s="38"/>
      <c r="K32" s="38"/>
      <c r="L32" s="38"/>
      <c r="M32" s="38"/>
      <c r="N32" s="38"/>
      <c r="O32" s="38"/>
      <c r="P32" s="38"/>
      <c r="Q32" s="8"/>
    </row>
    <row r="33" spans="1:17">
      <c r="A33" s="2550"/>
      <c r="B33" s="2967"/>
      <c r="C33" s="72">
        <v>2019</v>
      </c>
      <c r="D33" s="51"/>
      <c r="E33" s="42"/>
      <c r="F33" s="42"/>
      <c r="G33" s="69">
        <f t="shared" si="2"/>
        <v>0</v>
      </c>
      <c r="H33" s="38"/>
      <c r="I33" s="38"/>
      <c r="J33" s="38"/>
      <c r="K33" s="38"/>
      <c r="L33" s="38"/>
      <c r="M33" s="38"/>
      <c r="N33" s="38"/>
      <c r="O33" s="38"/>
      <c r="P33" s="38"/>
      <c r="Q33" s="8"/>
    </row>
    <row r="34" spans="1:17">
      <c r="A34" s="2550"/>
      <c r="B34" s="2967"/>
      <c r="C34" s="70">
        <v>2020</v>
      </c>
      <c r="D34" s="51"/>
      <c r="E34" s="42"/>
      <c r="F34" s="42"/>
      <c r="G34" s="69">
        <f t="shared" si="2"/>
        <v>0</v>
      </c>
      <c r="H34" s="38"/>
      <c r="I34" s="38"/>
      <c r="J34" s="38"/>
      <c r="K34" s="38"/>
      <c r="L34" s="38"/>
      <c r="M34" s="38"/>
      <c r="N34" s="38"/>
      <c r="O34" s="38"/>
      <c r="P34" s="38"/>
      <c r="Q34" s="8"/>
    </row>
    <row r="35" spans="1:17" ht="20.25" customHeight="1" thickBot="1">
      <c r="A35" s="2009"/>
      <c r="B35" s="2968"/>
      <c r="C35" s="73" t="s">
        <v>12</v>
      </c>
      <c r="D35" s="58">
        <f>SUM(D28:D34)</f>
        <v>394</v>
      </c>
      <c r="E35" s="56">
        <f>SUM(E28:E34)</f>
        <v>0</v>
      </c>
      <c r="F35" s="56">
        <f>SUM(F28:F34)</f>
        <v>0</v>
      </c>
      <c r="G35" s="60">
        <f t="shared" si="2"/>
        <v>394</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1669" t="s">
        <v>25</v>
      </c>
      <c r="B39" s="1670" t="s">
        <v>7</v>
      </c>
      <c r="C39" s="80" t="s">
        <v>8</v>
      </c>
      <c r="D39" s="1523" t="s">
        <v>26</v>
      </c>
      <c r="E39" s="352" t="s">
        <v>27</v>
      </c>
      <c r="F39" s="353"/>
      <c r="G39" s="30"/>
      <c r="H39" s="30"/>
    </row>
    <row r="40" spans="1:17">
      <c r="A40" s="2550" t="s">
        <v>522</v>
      </c>
      <c r="B40" s="2967"/>
      <c r="C40" s="84">
        <v>2014</v>
      </c>
      <c r="D40" s="33"/>
      <c r="E40" s="32"/>
      <c r="F40" s="8"/>
      <c r="G40" s="38"/>
      <c r="H40" s="38"/>
    </row>
    <row r="41" spans="1:17">
      <c r="A41" s="2550"/>
      <c r="B41" s="2967"/>
      <c r="C41" s="86">
        <v>2015</v>
      </c>
      <c r="D41" s="50"/>
      <c r="E41" s="39"/>
      <c r="F41" s="8"/>
      <c r="G41" s="38"/>
      <c r="H41" s="38"/>
    </row>
    <row r="42" spans="1:17">
      <c r="A42" s="2550"/>
      <c r="B42" s="2967"/>
      <c r="C42" s="86">
        <v>2016</v>
      </c>
      <c r="D42" s="50"/>
      <c r="E42" s="39"/>
      <c r="F42" s="8"/>
      <c r="G42" s="38"/>
      <c r="H42" s="38"/>
    </row>
    <row r="43" spans="1:17">
      <c r="A43" s="2550"/>
      <c r="B43" s="2967"/>
      <c r="C43" s="86">
        <v>2017</v>
      </c>
      <c r="D43" s="50"/>
      <c r="E43" s="39"/>
      <c r="F43" s="8"/>
      <c r="G43" s="38"/>
      <c r="H43" s="38"/>
    </row>
    <row r="44" spans="1:17">
      <c r="A44" s="2550"/>
      <c r="B44" s="2967"/>
      <c r="C44" s="86">
        <v>2018</v>
      </c>
      <c r="D44" s="50"/>
      <c r="E44" s="39"/>
      <c r="F44" s="8"/>
      <c r="G44" s="38"/>
      <c r="H44" s="38"/>
    </row>
    <row r="45" spans="1:17">
      <c r="A45" s="2550"/>
      <c r="B45" s="2967"/>
      <c r="C45" s="86">
        <v>2019</v>
      </c>
      <c r="D45" s="50"/>
      <c r="E45" s="39"/>
      <c r="F45" s="8"/>
      <c r="G45" s="38"/>
      <c r="H45" s="38"/>
    </row>
    <row r="46" spans="1:17">
      <c r="A46" s="2550"/>
      <c r="B46" s="2967"/>
      <c r="C46" s="86">
        <v>2020</v>
      </c>
      <c r="D46" s="50"/>
      <c r="E46" s="39"/>
      <c r="F46" s="8"/>
      <c r="G46" s="38"/>
      <c r="H46" s="38"/>
    </row>
    <row r="47" spans="1:17" ht="15.75" thickBot="1">
      <c r="A47" s="2009"/>
      <c r="B47" s="2968"/>
      <c r="C47" s="54" t="s">
        <v>12</v>
      </c>
      <c r="D47" s="55">
        <f>SUM(D40:D46)</f>
        <v>0</v>
      </c>
      <c r="E47" s="419">
        <f>SUM(E40:E46)</f>
        <v>0</v>
      </c>
      <c r="F47" s="121"/>
      <c r="G47" s="38"/>
      <c r="H47" s="38"/>
    </row>
    <row r="48" spans="1:17" s="38" customFormat="1" ht="15.75" thickBot="1">
      <c r="A48" s="1671"/>
      <c r="B48" s="92"/>
      <c r="C48" s="93"/>
    </row>
    <row r="49" spans="1:24" ht="83.25" customHeight="1">
      <c r="A49" s="1527" t="s">
        <v>29</v>
      </c>
      <c r="B49" s="1670" t="s">
        <v>7</v>
      </c>
      <c r="C49" s="95" t="s">
        <v>8</v>
      </c>
      <c r="D49" s="1523" t="s">
        <v>30</v>
      </c>
      <c r="E49" s="96" t="s">
        <v>31</v>
      </c>
      <c r="F49" s="96" t="s">
        <v>32</v>
      </c>
      <c r="G49" s="96" t="s">
        <v>33</v>
      </c>
      <c r="H49" s="96" t="s">
        <v>34</v>
      </c>
      <c r="I49" s="96" t="s">
        <v>35</v>
      </c>
      <c r="J49" s="96" t="s">
        <v>36</v>
      </c>
      <c r="K49" s="97" t="s">
        <v>37</v>
      </c>
    </row>
    <row r="50" spans="1:24" ht="17.25" customHeight="1">
      <c r="A50" s="2005"/>
      <c r="B50" s="2966"/>
      <c r="C50" s="98" t="s">
        <v>38</v>
      </c>
      <c r="D50" s="33"/>
      <c r="E50" s="34"/>
      <c r="F50" s="34"/>
      <c r="G50" s="34"/>
      <c r="H50" s="34"/>
      <c r="I50" s="34"/>
      <c r="J50" s="34"/>
      <c r="K50" s="37"/>
    </row>
    <row r="51" spans="1:24" ht="15" customHeight="1">
      <c r="A51" s="2550"/>
      <c r="B51" s="2967"/>
      <c r="C51" s="86">
        <v>2014</v>
      </c>
      <c r="D51" s="50"/>
      <c r="E51" s="42"/>
      <c r="F51" s="42"/>
      <c r="G51" s="42"/>
      <c r="H51" s="42"/>
      <c r="I51" s="42"/>
      <c r="J51" s="42"/>
      <c r="K51" s="99"/>
    </row>
    <row r="52" spans="1:24">
      <c r="A52" s="2550"/>
      <c r="B52" s="2967"/>
      <c r="C52" s="86">
        <v>2015</v>
      </c>
      <c r="D52" s="50"/>
      <c r="E52" s="42"/>
      <c r="F52" s="42"/>
      <c r="G52" s="42"/>
      <c r="H52" s="42"/>
      <c r="I52" s="42"/>
      <c r="J52" s="42"/>
      <c r="K52" s="99"/>
    </row>
    <row r="53" spans="1:24">
      <c r="A53" s="2550"/>
      <c r="B53" s="2967"/>
      <c r="C53" s="86">
        <v>2016</v>
      </c>
      <c r="D53" s="50"/>
      <c r="E53" s="42"/>
      <c r="F53" s="42"/>
      <c r="G53" s="42"/>
      <c r="H53" s="42"/>
      <c r="I53" s="42"/>
      <c r="J53" s="42"/>
      <c r="K53" s="99"/>
    </row>
    <row r="54" spans="1:24">
      <c r="A54" s="2550"/>
      <c r="B54" s="2967"/>
      <c r="C54" s="86">
        <v>2017</v>
      </c>
      <c r="D54" s="50"/>
      <c r="E54" s="42"/>
      <c r="F54" s="42"/>
      <c r="G54" s="42"/>
      <c r="H54" s="42"/>
      <c r="I54" s="42"/>
      <c r="J54" s="42"/>
      <c r="K54" s="99"/>
    </row>
    <row r="55" spans="1:24">
      <c r="A55" s="2550"/>
      <c r="B55" s="2967"/>
      <c r="C55" s="86">
        <v>2018</v>
      </c>
      <c r="D55" s="50"/>
      <c r="E55" s="42"/>
      <c r="F55" s="42"/>
      <c r="G55" s="42"/>
      <c r="H55" s="42"/>
      <c r="I55" s="42"/>
      <c r="J55" s="42"/>
      <c r="K55" s="99"/>
    </row>
    <row r="56" spans="1:24">
      <c r="A56" s="2550"/>
      <c r="B56" s="2967"/>
      <c r="C56" s="86">
        <v>2019</v>
      </c>
      <c r="D56" s="50"/>
      <c r="E56" s="42"/>
      <c r="F56" s="42"/>
      <c r="G56" s="42"/>
      <c r="H56" s="42"/>
      <c r="I56" s="42"/>
      <c r="J56" s="42"/>
      <c r="K56" s="99"/>
    </row>
    <row r="57" spans="1:24">
      <c r="A57" s="2550"/>
      <c r="B57" s="2967"/>
      <c r="C57" s="86">
        <v>2020</v>
      </c>
      <c r="D57" s="50"/>
      <c r="E57" s="42"/>
      <c r="F57" s="42"/>
      <c r="G57" s="42"/>
      <c r="H57" s="42"/>
      <c r="I57" s="42"/>
      <c r="J57" s="42"/>
      <c r="K57" s="100"/>
    </row>
    <row r="58" spans="1:24" ht="20.25" customHeight="1" thickBot="1">
      <c r="A58" s="2009"/>
      <c r="B58" s="2968"/>
      <c r="C58" s="54" t="s">
        <v>12</v>
      </c>
      <c r="D58" s="55">
        <f>SUM(D51:D57)</f>
        <v>0</v>
      </c>
      <c r="E58" s="56">
        <f>SUM(E51:E57)</f>
        <v>0</v>
      </c>
      <c r="F58" s="56">
        <f>SUM(F51:F57)</f>
        <v>0</v>
      </c>
      <c r="G58" s="56">
        <f>SUM(G51:G57)</f>
        <v>0</v>
      </c>
      <c r="H58" s="56">
        <f>SUM(H51:H57)</f>
        <v>0</v>
      </c>
      <c r="I58" s="56">
        <f t="shared" ref="I58" si="3">SUM(I51:I57)</f>
        <v>0</v>
      </c>
      <c r="J58" s="56">
        <f>SUM(J51:J57)</f>
        <v>0</v>
      </c>
      <c r="K58" s="60">
        <f>SUM(K50:K56)</f>
        <v>0</v>
      </c>
    </row>
    <row r="59" spans="1:24" ht="15.75" thickBot="1"/>
    <row r="60" spans="1:24" ht="21" customHeight="1">
      <c r="A60" s="2905" t="s">
        <v>39</v>
      </c>
      <c r="B60" s="1672"/>
      <c r="C60" s="2906" t="s">
        <v>8</v>
      </c>
      <c r="D60" s="2671" t="s">
        <v>40</v>
      </c>
      <c r="E60" s="1477" t="s">
        <v>5</v>
      </c>
      <c r="F60" s="1673"/>
      <c r="G60" s="1673"/>
      <c r="H60" s="1673"/>
      <c r="I60" s="1673"/>
      <c r="J60" s="1673"/>
      <c r="K60" s="1673"/>
      <c r="L60" s="1674"/>
    </row>
    <row r="61" spans="1:24" ht="115.5" customHeight="1">
      <c r="A61" s="2775"/>
      <c r="B61" s="105" t="s">
        <v>7</v>
      </c>
      <c r="C61" s="2102"/>
      <c r="D61" s="2075"/>
      <c r="E61" s="106" t="s">
        <v>13</v>
      </c>
      <c r="F61" s="107" t="s">
        <v>14</v>
      </c>
      <c r="G61" s="107" t="s">
        <v>15</v>
      </c>
      <c r="H61" s="108" t="s">
        <v>16</v>
      </c>
      <c r="I61" s="108" t="s">
        <v>17</v>
      </c>
      <c r="J61" s="109" t="s">
        <v>18</v>
      </c>
      <c r="K61" s="107" t="s">
        <v>19</v>
      </c>
      <c r="L61" s="110" t="s">
        <v>20</v>
      </c>
      <c r="M61" s="2976"/>
      <c r="N61" s="2977"/>
      <c r="O61" s="2977"/>
      <c r="P61" s="2977"/>
      <c r="Q61" s="2977"/>
      <c r="R61" s="2977"/>
      <c r="S61" s="2977"/>
      <c r="T61" s="2977"/>
      <c r="U61" s="172"/>
      <c r="V61" s="172"/>
      <c r="W61" s="172"/>
      <c r="X61" s="172"/>
    </row>
    <row r="62" spans="1:24">
      <c r="A62" s="2552"/>
      <c r="B62" s="2960"/>
      <c r="C62" s="112">
        <v>2014</v>
      </c>
      <c r="D62" s="113"/>
      <c r="E62" s="114"/>
      <c r="F62" s="115"/>
      <c r="G62" s="115"/>
      <c r="H62" s="115"/>
      <c r="I62" s="115"/>
      <c r="J62" s="115"/>
      <c r="K62" s="115"/>
      <c r="L62" s="37"/>
      <c r="M62" s="2974"/>
      <c r="N62" s="2975"/>
      <c r="O62" s="2975"/>
      <c r="P62" s="2975"/>
      <c r="Q62" s="2975"/>
      <c r="R62" s="2975"/>
      <c r="S62" s="2975"/>
      <c r="T62" s="2975"/>
      <c r="U62" s="2975"/>
      <c r="V62" s="2975"/>
      <c r="W62" s="2975"/>
      <c r="X62" s="2975"/>
    </row>
    <row r="63" spans="1:24">
      <c r="A63" s="2552"/>
      <c r="B63" s="2960"/>
      <c r="C63" s="116">
        <v>2015</v>
      </c>
      <c r="D63" s="117"/>
      <c r="E63" s="118"/>
      <c r="F63" s="42"/>
      <c r="G63" s="42"/>
      <c r="H63" s="42"/>
      <c r="I63" s="42"/>
      <c r="J63" s="42"/>
      <c r="K63" s="42"/>
      <c r="L63" s="99"/>
      <c r="M63" s="2974"/>
      <c r="N63" s="2975"/>
      <c r="O63" s="2975"/>
      <c r="P63" s="2975"/>
      <c r="Q63" s="2975"/>
      <c r="R63" s="2975"/>
      <c r="S63" s="2975"/>
      <c r="T63" s="2975"/>
      <c r="U63" s="2975"/>
      <c r="V63" s="2975"/>
      <c r="W63" s="2975"/>
      <c r="X63" s="2975"/>
    </row>
    <row r="64" spans="1:24">
      <c r="A64" s="2552"/>
      <c r="B64" s="2960"/>
      <c r="C64" s="116">
        <v>2016</v>
      </c>
      <c r="D64" s="117">
        <v>6</v>
      </c>
      <c r="E64" s="118">
        <v>6</v>
      </c>
      <c r="F64" s="42"/>
      <c r="G64" s="42"/>
      <c r="H64" s="42"/>
      <c r="I64" s="42"/>
      <c r="J64" s="42"/>
      <c r="K64" s="42"/>
      <c r="L64" s="99"/>
      <c r="M64" s="2974"/>
      <c r="N64" s="2975"/>
      <c r="O64" s="2975"/>
      <c r="P64" s="2975"/>
      <c r="Q64" s="2975"/>
      <c r="R64" s="2975"/>
      <c r="S64" s="2975"/>
      <c r="T64" s="2975"/>
      <c r="U64" s="2975"/>
      <c r="V64" s="2975"/>
      <c r="W64" s="2975"/>
      <c r="X64" s="2975"/>
    </row>
    <row r="65" spans="1:24">
      <c r="A65" s="2552"/>
      <c r="B65" s="2960"/>
      <c r="C65" s="116">
        <v>2017</v>
      </c>
      <c r="D65" s="117"/>
      <c r="E65" s="118"/>
      <c r="F65" s="42"/>
      <c r="G65" s="42"/>
      <c r="H65" s="42"/>
      <c r="I65" s="42"/>
      <c r="J65" s="42"/>
      <c r="K65" s="42"/>
      <c r="L65" s="99"/>
      <c r="M65" s="2974"/>
      <c r="N65" s="2975"/>
      <c r="O65" s="2975"/>
      <c r="P65" s="2975"/>
      <c r="Q65" s="2975"/>
      <c r="R65" s="2975"/>
      <c r="S65" s="2975"/>
      <c r="T65" s="2975"/>
      <c r="U65" s="2975"/>
      <c r="V65" s="2975"/>
      <c r="W65" s="2975"/>
      <c r="X65" s="172"/>
    </row>
    <row r="66" spans="1:24">
      <c r="A66" s="2552"/>
      <c r="B66" s="2960"/>
      <c r="C66" s="116">
        <v>2018</v>
      </c>
      <c r="D66" s="117"/>
      <c r="E66" s="118"/>
      <c r="F66" s="42"/>
      <c r="G66" s="42"/>
      <c r="H66" s="42"/>
      <c r="I66" s="42"/>
      <c r="J66" s="42"/>
      <c r="K66" s="42"/>
      <c r="L66" s="99"/>
      <c r="M66" s="2974"/>
      <c r="N66" s="2975"/>
      <c r="O66" s="2975"/>
      <c r="P66" s="2975"/>
      <c r="Q66" s="2975"/>
      <c r="R66" s="2975"/>
      <c r="S66" s="2975"/>
      <c r="T66" s="2975"/>
      <c r="U66" s="2975"/>
      <c r="V66" s="172"/>
      <c r="W66" s="172"/>
      <c r="X66" s="172"/>
    </row>
    <row r="67" spans="1:24" ht="17.25" customHeight="1">
      <c r="A67" s="2552"/>
      <c r="B67" s="2960"/>
      <c r="C67" s="116">
        <v>2019</v>
      </c>
      <c r="D67" s="117"/>
      <c r="E67" s="118"/>
      <c r="F67" s="42"/>
      <c r="G67" s="42"/>
      <c r="H67" s="42"/>
      <c r="I67" s="42"/>
      <c r="J67" s="42"/>
      <c r="K67" s="42"/>
      <c r="L67" s="99"/>
      <c r="M67" s="2974"/>
      <c r="N67" s="2975"/>
      <c r="O67" s="2975"/>
      <c r="P67" s="2975"/>
      <c r="Q67" s="2975"/>
      <c r="R67" s="2975"/>
      <c r="S67" s="2975"/>
      <c r="T67" s="2975"/>
      <c r="U67" s="2975"/>
      <c r="V67" s="172"/>
      <c r="W67" s="172"/>
      <c r="X67" s="172"/>
    </row>
    <row r="68" spans="1:24" ht="16.5" customHeight="1">
      <c r="A68" s="2552"/>
      <c r="B68" s="2960"/>
      <c r="C68" s="116">
        <v>2020</v>
      </c>
      <c r="D68" s="117"/>
      <c r="E68" s="118"/>
      <c r="F68" s="42"/>
      <c r="G68" s="42"/>
      <c r="H68" s="42"/>
      <c r="I68" s="42"/>
      <c r="J68" s="42"/>
      <c r="K68" s="42"/>
      <c r="L68" s="99"/>
      <c r="M68" s="121"/>
      <c r="N68" s="121"/>
      <c r="O68" s="121"/>
      <c r="P68" s="172"/>
      <c r="Q68" s="172"/>
      <c r="R68" s="172"/>
      <c r="S68" s="172"/>
      <c r="T68" s="172"/>
      <c r="U68" s="172"/>
      <c r="V68" s="172"/>
      <c r="W68" s="172"/>
      <c r="X68" s="172"/>
    </row>
    <row r="69" spans="1:24" ht="18" customHeight="1" thickBot="1">
      <c r="A69" s="2961"/>
      <c r="B69" s="2962"/>
      <c r="C69" s="122" t="s">
        <v>12</v>
      </c>
      <c r="D69" s="123">
        <f>SUM(D62:D68)</f>
        <v>6</v>
      </c>
      <c r="E69" s="124">
        <f>SUM(E62:E68)</f>
        <v>6</v>
      </c>
      <c r="F69" s="125">
        <f t="shared" ref="F69:I69" si="4">SUM(F62:F68)</f>
        <v>0</v>
      </c>
      <c r="G69" s="125">
        <f t="shared" si="4"/>
        <v>0</v>
      </c>
      <c r="H69" s="125">
        <f t="shared" si="4"/>
        <v>0</v>
      </c>
      <c r="I69" s="125">
        <f t="shared" si="4"/>
        <v>0</v>
      </c>
      <c r="J69" s="125"/>
      <c r="K69" s="125">
        <f>SUM(K62:K68)</f>
        <v>0</v>
      </c>
      <c r="L69" s="126">
        <f>SUM(L62:L68)</f>
        <v>0</v>
      </c>
      <c r="M69" s="121"/>
      <c r="N69" s="121"/>
      <c r="O69" s="121"/>
      <c r="P69" s="172"/>
      <c r="Q69" s="172"/>
      <c r="R69" s="172"/>
      <c r="S69" s="172"/>
      <c r="T69" s="172"/>
      <c r="U69" s="172"/>
      <c r="V69" s="172"/>
      <c r="W69" s="172"/>
      <c r="X69" s="172"/>
    </row>
    <row r="70" spans="1:24"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4" ht="132" customHeight="1">
      <c r="A71" s="1669" t="s">
        <v>42</v>
      </c>
      <c r="B71" s="1670" t="s">
        <v>7</v>
      </c>
      <c r="C71" s="80" t="s">
        <v>8</v>
      </c>
      <c r="D71" s="132" t="s">
        <v>43</v>
      </c>
      <c r="E71" s="132" t="s">
        <v>44</v>
      </c>
      <c r="F71" s="133" t="s">
        <v>45</v>
      </c>
      <c r="G71" s="1532" t="s">
        <v>46</v>
      </c>
      <c r="H71" s="135" t="s">
        <v>13</v>
      </c>
      <c r="I71" s="136" t="s">
        <v>14</v>
      </c>
      <c r="J71" s="137" t="s">
        <v>15</v>
      </c>
      <c r="K71" s="136" t="s">
        <v>16</v>
      </c>
      <c r="L71" s="136" t="s">
        <v>17</v>
      </c>
      <c r="M71" s="138" t="s">
        <v>18</v>
      </c>
      <c r="N71" s="137" t="s">
        <v>19</v>
      </c>
      <c r="O71" s="139" t="s">
        <v>20</v>
      </c>
    </row>
    <row r="72" spans="1:24" ht="15" customHeight="1">
      <c r="A72" s="2550"/>
      <c r="B72" s="2967"/>
      <c r="C72" s="84">
        <v>2014</v>
      </c>
      <c r="D72" s="140"/>
      <c r="E72" s="140"/>
      <c r="F72" s="140"/>
      <c r="G72" s="141">
        <f>SUM(D72:F72)</f>
        <v>0</v>
      </c>
      <c r="H72" s="33"/>
      <c r="I72" s="142"/>
      <c r="J72" s="115"/>
      <c r="K72" s="115"/>
      <c r="L72" s="115"/>
      <c r="M72" s="115"/>
      <c r="N72" s="115"/>
      <c r="O72" s="143"/>
    </row>
    <row r="73" spans="1:24">
      <c r="A73" s="2550"/>
      <c r="B73" s="2967"/>
      <c r="C73" s="86">
        <v>2015</v>
      </c>
      <c r="D73" s="147"/>
      <c r="E73" s="147"/>
      <c r="F73" s="147"/>
      <c r="G73" s="141">
        <f t="shared" ref="G73:G78" si="5">SUM(D73:F73)</f>
        <v>0</v>
      </c>
      <c r="H73" s="50"/>
      <c r="I73" s="50"/>
      <c r="J73" s="42"/>
      <c r="K73" s="42"/>
      <c r="L73" s="42"/>
      <c r="M73" s="42"/>
      <c r="N73" s="42"/>
      <c r="O73" s="99"/>
    </row>
    <row r="74" spans="1:24">
      <c r="A74" s="2550"/>
      <c r="B74" s="2967"/>
      <c r="C74" s="86">
        <v>2016</v>
      </c>
      <c r="D74" s="147"/>
      <c r="E74" s="147">
        <v>2</v>
      </c>
      <c r="F74" s="147"/>
      <c r="G74" s="141">
        <f t="shared" si="5"/>
        <v>2</v>
      </c>
      <c r="H74" s="50">
        <v>2</v>
      </c>
      <c r="I74" s="50"/>
      <c r="J74" s="42"/>
      <c r="K74" s="42"/>
      <c r="L74" s="42"/>
      <c r="M74" s="42"/>
      <c r="N74" s="42"/>
      <c r="O74" s="99"/>
      <c r="P74" s="77"/>
      <c r="Q74" s="77"/>
      <c r="R74" s="77"/>
      <c r="S74" s="77"/>
      <c r="T74" s="77"/>
    </row>
    <row r="75" spans="1:24">
      <c r="A75" s="2550"/>
      <c r="B75" s="2967"/>
      <c r="C75" s="86">
        <v>2017</v>
      </c>
      <c r="D75" s="147"/>
      <c r="E75" s="147"/>
      <c r="F75" s="147"/>
      <c r="G75" s="141">
        <f t="shared" si="5"/>
        <v>0</v>
      </c>
      <c r="H75" s="50"/>
      <c r="I75" s="50"/>
      <c r="J75" s="42"/>
      <c r="K75" s="42"/>
      <c r="L75" s="42"/>
      <c r="M75" s="42"/>
      <c r="N75" s="42"/>
      <c r="O75" s="99"/>
      <c r="P75" s="77"/>
      <c r="Q75" s="77"/>
      <c r="R75" s="77"/>
      <c r="S75" s="77"/>
      <c r="T75" s="77"/>
    </row>
    <row r="76" spans="1:24">
      <c r="A76" s="2550"/>
      <c r="B76" s="2967"/>
      <c r="C76" s="86">
        <v>2018</v>
      </c>
      <c r="D76" s="147"/>
      <c r="E76" s="147"/>
      <c r="F76" s="147"/>
      <c r="G76" s="141">
        <f t="shared" si="5"/>
        <v>0</v>
      </c>
      <c r="H76" s="50"/>
      <c r="I76" s="50"/>
      <c r="J76" s="42"/>
      <c r="K76" s="42"/>
      <c r="L76" s="42"/>
      <c r="M76" s="42"/>
      <c r="N76" s="42"/>
      <c r="O76" s="99"/>
    </row>
    <row r="77" spans="1:24" ht="15.75" customHeight="1">
      <c r="A77" s="2550"/>
      <c r="B77" s="2967"/>
      <c r="C77" s="86">
        <v>2019</v>
      </c>
      <c r="D77" s="147"/>
      <c r="E77" s="147"/>
      <c r="F77" s="147"/>
      <c r="G77" s="141">
        <f t="shared" si="5"/>
        <v>0</v>
      </c>
      <c r="H77" s="50"/>
      <c r="I77" s="50"/>
      <c r="J77" s="42"/>
      <c r="K77" s="42"/>
      <c r="L77" s="42"/>
      <c r="M77" s="42"/>
      <c r="N77" s="42"/>
      <c r="O77" s="99"/>
    </row>
    <row r="78" spans="1:24" ht="17.25" customHeight="1">
      <c r="A78" s="2550"/>
      <c r="B78" s="2967"/>
      <c r="C78" s="86">
        <v>2020</v>
      </c>
      <c r="D78" s="147"/>
      <c r="E78" s="147"/>
      <c r="F78" s="147"/>
      <c r="G78" s="141">
        <f t="shared" si="5"/>
        <v>0</v>
      </c>
      <c r="H78" s="50"/>
      <c r="I78" s="50"/>
      <c r="J78" s="42"/>
      <c r="K78" s="42"/>
      <c r="L78" s="42"/>
      <c r="M78" s="42"/>
      <c r="N78" s="42"/>
      <c r="O78" s="99"/>
    </row>
    <row r="79" spans="1:24" ht="20.25" customHeight="1" thickBot="1">
      <c r="A79" s="2009"/>
      <c r="B79" s="2968"/>
      <c r="C79" s="148" t="s">
        <v>12</v>
      </c>
      <c r="D79" s="123">
        <f>SUM(D72:D78)</f>
        <v>0</v>
      </c>
      <c r="E79" s="123">
        <f>SUM(E72:E78)</f>
        <v>2</v>
      </c>
      <c r="F79" s="123">
        <f>SUM(F72:F78)</f>
        <v>0</v>
      </c>
      <c r="G79" s="149">
        <f>SUM(G72:G78)</f>
        <v>2</v>
      </c>
      <c r="H79" s="150">
        <v>2</v>
      </c>
      <c r="I79" s="151">
        <f t="shared" ref="I79:O79" si="6">SUM(I72:I78)</f>
        <v>0</v>
      </c>
      <c r="J79" s="125">
        <f t="shared" si="6"/>
        <v>0</v>
      </c>
      <c r="K79" s="125">
        <f t="shared" si="6"/>
        <v>0</v>
      </c>
      <c r="L79" s="125">
        <f t="shared" si="6"/>
        <v>0</v>
      </c>
      <c r="M79" s="125">
        <f t="shared" si="6"/>
        <v>0</v>
      </c>
      <c r="N79" s="125">
        <f t="shared" si="6"/>
        <v>0</v>
      </c>
      <c r="O79" s="126">
        <f t="shared" si="6"/>
        <v>0</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1675" t="s">
        <v>49</v>
      </c>
      <c r="B84" s="1676" t="s">
        <v>50</v>
      </c>
      <c r="C84" s="161" t="s">
        <v>8</v>
      </c>
      <c r="D84" s="1538" t="s">
        <v>51</v>
      </c>
      <c r="E84" s="163" t="s">
        <v>52</v>
      </c>
      <c r="F84" s="164" t="s">
        <v>53</v>
      </c>
      <c r="G84" s="164" t="s">
        <v>54</v>
      </c>
      <c r="H84" s="164" t="s">
        <v>55</v>
      </c>
      <c r="I84" s="164" t="s">
        <v>56</v>
      </c>
      <c r="J84" s="164" t="s">
        <v>57</v>
      </c>
      <c r="K84" s="165" t="s">
        <v>58</v>
      </c>
    </row>
    <row r="85" spans="1:16" ht="15" customHeight="1">
      <c r="A85" s="2554"/>
      <c r="B85" s="2971"/>
      <c r="C85" s="84">
        <v>2014</v>
      </c>
      <c r="D85" s="166"/>
      <c r="E85" s="167"/>
      <c r="F85" s="34"/>
      <c r="G85" s="34"/>
      <c r="H85" s="34"/>
      <c r="I85" s="34"/>
      <c r="J85" s="34"/>
      <c r="K85" s="37"/>
    </row>
    <row r="86" spans="1:16">
      <c r="A86" s="2554"/>
      <c r="B86" s="2971"/>
      <c r="C86" s="86">
        <v>2015</v>
      </c>
      <c r="D86" s="168"/>
      <c r="E86" s="118"/>
      <c r="F86" s="42"/>
      <c r="G86" s="42"/>
      <c r="H86" s="42"/>
      <c r="I86" s="42"/>
      <c r="J86" s="42"/>
      <c r="K86" s="99"/>
    </row>
    <row r="87" spans="1:16">
      <c r="A87" s="2554"/>
      <c r="B87" s="2971"/>
      <c r="C87" s="86">
        <v>2016</v>
      </c>
      <c r="D87" s="168"/>
      <c r="E87" s="118"/>
      <c r="F87" s="42"/>
      <c r="G87" s="42"/>
      <c r="H87" s="42"/>
      <c r="I87" s="42"/>
      <c r="J87" s="42"/>
      <c r="K87" s="99"/>
    </row>
    <row r="88" spans="1:16">
      <c r="A88" s="2554"/>
      <c r="B88" s="2971"/>
      <c r="C88" s="86">
        <v>2017</v>
      </c>
      <c r="D88" s="168"/>
      <c r="E88" s="118"/>
      <c r="F88" s="42"/>
      <c r="G88" s="42"/>
      <c r="H88" s="42"/>
      <c r="I88" s="42"/>
      <c r="J88" s="42"/>
      <c r="K88" s="99"/>
    </row>
    <row r="89" spans="1:16">
      <c r="A89" s="2554"/>
      <c r="B89" s="2971"/>
      <c r="C89" s="86">
        <v>2018</v>
      </c>
      <c r="D89" s="168"/>
      <c r="E89" s="118"/>
      <c r="F89" s="42"/>
      <c r="G89" s="42"/>
      <c r="H89" s="42"/>
      <c r="I89" s="42"/>
      <c r="J89" s="42"/>
      <c r="K89" s="99"/>
    </row>
    <row r="90" spans="1:16">
      <c r="A90" s="2554"/>
      <c r="B90" s="2971"/>
      <c r="C90" s="86">
        <v>2019</v>
      </c>
      <c r="D90" s="168"/>
      <c r="E90" s="118"/>
      <c r="F90" s="42"/>
      <c r="G90" s="42"/>
      <c r="H90" s="42"/>
      <c r="I90" s="42"/>
      <c r="J90" s="42"/>
      <c r="K90" s="99"/>
    </row>
    <row r="91" spans="1:16">
      <c r="A91" s="2554"/>
      <c r="B91" s="2971"/>
      <c r="C91" s="86">
        <v>2020</v>
      </c>
      <c r="D91" s="168"/>
      <c r="E91" s="118"/>
      <c r="F91" s="42"/>
      <c r="G91" s="42"/>
      <c r="H91" s="42"/>
      <c r="I91" s="42"/>
      <c r="J91" s="42"/>
      <c r="K91" s="99"/>
    </row>
    <row r="92" spans="1:16" ht="18" customHeight="1" thickBot="1">
      <c r="A92" s="2972"/>
      <c r="B92" s="2973"/>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898" t="s">
        <v>60</v>
      </c>
      <c r="B96" s="2899" t="s">
        <v>61</v>
      </c>
      <c r="C96" s="2901" t="s">
        <v>8</v>
      </c>
      <c r="D96" s="2735" t="s">
        <v>62</v>
      </c>
      <c r="E96" s="2736"/>
      <c r="F96" s="1539" t="s">
        <v>63</v>
      </c>
      <c r="G96" s="1677"/>
      <c r="H96" s="1677"/>
      <c r="I96" s="1677"/>
      <c r="J96" s="1677"/>
      <c r="K96" s="1677"/>
      <c r="L96" s="1677"/>
      <c r="M96" s="1678"/>
      <c r="N96" s="177"/>
      <c r="O96" s="177"/>
      <c r="P96" s="177"/>
    </row>
    <row r="97" spans="1:16" ht="100.5" customHeight="1">
      <c r="A97" s="2778"/>
      <c r="B97" s="2154"/>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552"/>
      <c r="B98" s="2960"/>
      <c r="C98" s="112">
        <v>2014</v>
      </c>
      <c r="D98" s="33"/>
      <c r="E98" s="34"/>
      <c r="F98" s="186"/>
      <c r="G98" s="187"/>
      <c r="H98" s="187"/>
      <c r="I98" s="187"/>
      <c r="J98" s="187"/>
      <c r="K98" s="187"/>
      <c r="L98" s="187"/>
      <c r="M98" s="188"/>
      <c r="N98" s="177"/>
      <c r="O98" s="177"/>
      <c r="P98" s="177"/>
    </row>
    <row r="99" spans="1:16" ht="16.5" customHeight="1">
      <c r="A99" s="2552"/>
      <c r="B99" s="2960"/>
      <c r="C99" s="116">
        <v>2015</v>
      </c>
      <c r="D99" s="50"/>
      <c r="E99" s="42"/>
      <c r="F99" s="189"/>
      <c r="G99" s="190"/>
      <c r="H99" s="190"/>
      <c r="I99" s="190"/>
      <c r="J99" s="190"/>
      <c r="K99" s="190"/>
      <c r="L99" s="190"/>
      <c r="M99" s="193"/>
      <c r="N99" s="177"/>
      <c r="O99" s="177"/>
      <c r="P99" s="177"/>
    </row>
    <row r="100" spans="1:16" ht="16.5" customHeight="1">
      <c r="A100" s="2552"/>
      <c r="B100" s="2960"/>
      <c r="C100" s="116">
        <v>2016</v>
      </c>
      <c r="D100" s="50"/>
      <c r="E100" s="42"/>
      <c r="F100" s="189"/>
      <c r="G100" s="190"/>
      <c r="H100" s="190"/>
      <c r="I100" s="190"/>
      <c r="J100" s="190"/>
      <c r="K100" s="190"/>
      <c r="L100" s="190"/>
      <c r="M100" s="193"/>
      <c r="N100" s="177"/>
      <c r="O100" s="177"/>
      <c r="P100" s="177"/>
    </row>
    <row r="101" spans="1:16" ht="16.5" customHeight="1">
      <c r="A101" s="2552"/>
      <c r="B101" s="2960"/>
      <c r="C101" s="116">
        <v>2017</v>
      </c>
      <c r="D101" s="50"/>
      <c r="E101" s="42"/>
      <c r="F101" s="189"/>
      <c r="G101" s="190"/>
      <c r="H101" s="190"/>
      <c r="I101" s="190"/>
      <c r="J101" s="190"/>
      <c r="K101" s="190"/>
      <c r="L101" s="190"/>
      <c r="M101" s="193"/>
      <c r="N101" s="177"/>
      <c r="O101" s="177"/>
      <c r="P101" s="177"/>
    </row>
    <row r="102" spans="1:16" ht="15.75" customHeight="1">
      <c r="A102" s="2552"/>
      <c r="B102" s="2960"/>
      <c r="C102" s="116">
        <v>2018</v>
      </c>
      <c r="D102" s="50"/>
      <c r="E102" s="42"/>
      <c r="F102" s="189"/>
      <c r="G102" s="190"/>
      <c r="H102" s="190"/>
      <c r="I102" s="190"/>
      <c r="J102" s="190"/>
      <c r="K102" s="190"/>
      <c r="L102" s="190"/>
      <c r="M102" s="193"/>
      <c r="N102" s="177"/>
      <c r="O102" s="177"/>
      <c r="P102" s="177"/>
    </row>
    <row r="103" spans="1:16" ht="14.25" customHeight="1">
      <c r="A103" s="2552"/>
      <c r="B103" s="2960"/>
      <c r="C103" s="116">
        <v>2019</v>
      </c>
      <c r="D103" s="50"/>
      <c r="E103" s="42"/>
      <c r="F103" s="189"/>
      <c r="G103" s="190"/>
      <c r="H103" s="190"/>
      <c r="I103" s="190"/>
      <c r="J103" s="190"/>
      <c r="K103" s="190"/>
      <c r="L103" s="190"/>
      <c r="M103" s="193"/>
      <c r="N103" s="177"/>
      <c r="O103" s="177"/>
      <c r="P103" s="177"/>
    </row>
    <row r="104" spans="1:16" ht="14.25" customHeight="1">
      <c r="A104" s="2552"/>
      <c r="B104" s="2960"/>
      <c r="C104" s="116">
        <v>2020</v>
      </c>
      <c r="D104" s="50"/>
      <c r="E104" s="42"/>
      <c r="F104" s="189"/>
      <c r="G104" s="190"/>
      <c r="H104" s="190"/>
      <c r="I104" s="190"/>
      <c r="J104" s="190"/>
      <c r="K104" s="190"/>
      <c r="L104" s="190"/>
      <c r="M104" s="193"/>
      <c r="N104" s="177"/>
      <c r="O104" s="177"/>
      <c r="P104" s="177"/>
    </row>
    <row r="105" spans="1:16" ht="19.5" customHeight="1" thickBot="1">
      <c r="A105" s="2961"/>
      <c r="B105" s="2962"/>
      <c r="C105" s="122" t="s">
        <v>12</v>
      </c>
      <c r="D105" s="151">
        <f>SUM(D98:D104)</f>
        <v>0</v>
      </c>
      <c r="E105" s="125">
        <f t="shared" ref="E105:K105" si="8">SUM(E98:E104)</f>
        <v>0</v>
      </c>
      <c r="F105" s="194">
        <f t="shared" si="8"/>
        <v>0</v>
      </c>
      <c r="G105" s="195">
        <f t="shared" si="8"/>
        <v>0</v>
      </c>
      <c r="H105" s="195">
        <f t="shared" si="8"/>
        <v>0</v>
      </c>
      <c r="I105" s="195">
        <f>SUM(I98:I104)</f>
        <v>0</v>
      </c>
      <c r="J105" s="195">
        <f t="shared" si="8"/>
        <v>0</v>
      </c>
      <c r="K105" s="195">
        <f t="shared" si="8"/>
        <v>0</v>
      </c>
      <c r="L105" s="195">
        <f>SUM(L98:L104)</f>
        <v>0</v>
      </c>
      <c r="M105" s="196">
        <f>SUM(M98:M104)</f>
        <v>0</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898" t="s">
        <v>69</v>
      </c>
      <c r="B107" s="2899" t="s">
        <v>61</v>
      </c>
      <c r="C107" s="2901" t="s">
        <v>8</v>
      </c>
      <c r="D107" s="2670" t="s">
        <v>70</v>
      </c>
      <c r="E107" s="1539" t="s">
        <v>71</v>
      </c>
      <c r="F107" s="1677"/>
      <c r="G107" s="1677"/>
      <c r="H107" s="1677"/>
      <c r="I107" s="1677"/>
      <c r="J107" s="1677"/>
      <c r="K107" s="1677"/>
      <c r="L107" s="1678"/>
      <c r="M107" s="199"/>
      <c r="N107" s="199"/>
    </row>
    <row r="108" spans="1:16" ht="103.5" customHeight="1">
      <c r="A108" s="2778"/>
      <c r="B108" s="2154"/>
      <c r="C108" s="2056"/>
      <c r="D108" s="2058"/>
      <c r="E108" s="180" t="s">
        <v>13</v>
      </c>
      <c r="F108" s="181" t="s">
        <v>66</v>
      </c>
      <c r="G108" s="182" t="s">
        <v>54</v>
      </c>
      <c r="H108" s="183" t="s">
        <v>55</v>
      </c>
      <c r="I108" s="183" t="s">
        <v>56</v>
      </c>
      <c r="J108" s="184" t="s">
        <v>67</v>
      </c>
      <c r="K108" s="182" t="s">
        <v>57</v>
      </c>
      <c r="L108" s="185" t="s">
        <v>58</v>
      </c>
      <c r="M108" s="199"/>
      <c r="N108" s="199"/>
    </row>
    <row r="109" spans="1:16">
      <c r="A109" s="2552"/>
      <c r="B109" s="2960"/>
      <c r="C109" s="112">
        <v>2014</v>
      </c>
      <c r="D109" s="34"/>
      <c r="E109" s="186"/>
      <c r="F109" s="187"/>
      <c r="G109" s="187"/>
      <c r="H109" s="187"/>
      <c r="I109" s="187"/>
      <c r="J109" s="187"/>
      <c r="K109" s="187"/>
      <c r="L109" s="188"/>
      <c r="M109" s="199"/>
      <c r="N109" s="199"/>
    </row>
    <row r="110" spans="1:16">
      <c r="A110" s="2552"/>
      <c r="B110" s="2960"/>
      <c r="C110" s="116">
        <v>2015</v>
      </c>
      <c r="D110" s="42"/>
      <c r="E110" s="189"/>
      <c r="F110" s="190"/>
      <c r="G110" s="190"/>
      <c r="H110" s="190"/>
      <c r="I110" s="190"/>
      <c r="J110" s="190"/>
      <c r="K110" s="190"/>
      <c r="L110" s="193"/>
      <c r="M110" s="199"/>
      <c r="N110" s="199"/>
    </row>
    <row r="111" spans="1:16">
      <c r="A111" s="2552"/>
      <c r="B111" s="2960"/>
      <c r="C111" s="116">
        <v>2016</v>
      </c>
      <c r="D111" s="42"/>
      <c r="E111" s="189"/>
      <c r="F111" s="190"/>
      <c r="G111" s="190"/>
      <c r="H111" s="190"/>
      <c r="I111" s="190"/>
      <c r="J111" s="190"/>
      <c r="K111" s="190"/>
      <c r="L111" s="193"/>
      <c r="M111" s="199"/>
      <c r="N111" s="199"/>
    </row>
    <row r="112" spans="1:16">
      <c r="A112" s="2552"/>
      <c r="B112" s="2960"/>
      <c r="C112" s="116">
        <v>2017</v>
      </c>
      <c r="D112" s="42"/>
      <c r="E112" s="189"/>
      <c r="F112" s="190"/>
      <c r="G112" s="190"/>
      <c r="H112" s="190"/>
      <c r="I112" s="190"/>
      <c r="J112" s="190"/>
      <c r="K112" s="190"/>
      <c r="L112" s="193"/>
      <c r="M112" s="199"/>
      <c r="N112" s="199"/>
    </row>
    <row r="113" spans="1:14">
      <c r="A113" s="2552"/>
      <c r="B113" s="2960"/>
      <c r="C113" s="116">
        <v>2018</v>
      </c>
      <c r="D113" s="42"/>
      <c r="E113" s="189"/>
      <c r="F113" s="190"/>
      <c r="G113" s="190"/>
      <c r="H113" s="190"/>
      <c r="I113" s="190"/>
      <c r="J113" s="190"/>
      <c r="K113" s="190"/>
      <c r="L113" s="193"/>
      <c r="M113" s="199"/>
      <c r="N113" s="199"/>
    </row>
    <row r="114" spans="1:14">
      <c r="A114" s="2552"/>
      <c r="B114" s="2960"/>
      <c r="C114" s="116">
        <v>2019</v>
      </c>
      <c r="D114" s="42"/>
      <c r="E114" s="189"/>
      <c r="F114" s="190"/>
      <c r="G114" s="190"/>
      <c r="H114" s="190"/>
      <c r="I114" s="190"/>
      <c r="J114" s="190"/>
      <c r="K114" s="190"/>
      <c r="L114" s="193"/>
      <c r="M114" s="199"/>
      <c r="N114" s="199"/>
    </row>
    <row r="115" spans="1:14">
      <c r="A115" s="2552"/>
      <c r="B115" s="2960"/>
      <c r="C115" s="116">
        <v>2020</v>
      </c>
      <c r="D115" s="42"/>
      <c r="E115" s="189"/>
      <c r="F115" s="190"/>
      <c r="G115" s="190"/>
      <c r="H115" s="190"/>
      <c r="I115" s="190"/>
      <c r="J115" s="190"/>
      <c r="K115" s="190"/>
      <c r="L115" s="193"/>
      <c r="M115" s="199"/>
      <c r="N115" s="199"/>
    </row>
    <row r="116" spans="1:14" ht="25.5" customHeight="1" thickBot="1">
      <c r="A116" s="2961"/>
      <c r="B116" s="2962"/>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898" t="s">
        <v>72</v>
      </c>
      <c r="B118" s="2899" t="s">
        <v>61</v>
      </c>
      <c r="C118" s="2901" t="s">
        <v>8</v>
      </c>
      <c r="D118" s="2670" t="s">
        <v>73</v>
      </c>
      <c r="E118" s="1539" t="s">
        <v>71</v>
      </c>
      <c r="F118" s="1677"/>
      <c r="G118" s="1677"/>
      <c r="H118" s="1677"/>
      <c r="I118" s="1677"/>
      <c r="J118" s="1677"/>
      <c r="K118" s="1677"/>
      <c r="L118" s="1678"/>
      <c r="M118" s="199"/>
      <c r="N118" s="199"/>
    </row>
    <row r="119" spans="1:14" ht="120.75" customHeight="1">
      <c r="A119" s="2778"/>
      <c r="B119" s="2154"/>
      <c r="C119" s="2056"/>
      <c r="D119" s="2058"/>
      <c r="E119" s="180" t="s">
        <v>13</v>
      </c>
      <c r="F119" s="181" t="s">
        <v>66</v>
      </c>
      <c r="G119" s="182" t="s">
        <v>54</v>
      </c>
      <c r="H119" s="183" t="s">
        <v>55</v>
      </c>
      <c r="I119" s="183" t="s">
        <v>56</v>
      </c>
      <c r="J119" s="184" t="s">
        <v>67</v>
      </c>
      <c r="K119" s="182" t="s">
        <v>57</v>
      </c>
      <c r="L119" s="185" t="s">
        <v>58</v>
      </c>
      <c r="M119" s="199"/>
      <c r="N119" s="199"/>
    </row>
    <row r="120" spans="1:14">
      <c r="A120" s="2552"/>
      <c r="B120" s="2960"/>
      <c r="C120" s="112">
        <v>2014</v>
      </c>
      <c r="D120" s="34"/>
      <c r="E120" s="186"/>
      <c r="F120" s="187"/>
      <c r="G120" s="187"/>
      <c r="H120" s="187"/>
      <c r="I120" s="187"/>
      <c r="J120" s="187"/>
      <c r="K120" s="187"/>
      <c r="L120" s="188"/>
      <c r="M120" s="199"/>
      <c r="N120" s="199"/>
    </row>
    <row r="121" spans="1:14">
      <c r="A121" s="2552"/>
      <c r="B121" s="2960"/>
      <c r="C121" s="116">
        <v>2015</v>
      </c>
      <c r="D121" s="42"/>
      <c r="E121" s="189"/>
      <c r="F121" s="190"/>
      <c r="G121" s="190"/>
      <c r="H121" s="190"/>
      <c r="I121" s="190"/>
      <c r="J121" s="190"/>
      <c r="K121" s="190"/>
      <c r="L121" s="193"/>
      <c r="M121" s="199"/>
      <c r="N121" s="199"/>
    </row>
    <row r="122" spans="1:14">
      <c r="A122" s="2552"/>
      <c r="B122" s="2960"/>
      <c r="C122" s="116">
        <v>2016</v>
      </c>
      <c r="D122" s="42"/>
      <c r="E122" s="189"/>
      <c r="F122" s="190"/>
      <c r="G122" s="190"/>
      <c r="H122" s="190"/>
      <c r="I122" s="190"/>
      <c r="J122" s="190"/>
      <c r="K122" s="190"/>
      <c r="L122" s="193"/>
      <c r="M122" s="199"/>
      <c r="N122" s="199"/>
    </row>
    <row r="123" spans="1:14">
      <c r="A123" s="2552"/>
      <c r="B123" s="2960"/>
      <c r="C123" s="116">
        <v>2017</v>
      </c>
      <c r="D123" s="42"/>
      <c r="E123" s="189"/>
      <c r="F123" s="190"/>
      <c r="G123" s="190"/>
      <c r="H123" s="190"/>
      <c r="I123" s="190"/>
      <c r="J123" s="190"/>
      <c r="K123" s="190"/>
      <c r="L123" s="193"/>
      <c r="M123" s="199"/>
      <c r="N123" s="199"/>
    </row>
    <row r="124" spans="1:14">
      <c r="A124" s="2552"/>
      <c r="B124" s="2960"/>
      <c r="C124" s="116">
        <v>2018</v>
      </c>
      <c r="D124" s="42"/>
      <c r="E124" s="189"/>
      <c r="F124" s="190"/>
      <c r="G124" s="190"/>
      <c r="H124" s="190"/>
      <c r="I124" s="190"/>
      <c r="J124" s="190"/>
      <c r="K124" s="190"/>
      <c r="L124" s="193"/>
      <c r="M124" s="199"/>
      <c r="N124" s="199"/>
    </row>
    <row r="125" spans="1:14">
      <c r="A125" s="2552"/>
      <c r="B125" s="2960"/>
      <c r="C125" s="116">
        <v>2019</v>
      </c>
      <c r="D125" s="42"/>
      <c r="E125" s="189"/>
      <c r="F125" s="190"/>
      <c r="G125" s="190"/>
      <c r="H125" s="190"/>
      <c r="I125" s="190"/>
      <c r="J125" s="190"/>
      <c r="K125" s="190"/>
      <c r="L125" s="193"/>
      <c r="M125" s="199"/>
      <c r="N125" s="199"/>
    </row>
    <row r="126" spans="1:14">
      <c r="A126" s="2552"/>
      <c r="B126" s="2960"/>
      <c r="C126" s="116">
        <v>2020</v>
      </c>
      <c r="D126" s="42"/>
      <c r="E126" s="189"/>
      <c r="F126" s="190"/>
      <c r="G126" s="190"/>
      <c r="H126" s="190"/>
      <c r="I126" s="190"/>
      <c r="J126" s="190"/>
      <c r="K126" s="190"/>
      <c r="L126" s="193"/>
      <c r="M126" s="199"/>
      <c r="N126" s="199"/>
    </row>
    <row r="127" spans="1:14" ht="15.75" thickBot="1">
      <c r="A127" s="2961"/>
      <c r="B127" s="2962"/>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898" t="s">
        <v>74</v>
      </c>
      <c r="B129" s="2899" t="s">
        <v>61</v>
      </c>
      <c r="C129" s="1679" t="s">
        <v>8</v>
      </c>
      <c r="D129" s="1542" t="s">
        <v>75</v>
      </c>
      <c r="E129" s="1680"/>
      <c r="F129" s="1680"/>
      <c r="G129" s="1543"/>
      <c r="H129" s="199"/>
      <c r="I129" s="199"/>
      <c r="J129" s="199"/>
      <c r="K129" s="199"/>
      <c r="L129" s="199"/>
      <c r="M129" s="199"/>
      <c r="N129" s="199"/>
    </row>
    <row r="130" spans="1:16" ht="77.25" customHeight="1">
      <c r="A130" s="2778"/>
      <c r="B130" s="2154"/>
      <c r="C130" s="1655"/>
      <c r="D130" s="178" t="s">
        <v>76</v>
      </c>
      <c r="E130" s="207" t="s">
        <v>77</v>
      </c>
      <c r="F130" s="179" t="s">
        <v>78</v>
      </c>
      <c r="G130" s="208" t="s">
        <v>12</v>
      </c>
      <c r="H130" s="199"/>
      <c r="I130" s="199"/>
      <c r="J130" s="199"/>
      <c r="K130" s="199"/>
      <c r="L130" s="199"/>
      <c r="M130" s="199"/>
      <c r="N130" s="199"/>
    </row>
    <row r="131" spans="1:16" ht="15" customHeight="1">
      <c r="A131" s="2550"/>
      <c r="B131" s="2967"/>
      <c r="C131" s="112">
        <v>2015</v>
      </c>
      <c r="D131" s="33"/>
      <c r="E131" s="34"/>
      <c r="F131" s="34"/>
      <c r="G131" s="209">
        <f t="shared" ref="G131:G136" si="11">SUM(D131:F131)</f>
        <v>0</v>
      </c>
      <c r="H131" s="199"/>
      <c r="I131" s="199"/>
      <c r="J131" s="199"/>
      <c r="K131" s="199"/>
      <c r="L131" s="199"/>
      <c r="M131" s="199"/>
      <c r="N131" s="199"/>
    </row>
    <row r="132" spans="1:16">
      <c r="A132" s="2550"/>
      <c r="B132" s="2967"/>
      <c r="C132" s="116">
        <v>2016</v>
      </c>
      <c r="D132" s="50"/>
      <c r="E132" s="42"/>
      <c r="F132" s="42"/>
      <c r="G132" s="209">
        <f t="shared" si="11"/>
        <v>0</v>
      </c>
      <c r="H132" s="199"/>
      <c r="I132" s="199"/>
      <c r="J132" s="199"/>
      <c r="K132" s="199"/>
      <c r="L132" s="199"/>
      <c r="M132" s="199"/>
      <c r="N132" s="199"/>
    </row>
    <row r="133" spans="1:16">
      <c r="A133" s="2550"/>
      <c r="B133" s="2967"/>
      <c r="C133" s="116">
        <v>2017</v>
      </c>
      <c r="D133" s="50"/>
      <c r="E133" s="42"/>
      <c r="F133" s="42"/>
      <c r="G133" s="209">
        <f t="shared" si="11"/>
        <v>0</v>
      </c>
      <c r="H133" s="199"/>
      <c r="I133" s="199"/>
      <c r="J133" s="199"/>
      <c r="K133" s="199"/>
      <c r="L133" s="199"/>
      <c r="M133" s="199"/>
      <c r="N133" s="199"/>
    </row>
    <row r="134" spans="1:16">
      <c r="A134" s="2550"/>
      <c r="B134" s="2967"/>
      <c r="C134" s="116">
        <v>2018</v>
      </c>
      <c r="D134" s="50"/>
      <c r="E134" s="42"/>
      <c r="F134" s="42"/>
      <c r="G134" s="209">
        <f t="shared" si="11"/>
        <v>0</v>
      </c>
      <c r="H134" s="199"/>
      <c r="I134" s="199"/>
      <c r="J134" s="199"/>
      <c r="K134" s="199"/>
      <c r="L134" s="199"/>
      <c r="M134" s="199"/>
      <c r="N134" s="199"/>
    </row>
    <row r="135" spans="1:16">
      <c r="A135" s="2550"/>
      <c r="B135" s="2967"/>
      <c r="C135" s="116">
        <v>2019</v>
      </c>
      <c r="D135" s="50"/>
      <c r="E135" s="42"/>
      <c r="F135" s="42"/>
      <c r="G135" s="209">
        <f t="shared" si="11"/>
        <v>0</v>
      </c>
      <c r="H135" s="199"/>
      <c r="I135" s="199"/>
      <c r="J135" s="199"/>
      <c r="K135" s="199"/>
      <c r="L135" s="199"/>
      <c r="M135" s="199"/>
      <c r="N135" s="199"/>
    </row>
    <row r="136" spans="1:16">
      <c r="A136" s="2550"/>
      <c r="B136" s="2967"/>
      <c r="C136" s="116">
        <v>2020</v>
      </c>
      <c r="D136" s="50"/>
      <c r="E136" s="42"/>
      <c r="F136" s="42"/>
      <c r="G136" s="209">
        <f t="shared" si="11"/>
        <v>0</v>
      </c>
      <c r="H136" s="199"/>
      <c r="I136" s="199"/>
      <c r="J136" s="199"/>
      <c r="K136" s="199"/>
      <c r="L136" s="199"/>
      <c r="M136" s="199"/>
      <c r="N136" s="199"/>
    </row>
    <row r="137" spans="1:16" ht="17.25" customHeight="1" thickBot="1">
      <c r="A137" s="2009"/>
      <c r="B137" s="2968"/>
      <c r="C137" s="122" t="s">
        <v>12</v>
      </c>
      <c r="D137" s="151">
        <f>SUM(D131:D136)</f>
        <v>0</v>
      </c>
      <c r="E137" s="151">
        <f t="shared" ref="E137:F137" si="12">SUM(E131:E136)</f>
        <v>0</v>
      </c>
      <c r="F137" s="151">
        <f t="shared" si="12"/>
        <v>0</v>
      </c>
      <c r="G137" s="210">
        <f>SUM(G131:G136)</f>
        <v>0</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900" t="s">
        <v>80</v>
      </c>
      <c r="B142" s="2895" t="s">
        <v>61</v>
      </c>
      <c r="C142" s="2897" t="s">
        <v>8</v>
      </c>
      <c r="D142" s="1681" t="s">
        <v>81</v>
      </c>
      <c r="E142" s="1682"/>
      <c r="F142" s="1682"/>
      <c r="G142" s="1682"/>
      <c r="H142" s="1682"/>
      <c r="I142" s="1683"/>
      <c r="J142" s="2891" t="s">
        <v>82</v>
      </c>
      <c r="K142" s="2892"/>
      <c r="L142" s="2892"/>
      <c r="M142" s="2892"/>
      <c r="N142" s="2893"/>
      <c r="O142" s="177"/>
      <c r="P142" s="177"/>
    </row>
    <row r="143" spans="1:16" ht="113.25" customHeight="1">
      <c r="A143" s="2782"/>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552"/>
      <c r="B144" s="2960"/>
      <c r="C144" s="112">
        <v>2014</v>
      </c>
      <c r="D144" s="33"/>
      <c r="E144" s="33"/>
      <c r="F144" s="34"/>
      <c r="G144" s="187"/>
      <c r="H144" s="187"/>
      <c r="I144" s="227">
        <f>D144+F144+G144+H144</f>
        <v>0</v>
      </c>
      <c r="J144" s="228"/>
      <c r="K144" s="229"/>
      <c r="L144" s="228"/>
      <c r="M144" s="229"/>
      <c r="N144" s="230"/>
      <c r="O144" s="177"/>
      <c r="P144" s="177"/>
    </row>
    <row r="145" spans="1:16" ht="19.5" customHeight="1">
      <c r="A145" s="2552"/>
      <c r="B145" s="2960"/>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552"/>
      <c r="B146" s="2960"/>
      <c r="C146" s="116">
        <v>2016</v>
      </c>
      <c r="D146" s="50"/>
      <c r="E146" s="50"/>
      <c r="F146" s="42"/>
      <c r="G146" s="190"/>
      <c r="H146" s="190"/>
      <c r="I146" s="227">
        <f t="shared" si="13"/>
        <v>0</v>
      </c>
      <c r="J146" s="231"/>
      <c r="K146" s="232"/>
      <c r="L146" s="231"/>
      <c r="M146" s="232"/>
      <c r="N146" s="233"/>
      <c r="O146" s="177"/>
      <c r="P146" s="177"/>
    </row>
    <row r="147" spans="1:16" ht="17.25" customHeight="1">
      <c r="A147" s="2552"/>
      <c r="B147" s="2960"/>
      <c r="C147" s="116">
        <v>2017</v>
      </c>
      <c r="D147" s="50"/>
      <c r="E147" s="50"/>
      <c r="F147" s="42"/>
      <c r="G147" s="190"/>
      <c r="H147" s="190"/>
      <c r="I147" s="227">
        <f t="shared" si="13"/>
        <v>0</v>
      </c>
      <c r="J147" s="231"/>
      <c r="K147" s="232"/>
      <c r="L147" s="231"/>
      <c r="M147" s="232"/>
      <c r="N147" s="233"/>
      <c r="O147" s="177"/>
      <c r="P147" s="177"/>
    </row>
    <row r="148" spans="1:16" ht="19.5" customHeight="1">
      <c r="A148" s="2552"/>
      <c r="B148" s="2960"/>
      <c r="C148" s="116">
        <v>2018</v>
      </c>
      <c r="D148" s="50"/>
      <c r="E148" s="50"/>
      <c r="F148" s="42"/>
      <c r="G148" s="190"/>
      <c r="H148" s="190"/>
      <c r="I148" s="227">
        <f t="shared" si="13"/>
        <v>0</v>
      </c>
      <c r="J148" s="231"/>
      <c r="K148" s="232"/>
      <c r="L148" s="231"/>
      <c r="M148" s="232"/>
      <c r="N148" s="233"/>
      <c r="O148" s="177"/>
      <c r="P148" s="177"/>
    </row>
    <row r="149" spans="1:16" ht="19.5" customHeight="1">
      <c r="A149" s="2552"/>
      <c r="B149" s="2960"/>
      <c r="C149" s="116">
        <v>2019</v>
      </c>
      <c r="D149" s="50"/>
      <c r="E149" s="50"/>
      <c r="F149" s="42"/>
      <c r="G149" s="190"/>
      <c r="H149" s="190"/>
      <c r="I149" s="227">
        <f t="shared" si="13"/>
        <v>0</v>
      </c>
      <c r="J149" s="231"/>
      <c r="K149" s="232"/>
      <c r="L149" s="231"/>
      <c r="M149" s="232"/>
      <c r="N149" s="233"/>
      <c r="O149" s="177"/>
      <c r="P149" s="177"/>
    </row>
    <row r="150" spans="1:16" ht="18.75" customHeight="1">
      <c r="A150" s="2552"/>
      <c r="B150" s="2960"/>
      <c r="C150" s="116">
        <v>2020</v>
      </c>
      <c r="D150" s="50"/>
      <c r="E150" s="50"/>
      <c r="F150" s="42"/>
      <c r="G150" s="190"/>
      <c r="H150" s="190"/>
      <c r="I150" s="227">
        <f t="shared" si="13"/>
        <v>0</v>
      </c>
      <c r="J150" s="231"/>
      <c r="K150" s="232"/>
      <c r="L150" s="231"/>
      <c r="M150" s="232"/>
      <c r="N150" s="233"/>
      <c r="O150" s="177"/>
      <c r="P150" s="177"/>
    </row>
    <row r="151" spans="1:16" ht="18" customHeight="1" thickBot="1">
      <c r="A151" s="2961"/>
      <c r="B151" s="2962"/>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900" t="s">
        <v>93</v>
      </c>
      <c r="B153" s="2895" t="s">
        <v>61</v>
      </c>
      <c r="C153" s="2896" t="s">
        <v>8</v>
      </c>
      <c r="D153" s="1684" t="s">
        <v>94</v>
      </c>
      <c r="E153" s="1684"/>
      <c r="F153" s="1685"/>
      <c r="G153" s="1685"/>
      <c r="H153" s="1684" t="s">
        <v>95</v>
      </c>
      <c r="I153" s="1684"/>
      <c r="J153" s="1686"/>
      <c r="K153" s="31"/>
      <c r="L153" s="31"/>
      <c r="M153" s="31"/>
      <c r="N153" s="31"/>
      <c r="O153" s="177"/>
      <c r="P153" s="177"/>
    </row>
    <row r="154" spans="1:16" ht="49.5" customHeight="1">
      <c r="A154" s="2782"/>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552"/>
      <c r="B155" s="2960"/>
      <c r="C155" s="247">
        <v>2014</v>
      </c>
      <c r="D155" s="228"/>
      <c r="E155" s="187"/>
      <c r="F155" s="229"/>
      <c r="G155" s="227">
        <f>SUM(D155:F155)</f>
        <v>0</v>
      </c>
      <c r="H155" s="228"/>
      <c r="I155" s="187"/>
      <c r="J155" s="188"/>
      <c r="O155" s="177"/>
      <c r="P155" s="177"/>
    </row>
    <row r="156" spans="1:16" ht="19.5" customHeight="1">
      <c r="A156" s="2552"/>
      <c r="B156" s="2960"/>
      <c r="C156" s="248">
        <v>2015</v>
      </c>
      <c r="D156" s="231"/>
      <c r="E156" s="190"/>
      <c r="F156" s="232"/>
      <c r="G156" s="227">
        <f t="shared" ref="G156:G161" si="15">SUM(D156:F156)</f>
        <v>0</v>
      </c>
      <c r="H156" s="231"/>
      <c r="I156" s="190"/>
      <c r="J156" s="193"/>
      <c r="O156" s="177"/>
      <c r="P156" s="177"/>
    </row>
    <row r="157" spans="1:16" ht="17.25" customHeight="1">
      <c r="A157" s="2552"/>
      <c r="B157" s="2960"/>
      <c r="C157" s="248">
        <v>2016</v>
      </c>
      <c r="D157" s="231"/>
      <c r="E157" s="190"/>
      <c r="F157" s="232"/>
      <c r="G157" s="227">
        <f t="shared" si="15"/>
        <v>0</v>
      </c>
      <c r="H157" s="231"/>
      <c r="I157" s="190"/>
      <c r="J157" s="193"/>
      <c r="O157" s="177"/>
      <c r="P157" s="177"/>
    </row>
    <row r="158" spans="1:16" ht="15" customHeight="1">
      <c r="A158" s="2552"/>
      <c r="B158" s="2960"/>
      <c r="C158" s="248">
        <v>2017</v>
      </c>
      <c r="D158" s="231"/>
      <c r="E158" s="190"/>
      <c r="F158" s="232"/>
      <c r="G158" s="227">
        <f t="shared" si="15"/>
        <v>0</v>
      </c>
      <c r="H158" s="231"/>
      <c r="I158" s="190"/>
      <c r="J158" s="193"/>
      <c r="O158" s="177"/>
      <c r="P158" s="177"/>
    </row>
    <row r="159" spans="1:16" ht="19.5" customHeight="1">
      <c r="A159" s="2552"/>
      <c r="B159" s="2960"/>
      <c r="C159" s="248">
        <v>2018</v>
      </c>
      <c r="D159" s="231"/>
      <c r="E159" s="190"/>
      <c r="F159" s="232"/>
      <c r="G159" s="227">
        <f t="shared" si="15"/>
        <v>0</v>
      </c>
      <c r="H159" s="231"/>
      <c r="I159" s="190"/>
      <c r="J159" s="193"/>
      <c r="O159" s="177"/>
      <c r="P159" s="177"/>
    </row>
    <row r="160" spans="1:16" ht="15" customHeight="1">
      <c r="A160" s="2552"/>
      <c r="B160" s="2960"/>
      <c r="C160" s="248">
        <v>2019</v>
      </c>
      <c r="D160" s="231"/>
      <c r="E160" s="190"/>
      <c r="F160" s="232"/>
      <c r="G160" s="227">
        <f t="shared" si="15"/>
        <v>0</v>
      </c>
      <c r="H160" s="231"/>
      <c r="I160" s="190"/>
      <c r="J160" s="193"/>
      <c r="O160" s="177"/>
      <c r="P160" s="177"/>
    </row>
    <row r="161" spans="1:18" ht="17.25" customHeight="1">
      <c r="A161" s="2552"/>
      <c r="B161" s="2960"/>
      <c r="C161" s="248">
        <v>2020</v>
      </c>
      <c r="D161" s="231"/>
      <c r="E161" s="190"/>
      <c r="F161" s="232"/>
      <c r="G161" s="227">
        <f t="shared" si="15"/>
        <v>0</v>
      </c>
      <c r="H161" s="231"/>
      <c r="I161" s="190"/>
      <c r="J161" s="193"/>
      <c r="O161" s="177"/>
      <c r="P161" s="177"/>
    </row>
    <row r="162" spans="1:18" ht="15.75" thickBot="1">
      <c r="A162" s="2961"/>
      <c r="B162" s="2962"/>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1687"/>
      <c r="F163" s="177"/>
      <c r="G163" s="177"/>
      <c r="H163" s="177"/>
      <c r="I163" s="177"/>
      <c r="J163" s="255"/>
      <c r="K163" s="256"/>
    </row>
    <row r="164" spans="1:18" ht="95.25" customHeight="1">
      <c r="A164" s="1549" t="s">
        <v>102</v>
      </c>
      <c r="B164" s="258" t="s">
        <v>103</v>
      </c>
      <c r="C164" s="1447" t="s">
        <v>8</v>
      </c>
      <c r="D164" s="260" t="s">
        <v>104</v>
      </c>
      <c r="E164" s="260" t="s">
        <v>105</v>
      </c>
      <c r="F164" s="1688" t="s">
        <v>106</v>
      </c>
      <c r="G164" s="260" t="s">
        <v>107</v>
      </c>
      <c r="H164" s="260" t="s">
        <v>108</v>
      </c>
      <c r="I164" s="262" t="s">
        <v>109</v>
      </c>
      <c r="J164" s="1550" t="s">
        <v>110</v>
      </c>
      <c r="K164" s="1550" t="s">
        <v>111</v>
      </c>
      <c r="L164" s="1371"/>
    </row>
    <row r="165" spans="1:18" ht="15.75" customHeight="1">
      <c r="A165" s="2011"/>
      <c r="B165" s="2963"/>
      <c r="C165" s="265">
        <v>2014</v>
      </c>
      <c r="D165" s="187"/>
      <c r="E165" s="187"/>
      <c r="F165" s="187"/>
      <c r="G165" s="187"/>
      <c r="H165" s="187"/>
      <c r="I165" s="188"/>
      <c r="J165" s="1569">
        <f>SUM(D165,F165,H165)</f>
        <v>0</v>
      </c>
      <c r="K165" s="267">
        <f>SUM(E165,G165,I165)</f>
        <v>0</v>
      </c>
      <c r="L165" s="1371"/>
    </row>
    <row r="166" spans="1:18">
      <c r="A166" s="2013"/>
      <c r="B166" s="2964"/>
      <c r="C166" s="268">
        <v>2015</v>
      </c>
      <c r="D166" s="269"/>
      <c r="E166" s="269"/>
      <c r="F166" s="269"/>
      <c r="G166" s="269"/>
      <c r="H166" s="269"/>
      <c r="I166" s="270"/>
      <c r="J166" s="1570">
        <f t="shared" ref="J166:K171" si="17">SUM(D166,F166,H166)</f>
        <v>0</v>
      </c>
      <c r="K166" s="272">
        <f t="shared" si="17"/>
        <v>0</v>
      </c>
      <c r="L166" s="1371"/>
    </row>
    <row r="167" spans="1:18">
      <c r="A167" s="2013"/>
      <c r="B167" s="2964"/>
      <c r="C167" s="268">
        <v>2016</v>
      </c>
      <c r="D167" s="269"/>
      <c r="E167" s="269"/>
      <c r="F167" s="269"/>
      <c r="G167" s="269"/>
      <c r="H167" s="269"/>
      <c r="I167" s="270"/>
      <c r="J167" s="1570">
        <f t="shared" si="17"/>
        <v>0</v>
      </c>
      <c r="K167" s="272">
        <f t="shared" si="17"/>
        <v>0</v>
      </c>
    </row>
    <row r="168" spans="1:18">
      <c r="A168" s="2013"/>
      <c r="B168" s="2964"/>
      <c r="C168" s="268">
        <v>2017</v>
      </c>
      <c r="D168" s="269"/>
      <c r="E168" s="177"/>
      <c r="F168" s="269"/>
      <c r="G168" s="269"/>
      <c r="H168" s="269"/>
      <c r="I168" s="270"/>
      <c r="J168" s="1570">
        <f t="shared" si="17"/>
        <v>0</v>
      </c>
      <c r="K168" s="272">
        <f t="shared" si="17"/>
        <v>0</v>
      </c>
    </row>
    <row r="169" spans="1:18">
      <c r="A169" s="2013"/>
      <c r="B169" s="2964"/>
      <c r="C169" s="273">
        <v>2018</v>
      </c>
      <c r="D169" s="269"/>
      <c r="E169" s="269"/>
      <c r="F169" s="269"/>
      <c r="G169" s="274"/>
      <c r="H169" s="269"/>
      <c r="I169" s="270"/>
      <c r="J169" s="1570">
        <f t="shared" si="17"/>
        <v>0</v>
      </c>
      <c r="K169" s="272">
        <f t="shared" si="17"/>
        <v>0</v>
      </c>
      <c r="L169" s="1371"/>
    </row>
    <row r="170" spans="1:18">
      <c r="A170" s="2013"/>
      <c r="B170" s="2964"/>
      <c r="C170" s="268">
        <v>2019</v>
      </c>
      <c r="D170" s="177"/>
      <c r="E170" s="269"/>
      <c r="F170" s="269"/>
      <c r="G170" s="269"/>
      <c r="H170" s="274"/>
      <c r="I170" s="270"/>
      <c r="J170" s="1570">
        <f t="shared" si="17"/>
        <v>0</v>
      </c>
      <c r="K170" s="272">
        <f t="shared" si="17"/>
        <v>0</v>
      </c>
      <c r="L170" s="1371"/>
    </row>
    <row r="171" spans="1:18">
      <c r="A171" s="2013"/>
      <c r="B171" s="2964"/>
      <c r="C171" s="273">
        <v>2020</v>
      </c>
      <c r="D171" s="269"/>
      <c r="E171" s="269"/>
      <c r="F171" s="269"/>
      <c r="G171" s="269"/>
      <c r="H171" s="269"/>
      <c r="I171" s="270"/>
      <c r="J171" s="1570">
        <f t="shared" si="17"/>
        <v>0</v>
      </c>
      <c r="K171" s="272">
        <f t="shared" si="17"/>
        <v>0</v>
      </c>
      <c r="L171" s="1371"/>
    </row>
    <row r="172" spans="1:18" ht="41.25" customHeight="1" thickBot="1">
      <c r="A172" s="2015"/>
      <c r="B172" s="2965"/>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1371"/>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887" t="s">
        <v>113</v>
      </c>
      <c r="B176" s="2885" t="s">
        <v>114</v>
      </c>
      <c r="C176" s="2888" t="s">
        <v>8</v>
      </c>
      <c r="D176" s="1551" t="s">
        <v>115</v>
      </c>
      <c r="E176" s="1689"/>
      <c r="F176" s="1689"/>
      <c r="G176" s="1690"/>
      <c r="H176" s="1553"/>
      <c r="I176" s="2948" t="s">
        <v>116</v>
      </c>
      <c r="J176" s="2949"/>
      <c r="K176" s="2949"/>
      <c r="L176" s="2949"/>
      <c r="M176" s="2949"/>
      <c r="N176" s="2949"/>
      <c r="O176" s="2950"/>
    </row>
    <row r="177" spans="1:24" s="31" customFormat="1" ht="129.75" customHeight="1">
      <c r="A177" s="2793"/>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c r="P177" s="1702"/>
      <c r="Q177" s="1702"/>
      <c r="R177" s="1702"/>
      <c r="S177" s="1702"/>
      <c r="T177" s="1702"/>
      <c r="U177" s="1702"/>
      <c r="V177" s="1702"/>
      <c r="W177" s="1702"/>
      <c r="X177" s="1702"/>
    </row>
    <row r="178" spans="1:24" ht="15" customHeight="1">
      <c r="A178" s="2553" t="s">
        <v>523</v>
      </c>
      <c r="B178" s="2951"/>
      <c r="C178" s="112">
        <v>2014</v>
      </c>
      <c r="D178" s="33"/>
      <c r="E178" s="34"/>
      <c r="F178" s="34"/>
      <c r="G178" s="293">
        <f>SUM(D178:F178)</f>
        <v>0</v>
      </c>
      <c r="H178" s="167"/>
      <c r="I178" s="167"/>
      <c r="J178" s="34"/>
      <c r="K178" s="34"/>
      <c r="L178" s="34"/>
      <c r="M178" s="34"/>
      <c r="N178" s="34"/>
      <c r="O178" s="37"/>
      <c r="P178" s="172"/>
      <c r="Q178" s="172"/>
      <c r="R178" s="172"/>
      <c r="S178" s="172"/>
      <c r="T178" s="172"/>
      <c r="U178" s="172"/>
      <c r="V178" s="172"/>
      <c r="W178" s="172"/>
      <c r="X178" s="172"/>
    </row>
    <row r="179" spans="1:24">
      <c r="A179" s="2553"/>
      <c r="B179" s="2951"/>
      <c r="C179" s="116">
        <v>2015</v>
      </c>
      <c r="D179" s="50"/>
      <c r="E179" s="42"/>
      <c r="F179" s="42"/>
      <c r="G179" s="293">
        <f t="shared" ref="G179:G184" si="19">SUM(D179:F179)</f>
        <v>0</v>
      </c>
      <c r="H179" s="294"/>
      <c r="I179" s="118"/>
      <c r="J179" s="42"/>
      <c r="K179" s="42"/>
      <c r="L179" s="42"/>
      <c r="M179" s="42"/>
      <c r="N179" s="42"/>
      <c r="O179" s="99"/>
      <c r="P179" s="172"/>
      <c r="Q179" s="172"/>
      <c r="R179" s="172"/>
      <c r="S179" s="172"/>
      <c r="T179" s="172"/>
      <c r="U179" s="172"/>
      <c r="V179" s="172"/>
      <c r="W179" s="172"/>
      <c r="X179" s="172"/>
    </row>
    <row r="180" spans="1:24">
      <c r="A180" s="2553"/>
      <c r="B180" s="2951"/>
      <c r="C180" s="116">
        <v>2016</v>
      </c>
      <c r="D180" s="50">
        <v>3</v>
      </c>
      <c r="E180" s="42">
        <v>4</v>
      </c>
      <c r="F180" s="42"/>
      <c r="G180" s="293">
        <v>7</v>
      </c>
      <c r="H180" s="294">
        <v>15</v>
      </c>
      <c r="I180" s="118">
        <v>5</v>
      </c>
      <c r="J180" s="42"/>
      <c r="K180" s="42"/>
      <c r="L180" s="42"/>
      <c r="M180" s="42"/>
      <c r="N180" s="42"/>
      <c r="O180" s="99">
        <v>2</v>
      </c>
      <c r="P180" s="172"/>
      <c r="Q180" s="172"/>
      <c r="R180" s="172"/>
      <c r="S180" s="172"/>
      <c r="T180" s="172"/>
      <c r="U180" s="172"/>
      <c r="V180" s="172"/>
      <c r="W180" s="172"/>
      <c r="X180" s="172"/>
    </row>
    <row r="181" spans="1:24">
      <c r="A181" s="2553"/>
      <c r="B181" s="2951"/>
      <c r="C181" s="116">
        <v>2017</v>
      </c>
      <c r="D181" s="50"/>
      <c r="E181" s="42"/>
      <c r="F181" s="42"/>
      <c r="G181" s="293">
        <f t="shared" si="19"/>
        <v>0</v>
      </c>
      <c r="H181" s="294"/>
      <c r="I181" s="118"/>
      <c r="J181" s="42"/>
      <c r="K181" s="42"/>
      <c r="L181" s="42"/>
      <c r="M181" s="42"/>
      <c r="N181" s="42"/>
      <c r="O181" s="99"/>
      <c r="P181" s="172"/>
      <c r="Q181" s="172"/>
      <c r="R181" s="172"/>
      <c r="S181" s="172"/>
      <c r="T181" s="172"/>
      <c r="U181" s="172"/>
      <c r="V181" s="172"/>
      <c r="W181" s="172"/>
      <c r="X181" s="172"/>
    </row>
    <row r="182" spans="1:24">
      <c r="A182" s="2553"/>
      <c r="B182" s="2951"/>
      <c r="C182" s="116">
        <v>2018</v>
      </c>
      <c r="D182" s="50"/>
      <c r="E182" s="42"/>
      <c r="F182" s="42"/>
      <c r="G182" s="293">
        <f t="shared" si="19"/>
        <v>0</v>
      </c>
      <c r="H182" s="294"/>
      <c r="I182" s="118"/>
      <c r="J182" s="42"/>
      <c r="K182" s="42"/>
      <c r="L182" s="42"/>
      <c r="M182" s="42"/>
      <c r="N182" s="42"/>
      <c r="O182" s="99"/>
      <c r="P182" s="172"/>
      <c r="Q182" s="172"/>
      <c r="R182" s="172"/>
      <c r="S182" s="172"/>
      <c r="T182" s="172"/>
      <c r="U182" s="172"/>
      <c r="V182" s="172"/>
      <c r="W182" s="172"/>
      <c r="X182" s="172"/>
    </row>
    <row r="183" spans="1:24">
      <c r="A183" s="2553"/>
      <c r="B183" s="2951"/>
      <c r="C183" s="116">
        <v>2019</v>
      </c>
      <c r="D183" s="50"/>
      <c r="E183" s="42"/>
      <c r="F183" s="42"/>
      <c r="G183" s="293">
        <f t="shared" si="19"/>
        <v>0</v>
      </c>
      <c r="H183" s="294"/>
      <c r="I183" s="118"/>
      <c r="J183" s="42"/>
      <c r="K183" s="42"/>
      <c r="L183" s="42"/>
      <c r="M183" s="42"/>
      <c r="N183" s="42"/>
      <c r="O183" s="99"/>
      <c r="P183" s="172"/>
      <c r="Q183" s="172"/>
      <c r="R183" s="172"/>
      <c r="S183" s="172"/>
      <c r="T183" s="172"/>
      <c r="U183" s="172"/>
      <c r="V183" s="172"/>
      <c r="W183" s="172"/>
      <c r="X183" s="172"/>
    </row>
    <row r="184" spans="1:24">
      <c r="A184" s="2553"/>
      <c r="B184" s="2951"/>
      <c r="C184" s="116">
        <v>2020</v>
      </c>
      <c r="D184" s="50"/>
      <c r="E184" s="42"/>
      <c r="F184" s="42"/>
      <c r="G184" s="293">
        <f t="shared" si="19"/>
        <v>0</v>
      </c>
      <c r="H184" s="294"/>
      <c r="I184" s="118"/>
      <c r="J184" s="42"/>
      <c r="K184" s="42"/>
      <c r="L184" s="42"/>
      <c r="M184" s="42"/>
      <c r="N184" s="42"/>
      <c r="O184" s="99"/>
      <c r="P184" s="172"/>
      <c r="Q184" s="172"/>
      <c r="R184" s="172"/>
      <c r="S184" s="172"/>
      <c r="T184" s="172"/>
      <c r="U184" s="172"/>
      <c r="V184" s="172"/>
      <c r="W184" s="172"/>
      <c r="X184" s="172"/>
    </row>
    <row r="185" spans="1:24" ht="45" customHeight="1" thickBot="1">
      <c r="A185" s="2952"/>
      <c r="B185" s="2953"/>
      <c r="C185" s="122" t="s">
        <v>12</v>
      </c>
      <c r="D185" s="151">
        <f>SUM(D178:D184)</f>
        <v>3</v>
      </c>
      <c r="E185" s="125">
        <f>SUM(E178:E184)</f>
        <v>4</v>
      </c>
      <c r="F185" s="125">
        <f>SUM(F178:F184)</f>
        <v>0</v>
      </c>
      <c r="G185" s="234">
        <f t="shared" ref="G185:O185" si="20">SUM(G178:G184)</f>
        <v>7</v>
      </c>
      <c r="H185" s="295">
        <f t="shared" si="20"/>
        <v>15</v>
      </c>
      <c r="I185" s="124">
        <f t="shared" si="20"/>
        <v>5</v>
      </c>
      <c r="J185" s="125">
        <f t="shared" si="20"/>
        <v>0</v>
      </c>
      <c r="K185" s="125">
        <f t="shared" si="20"/>
        <v>0</v>
      </c>
      <c r="L185" s="125">
        <f t="shared" si="20"/>
        <v>0</v>
      </c>
      <c r="M185" s="125">
        <f t="shared" si="20"/>
        <v>0</v>
      </c>
      <c r="N185" s="125">
        <f t="shared" si="20"/>
        <v>0</v>
      </c>
      <c r="O185" s="126">
        <f t="shared" si="20"/>
        <v>2</v>
      </c>
      <c r="P185" s="172"/>
      <c r="Q185" s="172"/>
      <c r="R185" s="172"/>
      <c r="S185" s="172"/>
      <c r="T185" s="172"/>
      <c r="U185" s="172"/>
      <c r="V185" s="172"/>
      <c r="W185" s="172"/>
      <c r="X185" s="172"/>
    </row>
    <row r="186" spans="1:24" ht="33" customHeight="1" thickBot="1">
      <c r="P186" s="172"/>
      <c r="Q186" s="172"/>
      <c r="R186" s="172"/>
      <c r="S186" s="172"/>
      <c r="T186" s="172"/>
      <c r="U186" s="172"/>
      <c r="V186" s="172"/>
      <c r="W186" s="172"/>
      <c r="X186" s="172"/>
    </row>
    <row r="187" spans="1:24" ht="19.5" customHeight="1">
      <c r="A187" s="2954" t="s">
        <v>122</v>
      </c>
      <c r="B187" s="2885" t="s">
        <v>114</v>
      </c>
      <c r="C187" s="2956" t="s">
        <v>8</v>
      </c>
      <c r="D187" s="2000" t="s">
        <v>123</v>
      </c>
      <c r="E187" s="2886"/>
      <c r="F187" s="2886"/>
      <c r="G187" s="2759"/>
      <c r="H187" s="2958" t="s">
        <v>124</v>
      </c>
      <c r="I187" s="2886"/>
      <c r="J187" s="2886"/>
      <c r="K187" s="2886"/>
      <c r="L187" s="2959"/>
    </row>
    <row r="188" spans="1:24" ht="90" customHeight="1">
      <c r="A188" s="2955"/>
      <c r="B188" s="1997"/>
      <c r="C188" s="2957"/>
      <c r="D188" s="296" t="s">
        <v>125</v>
      </c>
      <c r="E188" s="296" t="s">
        <v>126</v>
      </c>
      <c r="F188" s="296" t="s">
        <v>127</v>
      </c>
      <c r="G188" s="297" t="s">
        <v>12</v>
      </c>
      <c r="H188" s="298" t="s">
        <v>128</v>
      </c>
      <c r="I188" s="296" t="s">
        <v>129</v>
      </c>
      <c r="J188" s="296" t="s">
        <v>130</v>
      </c>
      <c r="K188" s="296" t="s">
        <v>131</v>
      </c>
      <c r="L188" s="299" t="s">
        <v>132</v>
      </c>
    </row>
    <row r="189" spans="1:24" ht="15" customHeight="1">
      <c r="A189" s="2005" t="s">
        <v>524</v>
      </c>
      <c r="B189" s="2966"/>
      <c r="C189" s="392">
        <v>2014</v>
      </c>
      <c r="D189" s="142"/>
      <c r="E189" s="115"/>
      <c r="F189" s="115"/>
      <c r="G189" s="301">
        <f>SUM(D189:F189)</f>
        <v>0</v>
      </c>
      <c r="H189" s="114"/>
      <c r="I189" s="115"/>
      <c r="J189" s="115"/>
      <c r="K189" s="115"/>
      <c r="L189" s="143"/>
    </row>
    <row r="190" spans="1:24">
      <c r="A190" s="2550"/>
      <c r="B190" s="2967"/>
      <c r="C190" s="86">
        <v>2015</v>
      </c>
      <c r="D190" s="50"/>
      <c r="E190" s="42"/>
      <c r="F190" s="42"/>
      <c r="G190" s="301">
        <f t="shared" ref="G190:G195" si="21">SUM(D190:F190)</f>
        <v>0</v>
      </c>
      <c r="H190" s="118"/>
      <c r="I190" s="42"/>
      <c r="J190" s="42"/>
      <c r="K190" s="42"/>
      <c r="L190" s="99"/>
    </row>
    <row r="191" spans="1:24">
      <c r="A191" s="2550"/>
      <c r="B191" s="2967"/>
      <c r="C191" s="86">
        <v>2016</v>
      </c>
      <c r="D191" s="50">
        <v>203</v>
      </c>
      <c r="E191" s="42">
        <v>112</v>
      </c>
      <c r="F191" s="42"/>
      <c r="G191" s="301">
        <f t="shared" si="21"/>
        <v>315</v>
      </c>
      <c r="H191" s="118">
        <v>3</v>
      </c>
      <c r="I191" s="42">
        <v>0</v>
      </c>
      <c r="J191" s="42">
        <v>102</v>
      </c>
      <c r="K191" s="42">
        <v>19</v>
      </c>
      <c r="L191" s="99">
        <v>191</v>
      </c>
      <c r="M191" s="77"/>
      <c r="N191" s="77"/>
      <c r="O191" s="77"/>
      <c r="P191" s="77"/>
      <c r="Q191" s="77"/>
      <c r="R191" s="77"/>
    </row>
    <row r="192" spans="1:24">
      <c r="A192" s="2550"/>
      <c r="B192" s="2967"/>
      <c r="C192" s="86">
        <v>2017</v>
      </c>
      <c r="D192" s="50"/>
      <c r="E192" s="42"/>
      <c r="F192" s="42"/>
      <c r="G192" s="301">
        <f t="shared" si="21"/>
        <v>0</v>
      </c>
      <c r="H192" s="118"/>
      <c r="I192" s="42"/>
      <c r="J192" s="42"/>
      <c r="K192" s="42"/>
      <c r="L192" s="99"/>
    </row>
    <row r="193" spans="1:14">
      <c r="A193" s="2550"/>
      <c r="B193" s="2967"/>
      <c r="C193" s="86">
        <v>2018</v>
      </c>
      <c r="D193" s="50"/>
      <c r="E193" s="42"/>
      <c r="F193" s="42"/>
      <c r="G193" s="301">
        <f t="shared" si="21"/>
        <v>0</v>
      </c>
      <c r="H193" s="118"/>
      <c r="I193" s="42"/>
      <c r="J193" s="42"/>
      <c r="K193" s="42"/>
      <c r="L193" s="99"/>
    </row>
    <row r="194" spans="1:14">
      <c r="A194" s="2550"/>
      <c r="B194" s="2967"/>
      <c r="C194" s="86">
        <v>2019</v>
      </c>
      <c r="D194" s="50"/>
      <c r="E194" s="42"/>
      <c r="F194" s="42"/>
      <c r="G194" s="301">
        <f t="shared" si="21"/>
        <v>0</v>
      </c>
      <c r="H194" s="118"/>
      <c r="I194" s="42"/>
      <c r="J194" s="42"/>
      <c r="K194" s="42"/>
      <c r="L194" s="99"/>
    </row>
    <row r="195" spans="1:14">
      <c r="A195" s="2550"/>
      <c r="B195" s="2967"/>
      <c r="C195" s="86">
        <v>2020</v>
      </c>
      <c r="D195" s="50"/>
      <c r="E195" s="42"/>
      <c r="F195" s="42"/>
      <c r="G195" s="301">
        <f t="shared" si="21"/>
        <v>0</v>
      </c>
      <c r="H195" s="118"/>
      <c r="I195" s="42"/>
      <c r="J195" s="42"/>
      <c r="K195" s="42"/>
      <c r="L195" s="99"/>
    </row>
    <row r="196" spans="1:14" ht="15.75" thickBot="1">
      <c r="A196" s="2009"/>
      <c r="B196" s="2968"/>
      <c r="C196" s="148" t="s">
        <v>12</v>
      </c>
      <c r="D196" s="151">
        <f t="shared" ref="D196:L196" si="22">SUM(D189:D195)</f>
        <v>203</v>
      </c>
      <c r="E196" s="125">
        <f t="shared" si="22"/>
        <v>112</v>
      </c>
      <c r="F196" s="125"/>
      <c r="G196" s="304">
        <f t="shared" si="22"/>
        <v>315</v>
      </c>
      <c r="H196" s="124">
        <f t="shared" si="22"/>
        <v>3</v>
      </c>
      <c r="I196" s="125">
        <f t="shared" si="22"/>
        <v>0</v>
      </c>
      <c r="J196" s="125">
        <f t="shared" si="22"/>
        <v>102</v>
      </c>
      <c r="K196" s="125">
        <f t="shared" si="22"/>
        <v>19</v>
      </c>
      <c r="L196" s="126">
        <f t="shared" si="22"/>
        <v>191</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1691" t="s">
        <v>135</v>
      </c>
      <c r="B201" s="309" t="s">
        <v>114</v>
      </c>
      <c r="C201" s="310" t="s">
        <v>8</v>
      </c>
      <c r="D201" s="1555" t="s">
        <v>136</v>
      </c>
      <c r="E201" s="312" t="s">
        <v>137</v>
      </c>
      <c r="F201" s="312" t="s">
        <v>138</v>
      </c>
      <c r="G201" s="310" t="s">
        <v>139</v>
      </c>
      <c r="H201" s="1692" t="s">
        <v>140</v>
      </c>
      <c r="I201" s="1556" t="s">
        <v>141</v>
      </c>
      <c r="J201" s="1557" t="s">
        <v>142</v>
      </c>
      <c r="K201" s="312" t="s">
        <v>143</v>
      </c>
      <c r="L201" s="316" t="s">
        <v>144</v>
      </c>
    </row>
    <row r="202" spans="1:14" ht="15" customHeight="1">
      <c r="A202" s="2551"/>
      <c r="B202" s="2969"/>
      <c r="C202" s="84">
        <v>2014</v>
      </c>
      <c r="D202" s="33"/>
      <c r="E202" s="34"/>
      <c r="F202" s="34"/>
      <c r="G202" s="32"/>
      <c r="H202" s="317"/>
      <c r="I202" s="318"/>
      <c r="J202" s="319"/>
      <c r="K202" s="34"/>
      <c r="L202" s="37"/>
    </row>
    <row r="203" spans="1:14">
      <c r="A203" s="2551"/>
      <c r="B203" s="2969"/>
      <c r="C203" s="86">
        <v>2015</v>
      </c>
      <c r="D203" s="50"/>
      <c r="E203" s="42"/>
      <c r="F203" s="42"/>
      <c r="G203" s="39"/>
      <c r="H203" s="320"/>
      <c r="I203" s="321"/>
      <c r="J203" s="322"/>
      <c r="K203" s="42"/>
      <c r="L203" s="99"/>
    </row>
    <row r="204" spans="1:14">
      <c r="A204" s="2551"/>
      <c r="B204" s="2969"/>
      <c r="C204" s="86">
        <v>2016</v>
      </c>
      <c r="D204" s="50"/>
      <c r="E204" s="42"/>
      <c r="F204" s="42"/>
      <c r="G204" s="39"/>
      <c r="H204" s="320"/>
      <c r="I204" s="321"/>
      <c r="J204" s="322"/>
      <c r="K204" s="42"/>
      <c r="L204" s="99"/>
    </row>
    <row r="205" spans="1:14">
      <c r="A205" s="2551"/>
      <c r="B205" s="2969"/>
      <c r="C205" s="86">
        <v>2017</v>
      </c>
      <c r="D205" s="50"/>
      <c r="E205" s="42"/>
      <c r="F205" s="42"/>
      <c r="G205" s="39"/>
      <c r="H205" s="320"/>
      <c r="I205" s="321"/>
      <c r="J205" s="322"/>
      <c r="K205" s="42"/>
      <c r="L205" s="99"/>
    </row>
    <row r="206" spans="1:14">
      <c r="A206" s="2551"/>
      <c r="B206" s="2969"/>
      <c r="C206" s="86">
        <v>2018</v>
      </c>
      <c r="D206" s="50"/>
      <c r="E206" s="42"/>
      <c r="F206" s="42"/>
      <c r="G206" s="39"/>
      <c r="H206" s="320"/>
      <c r="I206" s="321"/>
      <c r="J206" s="322"/>
      <c r="K206" s="42"/>
      <c r="L206" s="99"/>
    </row>
    <row r="207" spans="1:14">
      <c r="A207" s="2551"/>
      <c r="B207" s="2969"/>
      <c r="C207" s="86">
        <v>2019</v>
      </c>
      <c r="D207" s="50"/>
      <c r="E207" s="42"/>
      <c r="F207" s="42"/>
      <c r="G207" s="39"/>
      <c r="H207" s="320"/>
      <c r="I207" s="321"/>
      <c r="J207" s="322"/>
      <c r="K207" s="42"/>
      <c r="L207" s="99"/>
    </row>
    <row r="208" spans="1:14">
      <c r="A208" s="2551"/>
      <c r="B208" s="2969"/>
      <c r="C208" s="86">
        <v>2020</v>
      </c>
      <c r="D208" s="1657"/>
      <c r="E208" s="324"/>
      <c r="F208" s="324"/>
      <c r="G208" s="325"/>
      <c r="H208" s="326"/>
      <c r="I208" s="327"/>
      <c r="J208" s="328"/>
      <c r="K208" s="324"/>
      <c r="L208" s="329"/>
    </row>
    <row r="209" spans="1:24" ht="20.25" customHeight="1" thickBot="1">
      <c r="A209" s="1989"/>
      <c r="B209" s="2970"/>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0" spans="1:24">
      <c r="M210" s="172"/>
      <c r="N210" s="172"/>
      <c r="O210" s="172"/>
      <c r="P210" s="172"/>
      <c r="Q210" s="172"/>
      <c r="R210" s="172"/>
      <c r="S210" s="172"/>
      <c r="T210" s="172"/>
      <c r="U210" s="172"/>
      <c r="V210" s="172"/>
      <c r="W210" s="172"/>
      <c r="X210" s="172"/>
    </row>
    <row r="211" spans="1:24" ht="15.75" thickBot="1">
      <c r="J211" s="121"/>
      <c r="K211" s="121"/>
      <c r="L211" s="121"/>
      <c r="M211" s="121"/>
      <c r="N211" s="172"/>
      <c r="O211" s="172"/>
      <c r="P211" s="172"/>
      <c r="Q211" s="172"/>
      <c r="R211" s="172"/>
      <c r="S211" s="172"/>
      <c r="T211" s="172"/>
      <c r="U211" s="172"/>
      <c r="V211" s="172"/>
      <c r="W211" s="172"/>
      <c r="X211" s="172"/>
    </row>
    <row r="212" spans="1:24" ht="29.25">
      <c r="A212" s="1693" t="s">
        <v>145</v>
      </c>
      <c r="B212" s="331" t="s">
        <v>146</v>
      </c>
      <c r="C212" s="332">
        <v>2014</v>
      </c>
      <c r="D212" s="333">
        <v>2015</v>
      </c>
      <c r="E212" s="333">
        <v>2016</v>
      </c>
      <c r="F212" s="333">
        <v>2017</v>
      </c>
      <c r="G212" s="333">
        <v>2018</v>
      </c>
      <c r="H212" s="333">
        <v>2019</v>
      </c>
      <c r="I212" s="332">
        <v>2020</v>
      </c>
      <c r="J212" s="353"/>
      <c r="K212" s="353"/>
      <c r="L212" s="121"/>
      <c r="M212" s="121"/>
      <c r="N212" s="172"/>
      <c r="O212" s="121"/>
      <c r="P212" s="121"/>
      <c r="Q212" s="1698"/>
      <c r="R212" s="1698"/>
      <c r="S212" s="1698"/>
      <c r="T212" s="1698"/>
      <c r="U212" s="121"/>
      <c r="V212" s="121"/>
      <c r="W212" s="172"/>
      <c r="X212" s="172"/>
    </row>
    <row r="213" spans="1:24" ht="15" customHeight="1">
      <c r="A213" t="s">
        <v>147</v>
      </c>
      <c r="B213" s="2196" t="s">
        <v>525</v>
      </c>
      <c r="C213" s="84"/>
      <c r="D213" s="147">
        <v>9057.92</v>
      </c>
      <c r="E213" s="147">
        <v>153429.97</v>
      </c>
      <c r="F213" s="147"/>
      <c r="G213" s="147"/>
      <c r="H213" s="147"/>
      <c r="I213" s="86"/>
      <c r="J213" s="121"/>
      <c r="K213" s="121"/>
      <c r="L213" s="121"/>
      <c r="M213" s="121"/>
      <c r="N213" s="172"/>
      <c r="O213" s="121"/>
      <c r="P213" s="121"/>
      <c r="Q213" s="1699"/>
      <c r="R213" s="1699"/>
      <c r="S213" s="1699"/>
      <c r="T213" s="1699"/>
      <c r="U213" s="1699"/>
      <c r="V213" s="1699"/>
      <c r="W213" s="172"/>
      <c r="X213" s="172"/>
    </row>
    <row r="214" spans="1:24">
      <c r="A214" t="s">
        <v>149</v>
      </c>
      <c r="B214" s="2168"/>
      <c r="C214" s="84"/>
      <c r="D214" s="147">
        <v>9057.92</v>
      </c>
      <c r="E214" s="147">
        <v>32056.34</v>
      </c>
      <c r="F214" s="147"/>
      <c r="G214" s="147"/>
      <c r="H214" s="147"/>
      <c r="I214" s="86"/>
      <c r="J214" s="121"/>
      <c r="K214" s="121"/>
      <c r="L214" s="121"/>
      <c r="M214" s="121"/>
      <c r="N214" s="172"/>
      <c r="O214" s="2946"/>
      <c r="P214" s="2947"/>
      <c r="Q214" s="1699"/>
      <c r="R214" s="1699"/>
      <c r="S214" s="1699"/>
      <c r="T214" s="1699"/>
      <c r="U214" s="1699"/>
      <c r="V214" s="1699"/>
      <c r="W214" s="172"/>
      <c r="X214" s="172"/>
    </row>
    <row r="215" spans="1:24">
      <c r="A215" t="s">
        <v>150</v>
      </c>
      <c r="B215" s="2168"/>
      <c r="C215" s="84"/>
      <c r="D215" s="147"/>
      <c r="E215" s="147"/>
      <c r="F215" s="147"/>
      <c r="G215" s="147"/>
      <c r="H215" s="147"/>
      <c r="I215" s="86"/>
      <c r="J215" s="121"/>
      <c r="K215" s="121"/>
      <c r="L215" s="121"/>
      <c r="M215" s="121"/>
      <c r="N215" s="172"/>
      <c r="O215" s="121"/>
      <c r="P215" s="121"/>
      <c r="Q215" s="1699"/>
      <c r="R215" s="1699"/>
      <c r="S215" s="1699"/>
      <c r="T215" s="1699"/>
      <c r="U215" s="1699"/>
      <c r="V215" s="1699"/>
      <c r="W215" s="172"/>
      <c r="X215" s="172"/>
    </row>
    <row r="216" spans="1:24">
      <c r="A216" t="s">
        <v>151</v>
      </c>
      <c r="B216" s="2168"/>
      <c r="C216" s="84"/>
      <c r="D216" s="147"/>
      <c r="E216" s="147"/>
      <c r="F216" s="147"/>
      <c r="G216" s="147"/>
      <c r="H216" s="147"/>
      <c r="I216" s="86"/>
      <c r="J216" s="121"/>
      <c r="K216" s="121"/>
      <c r="L216" s="121"/>
      <c r="M216" s="121"/>
      <c r="N216" s="172"/>
      <c r="O216" s="121"/>
      <c r="P216" s="121"/>
      <c r="Q216" s="1699"/>
      <c r="R216" s="1699"/>
      <c r="S216" s="1699"/>
      <c r="T216" s="1699"/>
      <c r="U216" s="1699"/>
      <c r="V216" s="1699"/>
      <c r="W216" s="172"/>
      <c r="X216" s="172"/>
    </row>
    <row r="217" spans="1:24">
      <c r="A217" t="s">
        <v>152</v>
      </c>
      <c r="B217" s="2168"/>
      <c r="C217" s="84"/>
      <c r="D217" s="147"/>
      <c r="E217" s="147">
        <v>121373.63</v>
      </c>
      <c r="F217" s="147"/>
      <c r="G217" s="147"/>
      <c r="H217" s="147"/>
      <c r="I217" s="86"/>
      <c r="J217" s="121"/>
      <c r="K217" s="121"/>
      <c r="L217" s="121"/>
      <c r="M217" s="121"/>
      <c r="N217" s="172"/>
      <c r="O217" s="121"/>
      <c r="P217" s="121"/>
      <c r="Q217" s="1699"/>
      <c r="R217" s="1699"/>
      <c r="S217" s="1699"/>
      <c r="T217" s="1699"/>
      <c r="U217" s="1699"/>
      <c r="V217" s="1699"/>
      <c r="W217" s="172"/>
      <c r="X217" s="172"/>
    </row>
    <row r="218" spans="1:24" ht="30">
      <c r="A218" s="31" t="s">
        <v>153</v>
      </c>
      <c r="B218" s="2168"/>
      <c r="C218" s="84"/>
      <c r="D218" s="147">
        <v>91892.85</v>
      </c>
      <c r="E218" s="147">
        <v>101828.53</v>
      </c>
      <c r="F218" s="147"/>
      <c r="G218" s="147"/>
      <c r="H218" s="147"/>
      <c r="I218" s="86"/>
      <c r="J218" s="121"/>
      <c r="K218" s="121"/>
      <c r="L218" s="121"/>
      <c r="M218" s="121"/>
      <c r="N218" s="172"/>
      <c r="O218" s="172"/>
      <c r="P218" s="172"/>
      <c r="Q218" s="172"/>
      <c r="R218" s="172"/>
      <c r="S218" s="172"/>
      <c r="T218" s="172"/>
      <c r="U218" s="172"/>
      <c r="V218" s="172"/>
      <c r="W218" s="172"/>
      <c r="X218" s="172"/>
    </row>
    <row r="219" spans="1:24" ht="15.75" thickBot="1">
      <c r="A219" s="1656"/>
      <c r="B219" s="2169"/>
      <c r="C219" s="54" t="s">
        <v>12</v>
      </c>
      <c r="D219" s="337">
        <f>SUM(D214:D218)</f>
        <v>100950.77</v>
      </c>
      <c r="E219" s="337">
        <f t="shared" ref="E219:I219" si="24">SUM(E214:E218)</f>
        <v>255258.5</v>
      </c>
      <c r="F219" s="337">
        <f t="shared" si="24"/>
        <v>0</v>
      </c>
      <c r="G219" s="337">
        <f t="shared" si="24"/>
        <v>0</v>
      </c>
      <c r="H219" s="337">
        <f t="shared" si="24"/>
        <v>0</v>
      </c>
      <c r="I219" s="54">
        <f t="shared" si="24"/>
        <v>0</v>
      </c>
      <c r="J219" s="121"/>
      <c r="K219" s="121"/>
      <c r="L219" s="121"/>
      <c r="M219" s="121"/>
      <c r="N219" s="172"/>
      <c r="O219" s="172"/>
      <c r="P219" s="172"/>
      <c r="Q219" s="172"/>
      <c r="R219" s="172"/>
      <c r="S219" s="172"/>
      <c r="T219" s="172"/>
      <c r="U219" s="172"/>
      <c r="V219" s="172"/>
      <c r="W219" s="172"/>
      <c r="X219" s="172"/>
    </row>
    <row r="220" spans="1:24">
      <c r="J220" s="121"/>
      <c r="K220" s="121"/>
      <c r="L220" s="121"/>
      <c r="M220" s="121"/>
      <c r="N220" s="1702"/>
      <c r="O220" s="172"/>
      <c r="P220" s="172"/>
      <c r="Q220" s="172"/>
      <c r="R220" s="172"/>
      <c r="S220" s="172"/>
      <c r="T220" s="172"/>
      <c r="U220" s="172"/>
      <c r="V220" s="172"/>
      <c r="W220" s="172"/>
      <c r="X220" s="172"/>
    </row>
    <row r="221" spans="1:24">
      <c r="M221" s="172"/>
      <c r="N221" s="172"/>
      <c r="O221" s="172"/>
      <c r="P221" s="172"/>
      <c r="Q221" s="172"/>
      <c r="R221" s="172"/>
      <c r="S221" s="172"/>
      <c r="T221" s="172"/>
      <c r="U221" s="172"/>
      <c r="V221" s="172"/>
      <c r="W221" s="172"/>
      <c r="X221" s="172"/>
    </row>
    <row r="222" spans="1:24">
      <c r="M222" s="172"/>
      <c r="N222" s="172"/>
      <c r="O222" s="172"/>
      <c r="P222" s="172"/>
      <c r="Q222" s="172"/>
      <c r="R222" s="172"/>
      <c r="S222" s="172"/>
      <c r="T222" s="172"/>
      <c r="U222" s="172"/>
      <c r="V222" s="172"/>
      <c r="W222" s="172"/>
      <c r="X222" s="172"/>
    </row>
    <row r="223" spans="1:24">
      <c r="M223" s="172"/>
      <c r="N223" s="172"/>
      <c r="O223" s="172"/>
      <c r="P223" s="172"/>
      <c r="Q223" s="172"/>
      <c r="R223" s="172"/>
      <c r="S223" s="172"/>
      <c r="T223" s="172"/>
      <c r="U223" s="172"/>
      <c r="V223" s="172"/>
      <c r="W223" s="172"/>
      <c r="X223" s="172"/>
    </row>
    <row r="224" spans="1:24">
      <c r="M224" s="172"/>
      <c r="N224" s="172"/>
      <c r="O224" s="172"/>
      <c r="P224" s="172"/>
      <c r="Q224" s="172"/>
      <c r="R224" s="172"/>
      <c r="S224" s="172"/>
      <c r="T224" s="172"/>
      <c r="U224" s="172"/>
      <c r="V224" s="172"/>
      <c r="W224" s="172"/>
      <c r="X224" s="172"/>
    </row>
    <row r="225" spans="1:24">
      <c r="M225" s="172"/>
      <c r="N225" s="172"/>
      <c r="O225" s="172"/>
      <c r="P225" s="172"/>
      <c r="Q225" s="172"/>
      <c r="R225" s="172"/>
      <c r="S225" s="172"/>
      <c r="T225" s="172"/>
      <c r="U225" s="172"/>
      <c r="V225" s="172"/>
      <c r="W225" s="172"/>
      <c r="X225" s="172"/>
    </row>
    <row r="226" spans="1:24">
      <c r="M226" s="172"/>
      <c r="N226" s="172"/>
      <c r="O226" s="172"/>
      <c r="P226" s="172"/>
      <c r="Q226" s="172"/>
      <c r="R226" s="172"/>
      <c r="S226" s="172"/>
      <c r="T226" s="172"/>
      <c r="U226" s="172"/>
      <c r="V226" s="172"/>
      <c r="W226" s="172"/>
      <c r="X226" s="172"/>
    </row>
    <row r="227" spans="1:24">
      <c r="A227" s="31"/>
    </row>
  </sheetData>
  <mergeCells count="69">
    <mergeCell ref="R16:X16"/>
    <mergeCell ref="B1:F1"/>
    <mergeCell ref="F3:O3"/>
    <mergeCell ref="A4:O10"/>
    <mergeCell ref="D15:G15"/>
    <mergeCell ref="P16:Q16"/>
    <mergeCell ref="M61:T61"/>
    <mergeCell ref="A17:B24"/>
    <mergeCell ref="P19:Q19"/>
    <mergeCell ref="R25:X25"/>
    <mergeCell ref="D26:G26"/>
    <mergeCell ref="R26:X26"/>
    <mergeCell ref="A28:B35"/>
    <mergeCell ref="A40:B47"/>
    <mergeCell ref="A50:B58"/>
    <mergeCell ref="A60:A61"/>
    <mergeCell ref="C60:C61"/>
    <mergeCell ref="D60:D61"/>
    <mergeCell ref="D107:D108"/>
    <mergeCell ref="A62:B69"/>
    <mergeCell ref="M62:X62"/>
    <mergeCell ref="M63:X63"/>
    <mergeCell ref="M64:X64"/>
    <mergeCell ref="M65:W65"/>
    <mergeCell ref="M66:U66"/>
    <mergeCell ref="M67:U67"/>
    <mergeCell ref="A98:B105"/>
    <mergeCell ref="C107:C108"/>
    <mergeCell ref="C96:C97"/>
    <mergeCell ref="D96:E96"/>
    <mergeCell ref="A142:A143"/>
    <mergeCell ref="B142:B143"/>
    <mergeCell ref="C142:C143"/>
    <mergeCell ref="A72:B79"/>
    <mergeCell ref="A85:B92"/>
    <mergeCell ref="A96:A97"/>
    <mergeCell ref="B96:B97"/>
    <mergeCell ref="A109:B116"/>
    <mergeCell ref="A107:A108"/>
    <mergeCell ref="B107:B108"/>
    <mergeCell ref="J142:N142"/>
    <mergeCell ref="A153:A154"/>
    <mergeCell ref="B153:B154"/>
    <mergeCell ref="C153:C154"/>
    <mergeCell ref="A144:B151"/>
    <mergeCell ref="A118:A119"/>
    <mergeCell ref="B118:B119"/>
    <mergeCell ref="C118:C119"/>
    <mergeCell ref="D118:D119"/>
    <mergeCell ref="A120:B127"/>
    <mergeCell ref="A129:A130"/>
    <mergeCell ref="B129:B130"/>
    <mergeCell ref="A131:B137"/>
    <mergeCell ref="A155:B162"/>
    <mergeCell ref="A165:B172"/>
    <mergeCell ref="A189:B196"/>
    <mergeCell ref="A202:B209"/>
    <mergeCell ref="B213:B219"/>
    <mergeCell ref="O214:P214"/>
    <mergeCell ref="I176:O176"/>
    <mergeCell ref="A178:B185"/>
    <mergeCell ref="A187:A188"/>
    <mergeCell ref="B187:B188"/>
    <mergeCell ref="C187:C188"/>
    <mergeCell ref="D187:G187"/>
    <mergeCell ref="H187:L187"/>
    <mergeCell ref="A176:A177"/>
    <mergeCell ref="B176:B177"/>
    <mergeCell ref="C176:C177"/>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6"/>
  <dimension ref="A1:Y242"/>
  <sheetViews>
    <sheetView topLeftCell="A202" workbookViewId="0">
      <selection activeCell="D213" sqref="D213:E213"/>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3009" t="s">
        <v>526</v>
      </c>
      <c r="C1" s="3010"/>
      <c r="D1" s="3010"/>
      <c r="E1" s="3010"/>
      <c r="F1" s="3010"/>
    </row>
    <row r="2" spans="1:25" s="2" customFormat="1" ht="20.100000000000001" customHeight="1" thickBot="1">
      <c r="B2" s="1703" t="s">
        <v>527</v>
      </c>
    </row>
    <row r="3" spans="1:25" s="5" customFormat="1" ht="20.100000000000001" customHeight="1">
      <c r="A3" s="1571" t="s">
        <v>1</v>
      </c>
      <c r="B3" s="1572"/>
      <c r="C3" s="1572"/>
      <c r="D3" s="1572"/>
      <c r="E3" s="1572"/>
      <c r="F3" s="2768"/>
      <c r="G3" s="2768"/>
      <c r="H3" s="2768"/>
      <c r="I3" s="2768"/>
      <c r="J3" s="2768"/>
      <c r="K3" s="2768"/>
      <c r="L3" s="2768"/>
      <c r="M3" s="2768"/>
      <c r="N3" s="2768"/>
      <c r="O3" s="2769"/>
    </row>
    <row r="4" spans="1:25" s="5" customFormat="1" ht="20.100000000000001" customHeight="1">
      <c r="A4" s="2566" t="s">
        <v>2</v>
      </c>
      <c r="B4" s="2081"/>
      <c r="C4" s="2081"/>
      <c r="D4" s="2081"/>
      <c r="E4" s="2081"/>
      <c r="F4" s="2081"/>
      <c r="G4" s="2081"/>
      <c r="H4" s="2081"/>
      <c r="I4" s="2081"/>
      <c r="J4" s="2081"/>
      <c r="K4" s="2081"/>
      <c r="L4" s="2081"/>
      <c r="M4" s="2081"/>
      <c r="N4" s="2081"/>
      <c r="O4" s="2082"/>
    </row>
    <row r="5" spans="1:25" s="5" customFormat="1" ht="20.100000000000001" customHeight="1">
      <c r="A5" s="2566"/>
      <c r="B5" s="2081"/>
      <c r="C5" s="2081"/>
      <c r="D5" s="2081"/>
      <c r="E5" s="2081"/>
      <c r="F5" s="2081"/>
      <c r="G5" s="2081"/>
      <c r="H5" s="2081"/>
      <c r="I5" s="2081"/>
      <c r="J5" s="2081"/>
      <c r="K5" s="2081"/>
      <c r="L5" s="2081"/>
      <c r="M5" s="2081"/>
      <c r="N5" s="2081"/>
      <c r="O5" s="2082"/>
    </row>
    <row r="6" spans="1:25" s="5" customFormat="1" ht="20.100000000000001" customHeight="1">
      <c r="A6" s="2566"/>
      <c r="B6" s="2081"/>
      <c r="C6" s="2081"/>
      <c r="D6" s="2081"/>
      <c r="E6" s="2081"/>
      <c r="F6" s="2081"/>
      <c r="G6" s="2081"/>
      <c r="H6" s="2081"/>
      <c r="I6" s="2081"/>
      <c r="J6" s="2081"/>
      <c r="K6" s="2081"/>
      <c r="L6" s="2081"/>
      <c r="M6" s="2081"/>
      <c r="N6" s="2081"/>
      <c r="O6" s="2082"/>
    </row>
    <row r="7" spans="1:25" s="5" customFormat="1" ht="20.100000000000001" customHeight="1">
      <c r="A7" s="2566"/>
      <c r="B7" s="2081"/>
      <c r="C7" s="2081"/>
      <c r="D7" s="2081"/>
      <c r="E7" s="2081"/>
      <c r="F7" s="2081"/>
      <c r="G7" s="2081"/>
      <c r="H7" s="2081"/>
      <c r="I7" s="2081"/>
      <c r="J7" s="2081"/>
      <c r="K7" s="2081"/>
      <c r="L7" s="2081"/>
      <c r="M7" s="2081"/>
      <c r="N7" s="2081"/>
      <c r="O7" s="2082"/>
    </row>
    <row r="8" spans="1:25" s="5" customFormat="1" ht="20.100000000000001" customHeight="1">
      <c r="A8" s="2566"/>
      <c r="B8" s="2081"/>
      <c r="C8" s="2081"/>
      <c r="D8" s="2081"/>
      <c r="E8" s="2081"/>
      <c r="F8" s="2081"/>
      <c r="G8" s="2081"/>
      <c r="H8" s="2081"/>
      <c r="I8" s="2081"/>
      <c r="J8" s="2081"/>
      <c r="K8" s="2081"/>
      <c r="L8" s="2081"/>
      <c r="M8" s="2081"/>
      <c r="N8" s="2081"/>
      <c r="O8" s="2082"/>
    </row>
    <row r="9" spans="1:25" s="5" customFormat="1" ht="20.100000000000001" customHeight="1">
      <c r="A9" s="2566"/>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1666"/>
      <c r="B15" s="1667"/>
      <c r="C15" s="11"/>
      <c r="D15" s="2718" t="s">
        <v>4</v>
      </c>
      <c r="E15" s="2902"/>
      <c r="F15" s="2902"/>
      <c r="G15" s="2902"/>
      <c r="H15" s="1520"/>
      <c r="I15" s="13" t="s">
        <v>5</v>
      </c>
      <c r="J15" s="14"/>
      <c r="K15" s="14"/>
      <c r="L15" s="14"/>
      <c r="M15" s="14"/>
      <c r="N15" s="14"/>
      <c r="O15" s="15"/>
      <c r="P15" s="16"/>
      <c r="Q15" s="17"/>
      <c r="R15" s="18"/>
      <c r="S15" s="18"/>
      <c r="T15" s="18"/>
      <c r="U15" s="18"/>
      <c r="V15" s="18"/>
      <c r="W15" s="16"/>
      <c r="X15" s="16"/>
      <c r="Y15" s="17"/>
    </row>
    <row r="16" spans="1:25" s="31" customFormat="1" ht="129" customHeight="1" thickBot="1">
      <c r="A16" s="1567"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3011" t="s">
        <v>528</v>
      </c>
      <c r="B17" s="3012"/>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983"/>
      <c r="B18" s="2253"/>
      <c r="C18" s="39">
        <v>2015</v>
      </c>
      <c r="D18" s="50">
        <v>1</v>
      </c>
      <c r="E18" s="42"/>
      <c r="F18" s="42"/>
      <c r="G18" s="35">
        <f>SUM(D18:F18)</f>
        <v>1</v>
      </c>
      <c r="H18" s="51">
        <v>1</v>
      </c>
      <c r="I18" s="42"/>
      <c r="J18" s="42"/>
      <c r="K18" s="42"/>
      <c r="L18" s="42"/>
      <c r="M18" s="42"/>
      <c r="N18" s="42"/>
      <c r="O18" s="52"/>
      <c r="P18" s="38"/>
      <c r="Q18" s="38"/>
      <c r="R18" s="38"/>
      <c r="S18" s="38"/>
      <c r="T18" s="38"/>
      <c r="U18" s="38"/>
      <c r="V18" s="38"/>
      <c r="W18" s="38"/>
      <c r="X18" s="38"/>
      <c r="Y18" s="38"/>
    </row>
    <row r="19" spans="1:25">
      <c r="A19" s="2983"/>
      <c r="B19" s="2253"/>
      <c r="C19" s="39">
        <v>2016</v>
      </c>
      <c r="D19" s="50">
        <v>4</v>
      </c>
      <c r="E19" s="42"/>
      <c r="F19" s="42"/>
      <c r="G19" s="35">
        <f t="shared" si="0"/>
        <v>4</v>
      </c>
      <c r="H19" s="51">
        <v>2</v>
      </c>
      <c r="I19" s="42"/>
      <c r="J19" s="42"/>
      <c r="K19" s="42"/>
      <c r="L19" s="42"/>
      <c r="M19" s="42"/>
      <c r="N19" s="42"/>
      <c r="O19" s="52">
        <v>2</v>
      </c>
      <c r="P19" s="38"/>
      <c r="Q19" s="38"/>
      <c r="R19" s="38"/>
      <c r="S19" s="38"/>
      <c r="T19" s="38"/>
      <c r="U19" s="38"/>
      <c r="V19" s="38"/>
      <c r="W19" s="38"/>
      <c r="X19" s="38"/>
      <c r="Y19" s="38"/>
    </row>
    <row r="20" spans="1:25">
      <c r="A20" s="2983"/>
      <c r="B20" s="2253"/>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2983"/>
      <c r="B21" s="2253"/>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2983"/>
      <c r="B22" s="2253"/>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2983"/>
      <c r="B23" s="2253"/>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117" customHeight="1" thickBot="1">
      <c r="A24" s="2408"/>
      <c r="B24" s="2256"/>
      <c r="C24" s="54" t="s">
        <v>12</v>
      </c>
      <c r="D24" s="55">
        <f>SUM(D17:D23)</f>
        <v>5</v>
      </c>
      <c r="E24" s="56">
        <f>SUM(E17:E23)</f>
        <v>0</v>
      </c>
      <c r="F24" s="56">
        <f>SUM(F17:F23)</f>
        <v>0</v>
      </c>
      <c r="G24" s="57">
        <f>SUM(D24:F24)</f>
        <v>5</v>
      </c>
      <c r="H24" s="58">
        <f>SUM(H17:H23)</f>
        <v>3</v>
      </c>
      <c r="I24" s="59">
        <f>SUM(I17:I23)</f>
        <v>0</v>
      </c>
      <c r="J24" s="59">
        <f t="shared" ref="J24:N24" si="1">SUM(J17:J23)</f>
        <v>0</v>
      </c>
      <c r="K24" s="59">
        <f t="shared" si="1"/>
        <v>0</v>
      </c>
      <c r="L24" s="59">
        <f t="shared" si="1"/>
        <v>0</v>
      </c>
      <c r="M24" s="59">
        <f t="shared" si="1"/>
        <v>0</v>
      </c>
      <c r="N24" s="59">
        <f t="shared" si="1"/>
        <v>0</v>
      </c>
      <c r="O24" s="60">
        <f>SUM(O17:O23)</f>
        <v>2</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1666"/>
      <c r="B26" s="1667"/>
      <c r="C26" s="63"/>
      <c r="D26" s="2723" t="s">
        <v>4</v>
      </c>
      <c r="E26" s="2903"/>
      <c r="F26" s="2903"/>
      <c r="G26" s="2904"/>
      <c r="H26" s="16"/>
      <c r="I26" s="17"/>
      <c r="J26" s="18"/>
      <c r="K26" s="18"/>
      <c r="L26" s="18"/>
      <c r="M26" s="18"/>
      <c r="N26" s="18"/>
      <c r="O26" s="16"/>
      <c r="P26" s="16"/>
    </row>
    <row r="27" spans="1:25" s="31" customFormat="1" ht="93" customHeight="1">
      <c r="A27" s="1364"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550"/>
      <c r="B28" s="1988"/>
      <c r="C28" s="68">
        <v>2014</v>
      </c>
      <c r="D28" s="36"/>
      <c r="E28" s="34"/>
      <c r="F28" s="34"/>
      <c r="G28" s="69">
        <f>SUM(D28:F28)</f>
        <v>0</v>
      </c>
      <c r="H28" s="38"/>
      <c r="I28" s="38"/>
      <c r="J28" s="38"/>
      <c r="K28" s="38"/>
      <c r="L28" s="38"/>
      <c r="M28" s="38"/>
      <c r="N28" s="38"/>
      <c r="O28" s="38"/>
      <c r="P28" s="38"/>
      <c r="Q28" s="8"/>
    </row>
    <row r="29" spans="1:25">
      <c r="A29" s="2551"/>
      <c r="B29" s="1988"/>
      <c r="C29" s="70">
        <v>2015</v>
      </c>
      <c r="D29" s="51">
        <v>55</v>
      </c>
      <c r="E29" s="42"/>
      <c r="F29" s="42"/>
      <c r="G29" s="69">
        <f t="shared" ref="G29:G35" si="2">SUM(D29:F29)</f>
        <v>55</v>
      </c>
      <c r="H29" s="38"/>
      <c r="I29" s="38"/>
      <c r="J29" s="38"/>
      <c r="K29" s="38"/>
      <c r="L29" s="38"/>
      <c r="M29" s="38"/>
      <c r="N29" s="38"/>
      <c r="O29" s="38"/>
      <c r="P29" s="38"/>
      <c r="Q29" s="8"/>
    </row>
    <row r="30" spans="1:25">
      <c r="A30" s="2551"/>
      <c r="B30" s="1988"/>
      <c r="C30" s="70">
        <v>2016</v>
      </c>
      <c r="D30" s="51">
        <v>285</v>
      </c>
      <c r="E30" s="42"/>
      <c r="F30" s="42"/>
      <c r="G30" s="69">
        <f t="shared" si="2"/>
        <v>285</v>
      </c>
      <c r="H30" s="38"/>
      <c r="I30" s="38"/>
      <c r="J30" s="38"/>
      <c r="K30" s="38"/>
      <c r="L30" s="38"/>
      <c r="M30" s="38"/>
      <c r="N30" s="38"/>
      <c r="O30" s="38"/>
      <c r="P30" s="38"/>
      <c r="Q30" s="8"/>
    </row>
    <row r="31" spans="1:25">
      <c r="A31" s="2551"/>
      <c r="B31" s="1988"/>
      <c r="C31" s="70">
        <v>2017</v>
      </c>
      <c r="D31" s="51"/>
      <c r="E31" s="42"/>
      <c r="F31" s="42"/>
      <c r="G31" s="69">
        <f t="shared" si="2"/>
        <v>0</v>
      </c>
      <c r="H31" s="38"/>
      <c r="I31" s="38"/>
      <c r="J31" s="38"/>
      <c r="K31" s="38"/>
      <c r="L31" s="38"/>
      <c r="M31" s="38"/>
      <c r="N31" s="38"/>
      <c r="O31" s="38"/>
      <c r="P31" s="38"/>
      <c r="Q31" s="8"/>
    </row>
    <row r="32" spans="1:25">
      <c r="A32" s="2551"/>
      <c r="B32" s="1988"/>
      <c r="C32" s="70">
        <v>2018</v>
      </c>
      <c r="D32" s="51"/>
      <c r="E32" s="42"/>
      <c r="F32" s="42"/>
      <c r="G32" s="69">
        <f>SUM(D32:F32)</f>
        <v>0</v>
      </c>
      <c r="H32" s="38"/>
      <c r="I32" s="38"/>
      <c r="J32" s="38"/>
      <c r="K32" s="38"/>
      <c r="L32" s="38"/>
      <c r="M32" s="38"/>
      <c r="N32" s="38"/>
      <c r="O32" s="38"/>
      <c r="P32" s="38"/>
      <c r="Q32" s="8"/>
    </row>
    <row r="33" spans="1:17">
      <c r="A33" s="2551"/>
      <c r="B33" s="1988"/>
      <c r="C33" s="72">
        <v>2019</v>
      </c>
      <c r="D33" s="51"/>
      <c r="E33" s="42"/>
      <c r="F33" s="42"/>
      <c r="G33" s="69">
        <f t="shared" si="2"/>
        <v>0</v>
      </c>
      <c r="H33" s="38"/>
      <c r="I33" s="38"/>
      <c r="J33" s="38"/>
      <c r="K33" s="38"/>
      <c r="L33" s="38"/>
      <c r="M33" s="38"/>
      <c r="N33" s="38"/>
      <c r="O33" s="38"/>
      <c r="P33" s="38"/>
      <c r="Q33" s="8"/>
    </row>
    <row r="34" spans="1:17">
      <c r="A34" s="2551"/>
      <c r="B34" s="1988"/>
      <c r="C34" s="70">
        <v>2020</v>
      </c>
      <c r="D34" s="51"/>
      <c r="E34" s="42"/>
      <c r="F34" s="42"/>
      <c r="G34" s="69">
        <f t="shared" si="2"/>
        <v>0</v>
      </c>
      <c r="H34" s="38"/>
      <c r="I34" s="38"/>
      <c r="J34" s="38"/>
      <c r="K34" s="38"/>
      <c r="L34" s="38"/>
      <c r="M34" s="38"/>
      <c r="N34" s="38"/>
      <c r="O34" s="38"/>
      <c r="P34" s="38"/>
      <c r="Q34" s="8"/>
    </row>
    <row r="35" spans="1:17" ht="20.25" customHeight="1" thickBot="1">
      <c r="A35" s="1989"/>
      <c r="B35" s="1990"/>
      <c r="C35" s="73" t="s">
        <v>12</v>
      </c>
      <c r="D35" s="58">
        <f>SUM(D28:D34)</f>
        <v>340</v>
      </c>
      <c r="E35" s="56">
        <f>SUM(E28:E34)</f>
        <v>0</v>
      </c>
      <c r="F35" s="56">
        <f>SUM(F28:F34)</f>
        <v>0</v>
      </c>
      <c r="G35" s="60">
        <f t="shared" si="2"/>
        <v>340</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1669" t="s">
        <v>25</v>
      </c>
      <c r="B39" s="1670" t="s">
        <v>7</v>
      </c>
      <c r="C39" s="80" t="s">
        <v>8</v>
      </c>
      <c r="D39" s="1523" t="s">
        <v>26</v>
      </c>
      <c r="E39" s="352" t="s">
        <v>27</v>
      </c>
      <c r="F39" s="353"/>
      <c r="G39" s="30"/>
      <c r="H39" s="30"/>
    </row>
    <row r="40" spans="1:17">
      <c r="A40" s="3013" t="s">
        <v>529</v>
      </c>
      <c r="B40" s="3014"/>
      <c r="C40" s="84">
        <v>2014</v>
      </c>
      <c r="D40" s="33"/>
      <c r="E40" s="32"/>
      <c r="F40" s="8"/>
      <c r="G40" s="38"/>
      <c r="H40" s="38"/>
    </row>
    <row r="41" spans="1:17">
      <c r="A41" s="3013"/>
      <c r="B41" s="3014"/>
      <c r="C41" s="86">
        <v>2015</v>
      </c>
      <c r="D41" s="50"/>
      <c r="E41" s="39"/>
      <c r="F41" s="8"/>
      <c r="G41" s="38"/>
      <c r="H41" s="38"/>
    </row>
    <row r="42" spans="1:17">
      <c r="A42" s="3013"/>
      <c r="B42" s="3014"/>
      <c r="C42" s="86">
        <v>2016</v>
      </c>
      <c r="D42" s="50"/>
      <c r="E42" s="39"/>
      <c r="F42" s="8"/>
      <c r="G42" s="38"/>
      <c r="H42" s="38"/>
    </row>
    <row r="43" spans="1:17">
      <c r="A43" s="3013"/>
      <c r="B43" s="3014"/>
      <c r="C43" s="86">
        <v>2017</v>
      </c>
      <c r="D43" s="50"/>
      <c r="E43" s="39"/>
      <c r="F43" s="8"/>
      <c r="G43" s="38"/>
      <c r="H43" s="38"/>
    </row>
    <row r="44" spans="1:17">
      <c r="A44" s="3013"/>
      <c r="B44" s="3014"/>
      <c r="C44" s="86">
        <v>2018</v>
      </c>
      <c r="D44" s="50"/>
      <c r="E44" s="39"/>
      <c r="F44" s="8"/>
      <c r="G44" s="38"/>
      <c r="H44" s="38"/>
    </row>
    <row r="45" spans="1:17">
      <c r="A45" s="3013"/>
      <c r="B45" s="3014"/>
      <c r="C45" s="86">
        <v>2019</v>
      </c>
      <c r="D45" s="50"/>
      <c r="E45" s="39"/>
      <c r="F45" s="8"/>
      <c r="G45" s="38"/>
      <c r="H45" s="38"/>
    </row>
    <row r="46" spans="1:17">
      <c r="A46" s="3013"/>
      <c r="B46" s="3014"/>
      <c r="C46" s="86">
        <v>2020</v>
      </c>
      <c r="D46" s="50"/>
      <c r="E46" s="39"/>
      <c r="F46" s="8"/>
      <c r="G46" s="38"/>
      <c r="H46" s="38"/>
    </row>
    <row r="47" spans="1:17" ht="15.75" thickBot="1">
      <c r="A47" s="3015"/>
      <c r="B47" s="3016"/>
      <c r="C47" s="54" t="s">
        <v>12</v>
      </c>
      <c r="D47" s="55">
        <f>SUM(D40:D46)</f>
        <v>0</v>
      </c>
      <c r="E47" s="419">
        <f>SUM(E40:E46)</f>
        <v>0</v>
      </c>
      <c r="F47" s="121"/>
      <c r="G47" s="38"/>
      <c r="H47" s="38"/>
    </row>
    <row r="48" spans="1:17" s="38" customFormat="1" ht="15.75" thickBot="1">
      <c r="A48" s="1671"/>
      <c r="B48" s="92"/>
      <c r="C48" s="93"/>
    </row>
    <row r="49" spans="1:15" ht="83.25" customHeight="1">
      <c r="A49" s="1527" t="s">
        <v>29</v>
      </c>
      <c r="B49" s="1670" t="s">
        <v>7</v>
      </c>
      <c r="C49" s="95" t="s">
        <v>8</v>
      </c>
      <c r="D49" s="1523" t="s">
        <v>30</v>
      </c>
      <c r="E49" s="96" t="s">
        <v>31</v>
      </c>
      <c r="F49" s="96" t="s">
        <v>32</v>
      </c>
      <c r="G49" s="96" t="s">
        <v>33</v>
      </c>
      <c r="H49" s="96" t="s">
        <v>34</v>
      </c>
      <c r="I49" s="96" t="s">
        <v>35</v>
      </c>
      <c r="J49" s="96" t="s">
        <v>36</v>
      </c>
      <c r="K49" s="97" t="s">
        <v>37</v>
      </c>
    </row>
    <row r="50" spans="1:15" ht="17.25" customHeight="1">
      <c r="A50" s="2005" t="s">
        <v>530</v>
      </c>
      <c r="B50" s="2012"/>
      <c r="C50" s="98" t="s">
        <v>38</v>
      </c>
      <c r="D50" s="33"/>
      <c r="E50" s="34"/>
      <c r="F50" s="34"/>
      <c r="G50" s="34"/>
      <c r="H50" s="34"/>
      <c r="I50" s="34"/>
      <c r="J50" s="34"/>
      <c r="K50" s="37"/>
    </row>
    <row r="51" spans="1:15" ht="15" customHeight="1">
      <c r="A51" s="2550"/>
      <c r="B51" s="2014"/>
      <c r="C51" s="86">
        <v>2014</v>
      </c>
      <c r="D51" s="50"/>
      <c r="E51" s="42"/>
      <c r="F51" s="42"/>
      <c r="G51" s="42"/>
      <c r="H51" s="42"/>
      <c r="I51" s="42"/>
      <c r="J51" s="42"/>
      <c r="K51" s="99"/>
    </row>
    <row r="52" spans="1:15">
      <c r="A52" s="2550"/>
      <c r="B52" s="2014"/>
      <c r="C52" s="86">
        <v>2015</v>
      </c>
      <c r="D52" s="50"/>
      <c r="E52" s="42"/>
      <c r="F52" s="42"/>
      <c r="G52" s="42"/>
      <c r="H52" s="42"/>
      <c r="I52" s="42"/>
      <c r="J52" s="42"/>
      <c r="K52" s="99"/>
    </row>
    <row r="53" spans="1:15">
      <c r="A53" s="2550"/>
      <c r="B53" s="2014"/>
      <c r="C53" s="86">
        <v>2016</v>
      </c>
      <c r="D53" s="50"/>
      <c r="E53" s="42"/>
      <c r="F53" s="42"/>
      <c r="G53" s="42"/>
      <c r="H53" s="42"/>
      <c r="I53" s="42"/>
      <c r="J53" s="42"/>
      <c r="K53" s="99"/>
    </row>
    <row r="54" spans="1:15">
      <c r="A54" s="2550"/>
      <c r="B54" s="2014"/>
      <c r="C54" s="86">
        <v>2017</v>
      </c>
      <c r="D54" s="50"/>
      <c r="E54" s="42"/>
      <c r="F54" s="42"/>
      <c r="G54" s="42"/>
      <c r="H54" s="42"/>
      <c r="I54" s="42"/>
      <c r="J54" s="42"/>
      <c r="K54" s="99"/>
    </row>
    <row r="55" spans="1:15">
      <c r="A55" s="2550"/>
      <c r="B55" s="2014"/>
      <c r="C55" s="86">
        <v>2018</v>
      </c>
      <c r="D55" s="50"/>
      <c r="E55" s="42"/>
      <c r="F55" s="42"/>
      <c r="G55" s="42"/>
      <c r="H55" s="42"/>
      <c r="I55" s="42"/>
      <c r="J55" s="42"/>
      <c r="K55" s="99"/>
    </row>
    <row r="56" spans="1:15">
      <c r="A56" s="2550"/>
      <c r="B56" s="2014"/>
      <c r="C56" s="86">
        <v>2019</v>
      </c>
      <c r="D56" s="50"/>
      <c r="E56" s="42"/>
      <c r="F56" s="42"/>
      <c r="G56" s="42"/>
      <c r="H56" s="42"/>
      <c r="I56" s="42"/>
      <c r="J56" s="42"/>
      <c r="K56" s="99"/>
    </row>
    <row r="57" spans="1:15">
      <c r="A57" s="2550"/>
      <c r="B57" s="2014"/>
      <c r="C57" s="86">
        <v>2020</v>
      </c>
      <c r="D57" s="50"/>
      <c r="E57" s="42"/>
      <c r="F57" s="42"/>
      <c r="G57" s="42"/>
      <c r="H57" s="42"/>
      <c r="I57" s="42"/>
      <c r="J57" s="42"/>
      <c r="K57" s="100"/>
    </row>
    <row r="58" spans="1:15" ht="20.25" customHeight="1" thickBot="1">
      <c r="A58" s="2009"/>
      <c r="B58" s="2016"/>
      <c r="C58" s="54" t="s">
        <v>12</v>
      </c>
      <c r="D58" s="55">
        <f>SUM(D51:D57)</f>
        <v>0</v>
      </c>
      <c r="E58" s="56">
        <f>SUM(E51:E57)</f>
        <v>0</v>
      </c>
      <c r="F58" s="56">
        <f>SUM(F51:F57)</f>
        <v>0</v>
      </c>
      <c r="G58" s="56">
        <f>SUM(G51:G57)</f>
        <v>0</v>
      </c>
      <c r="H58" s="56">
        <f>SUM(H51:H57)</f>
        <v>0</v>
      </c>
      <c r="I58" s="56">
        <f t="shared" ref="I58" si="3">SUM(I51:I57)</f>
        <v>0</v>
      </c>
      <c r="J58" s="56">
        <f>SUM(J51:J57)</f>
        <v>0</v>
      </c>
      <c r="K58" s="60">
        <f>SUM(K50:K56)</f>
        <v>0</v>
      </c>
    </row>
    <row r="59" spans="1:15" ht="15.75" thickBot="1"/>
    <row r="60" spans="1:15" ht="21" customHeight="1">
      <c r="A60" s="2905" t="s">
        <v>39</v>
      </c>
      <c r="B60" s="1672"/>
      <c r="C60" s="2906" t="s">
        <v>8</v>
      </c>
      <c r="D60" s="2671" t="s">
        <v>40</v>
      </c>
      <c r="E60" s="1477" t="s">
        <v>5</v>
      </c>
      <c r="F60" s="1673"/>
      <c r="G60" s="1673"/>
      <c r="H60" s="1673"/>
      <c r="I60" s="1673"/>
      <c r="J60" s="1673"/>
      <c r="K60" s="1673"/>
      <c r="L60" s="1674"/>
    </row>
    <row r="61" spans="1:15" ht="115.5" customHeight="1">
      <c r="A61" s="2775"/>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998" t="s">
        <v>531</v>
      </c>
      <c r="B62" s="2258"/>
      <c r="C62" s="112">
        <v>2014</v>
      </c>
      <c r="D62" s="113"/>
      <c r="E62" s="114"/>
      <c r="F62" s="115"/>
      <c r="G62" s="115"/>
      <c r="H62" s="115"/>
      <c r="I62" s="115"/>
      <c r="J62" s="115"/>
      <c r="K62" s="115"/>
      <c r="L62" s="37"/>
      <c r="M62" s="8"/>
      <c r="N62" s="8"/>
      <c r="O62" s="8"/>
    </row>
    <row r="63" spans="1:15">
      <c r="A63" s="2998"/>
      <c r="B63" s="2258"/>
      <c r="C63" s="116">
        <v>2015</v>
      </c>
      <c r="D63" s="117"/>
      <c r="E63" s="118"/>
      <c r="F63" s="42"/>
      <c r="G63" s="42"/>
      <c r="H63" s="42"/>
      <c r="I63" s="42"/>
      <c r="J63" s="42"/>
      <c r="K63" s="42"/>
      <c r="L63" s="99"/>
      <c r="M63" s="8"/>
      <c r="N63" s="8"/>
      <c r="O63" s="8"/>
    </row>
    <row r="64" spans="1:15">
      <c r="A64" s="2998"/>
      <c r="B64" s="2258"/>
      <c r="C64" s="116">
        <v>2016</v>
      </c>
      <c r="D64" s="117">
        <v>25</v>
      </c>
      <c r="E64" s="118"/>
      <c r="F64" s="42">
        <v>23</v>
      </c>
      <c r="G64" s="42">
        <v>2</v>
      </c>
      <c r="H64" s="42"/>
      <c r="I64" s="42"/>
      <c r="J64" s="42"/>
      <c r="K64" s="42"/>
      <c r="L64" s="99"/>
      <c r="M64" s="8"/>
      <c r="N64" s="8"/>
      <c r="O64" s="8"/>
    </row>
    <row r="65" spans="1:20">
      <c r="A65" s="2998"/>
      <c r="B65" s="2258"/>
      <c r="C65" s="116">
        <v>2017</v>
      </c>
      <c r="D65" s="117"/>
      <c r="E65" s="118"/>
      <c r="F65" s="42"/>
      <c r="G65" s="42"/>
      <c r="H65" s="42"/>
      <c r="I65" s="42"/>
      <c r="J65" s="42"/>
      <c r="K65" s="42"/>
      <c r="L65" s="99"/>
      <c r="M65" s="8"/>
      <c r="N65" s="8"/>
      <c r="O65" s="8"/>
    </row>
    <row r="66" spans="1:20">
      <c r="A66" s="2998"/>
      <c r="B66" s="2258"/>
      <c r="C66" s="116">
        <v>2018</v>
      </c>
      <c r="D66" s="117"/>
      <c r="E66" s="118"/>
      <c r="F66" s="42"/>
      <c r="G66" s="42"/>
      <c r="H66" s="42"/>
      <c r="I66" s="42"/>
      <c r="J66" s="42"/>
      <c r="K66" s="42"/>
      <c r="L66" s="99"/>
      <c r="M66" s="8"/>
      <c r="N66" s="8"/>
      <c r="O66" s="8"/>
    </row>
    <row r="67" spans="1:20" ht="17.25" customHeight="1">
      <c r="A67" s="2998"/>
      <c r="B67" s="2258"/>
      <c r="C67" s="116">
        <v>2019</v>
      </c>
      <c r="D67" s="117"/>
      <c r="E67" s="118"/>
      <c r="F67" s="42"/>
      <c r="G67" s="42"/>
      <c r="H67" s="42"/>
      <c r="I67" s="42"/>
      <c r="J67" s="42"/>
      <c r="K67" s="42"/>
      <c r="L67" s="99"/>
      <c r="M67" s="8"/>
      <c r="N67" s="8"/>
      <c r="O67" s="8"/>
    </row>
    <row r="68" spans="1:20" ht="16.5" customHeight="1">
      <c r="A68" s="2998"/>
      <c r="B68" s="2258"/>
      <c r="C68" s="116">
        <v>2020</v>
      </c>
      <c r="D68" s="117"/>
      <c r="E68" s="118"/>
      <c r="F68" s="42"/>
      <c r="G68" s="42"/>
      <c r="H68" s="42"/>
      <c r="I68" s="42"/>
      <c r="J68" s="42"/>
      <c r="K68" s="42"/>
      <c r="L68" s="99"/>
      <c r="M68" s="121"/>
      <c r="N68" s="121"/>
      <c r="O68" s="121"/>
    </row>
    <row r="69" spans="1:20" ht="18" customHeight="1" thickBot="1">
      <c r="A69" s="3005"/>
      <c r="B69" s="3006"/>
      <c r="C69" s="122" t="s">
        <v>12</v>
      </c>
      <c r="D69" s="123">
        <f>SUM(D62:D68)</f>
        <v>25</v>
      </c>
      <c r="E69" s="124">
        <f>SUM(E62:E68)</f>
        <v>0</v>
      </c>
      <c r="F69" s="125">
        <f t="shared" ref="F69:I69" si="4">SUM(F62:F68)</f>
        <v>23</v>
      </c>
      <c r="G69" s="125">
        <f t="shared" si="4"/>
        <v>2</v>
      </c>
      <c r="H69" s="125">
        <f t="shared" si="4"/>
        <v>0</v>
      </c>
      <c r="I69" s="125">
        <f t="shared" si="4"/>
        <v>0</v>
      </c>
      <c r="J69" s="125"/>
      <c r="K69" s="125">
        <f>SUM(K62:K68)</f>
        <v>0</v>
      </c>
      <c r="L69" s="126">
        <f>SUM(L62:L68)</f>
        <v>0</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1669" t="s">
        <v>42</v>
      </c>
      <c r="B71" s="1670" t="s">
        <v>7</v>
      </c>
      <c r="C71" s="80" t="s">
        <v>8</v>
      </c>
      <c r="D71" s="132" t="s">
        <v>43</v>
      </c>
      <c r="E71" s="132" t="s">
        <v>44</v>
      </c>
      <c r="F71" s="133" t="s">
        <v>45</v>
      </c>
      <c r="G71" s="1532" t="s">
        <v>46</v>
      </c>
      <c r="H71" s="135" t="s">
        <v>13</v>
      </c>
      <c r="I71" s="136" t="s">
        <v>14</v>
      </c>
      <c r="J71" s="137" t="s">
        <v>15</v>
      </c>
      <c r="K71" s="136" t="s">
        <v>16</v>
      </c>
      <c r="L71" s="136" t="s">
        <v>17</v>
      </c>
      <c r="M71" s="138" t="s">
        <v>18</v>
      </c>
      <c r="N71" s="137" t="s">
        <v>19</v>
      </c>
      <c r="O71" s="139" t="s">
        <v>20</v>
      </c>
    </row>
    <row r="72" spans="1:20" ht="15" customHeight="1">
      <c r="A72" s="2550" t="s">
        <v>532</v>
      </c>
      <c r="B72" s="2025"/>
      <c r="C72" s="84">
        <v>2014</v>
      </c>
      <c r="D72" s="140"/>
      <c r="E72" s="140"/>
      <c r="F72" s="140"/>
      <c r="G72" s="141">
        <f>SUM(D72:F72)</f>
        <v>0</v>
      </c>
      <c r="H72" s="33"/>
      <c r="I72" s="142"/>
      <c r="J72" s="115"/>
      <c r="K72" s="115"/>
      <c r="L72" s="115"/>
      <c r="M72" s="115"/>
      <c r="N72" s="115"/>
      <c r="O72" s="143"/>
    </row>
    <row r="73" spans="1:20">
      <c r="A73" s="2551"/>
      <c r="B73" s="2025"/>
      <c r="C73" s="86">
        <v>2015</v>
      </c>
      <c r="D73" s="147"/>
      <c r="E73" s="147"/>
      <c r="F73" s="147"/>
      <c r="G73" s="141"/>
      <c r="H73" s="50"/>
      <c r="I73" s="50"/>
      <c r="J73" s="42"/>
      <c r="K73" s="42"/>
      <c r="L73" s="42"/>
      <c r="M73" s="42"/>
      <c r="N73" s="42"/>
      <c r="O73" s="99"/>
    </row>
    <row r="74" spans="1:20">
      <c r="A74" s="2551"/>
      <c r="B74" s="2025"/>
      <c r="C74" s="86">
        <v>2016</v>
      </c>
      <c r="D74" s="147"/>
      <c r="E74" s="147"/>
      <c r="F74" s="147">
        <v>1</v>
      </c>
      <c r="G74" s="141">
        <v>1</v>
      </c>
      <c r="H74" s="50">
        <v>1</v>
      </c>
      <c r="I74" s="50"/>
      <c r="J74" s="42"/>
      <c r="K74" s="42"/>
      <c r="L74" s="42"/>
      <c r="M74" s="42"/>
      <c r="N74" s="42"/>
      <c r="O74" s="99"/>
    </row>
    <row r="75" spans="1:20">
      <c r="A75" s="2551"/>
      <c r="B75" s="2025"/>
      <c r="C75" s="86">
        <v>2017</v>
      </c>
      <c r="D75" s="147"/>
      <c r="E75" s="147"/>
      <c r="F75" s="147"/>
      <c r="G75" s="141">
        <f t="shared" ref="G75:G78" si="5">SUM(D75:F75)</f>
        <v>0</v>
      </c>
      <c r="H75" s="50"/>
      <c r="I75" s="50"/>
      <c r="J75" s="42"/>
      <c r="K75" s="42"/>
      <c r="L75" s="42"/>
      <c r="M75" s="42"/>
      <c r="N75" s="42"/>
      <c r="O75" s="99"/>
    </row>
    <row r="76" spans="1:20">
      <c r="A76" s="2551"/>
      <c r="B76" s="2025"/>
      <c r="C76" s="86">
        <v>2018</v>
      </c>
      <c r="D76" s="147"/>
      <c r="E76" s="147"/>
      <c r="F76" s="147"/>
      <c r="G76" s="141">
        <f t="shared" si="5"/>
        <v>0</v>
      </c>
      <c r="H76" s="50"/>
      <c r="I76" s="50"/>
      <c r="J76" s="42"/>
      <c r="K76" s="42"/>
      <c r="L76" s="42"/>
      <c r="M76" s="42"/>
      <c r="N76" s="42"/>
      <c r="O76" s="99"/>
    </row>
    <row r="77" spans="1:20" ht="15.75" customHeight="1">
      <c r="A77" s="2551"/>
      <c r="B77" s="2025"/>
      <c r="C77" s="86">
        <v>2019</v>
      </c>
      <c r="D77" s="147"/>
      <c r="E77" s="147"/>
      <c r="F77" s="147"/>
      <c r="G77" s="141">
        <f t="shared" si="5"/>
        <v>0</v>
      </c>
      <c r="H77" s="50"/>
      <c r="I77" s="50"/>
      <c r="J77" s="42"/>
      <c r="K77" s="42"/>
      <c r="L77" s="42"/>
      <c r="M77" s="42"/>
      <c r="N77" s="42"/>
      <c r="O77" s="99"/>
    </row>
    <row r="78" spans="1:20" ht="17.25" customHeight="1">
      <c r="A78" s="2551"/>
      <c r="B78" s="2025"/>
      <c r="C78" s="86">
        <v>2020</v>
      </c>
      <c r="D78" s="147"/>
      <c r="E78" s="147"/>
      <c r="F78" s="147"/>
      <c r="G78" s="141">
        <f t="shared" si="5"/>
        <v>0</v>
      </c>
      <c r="H78" s="50"/>
      <c r="I78" s="50"/>
      <c r="J78" s="42"/>
      <c r="K78" s="42"/>
      <c r="L78" s="42"/>
      <c r="M78" s="42"/>
      <c r="N78" s="42"/>
      <c r="O78" s="99"/>
    </row>
    <row r="79" spans="1:20" ht="20.25" customHeight="1" thickBot="1">
      <c r="A79" s="2134"/>
      <c r="B79" s="2027"/>
      <c r="C79" s="148" t="s">
        <v>12</v>
      </c>
      <c r="D79" s="123">
        <f>SUM(D72:D78)</f>
        <v>0</v>
      </c>
      <c r="E79" s="123">
        <f>SUM(E72:E78)</f>
        <v>0</v>
      </c>
      <c r="F79" s="123">
        <f>SUM(F72:F78)</f>
        <v>1</v>
      </c>
      <c r="G79" s="149">
        <f>SUM(G72:G78)</f>
        <v>1</v>
      </c>
      <c r="H79" s="150">
        <v>1</v>
      </c>
      <c r="I79" s="151">
        <f t="shared" ref="I79:O79" si="6">SUM(I72:I78)</f>
        <v>0</v>
      </c>
      <c r="J79" s="125">
        <f t="shared" si="6"/>
        <v>0</v>
      </c>
      <c r="K79" s="125">
        <f t="shared" si="6"/>
        <v>0</v>
      </c>
      <c r="L79" s="125">
        <f t="shared" si="6"/>
        <v>0</v>
      </c>
      <c r="M79" s="125">
        <f t="shared" si="6"/>
        <v>0</v>
      </c>
      <c r="N79" s="125">
        <f t="shared" si="6"/>
        <v>0</v>
      </c>
      <c r="O79" s="126">
        <f t="shared" si="6"/>
        <v>0</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1675" t="s">
        <v>49</v>
      </c>
      <c r="B84" s="1676" t="s">
        <v>50</v>
      </c>
      <c r="C84" s="161" t="s">
        <v>8</v>
      </c>
      <c r="D84" s="1538" t="s">
        <v>51</v>
      </c>
      <c r="E84" s="163" t="s">
        <v>52</v>
      </c>
      <c r="F84" s="164" t="s">
        <v>53</v>
      </c>
      <c r="G84" s="164" t="s">
        <v>54</v>
      </c>
      <c r="H84" s="164" t="s">
        <v>55</v>
      </c>
      <c r="I84" s="164" t="s">
        <v>56</v>
      </c>
      <c r="J84" s="164" t="s">
        <v>57</v>
      </c>
      <c r="K84" s="165" t="s">
        <v>58</v>
      </c>
    </row>
    <row r="85" spans="1:16" ht="15" customHeight="1">
      <c r="A85" s="3007"/>
      <c r="B85" s="2993"/>
      <c r="C85" s="84">
        <v>2014</v>
      </c>
      <c r="D85" s="166"/>
      <c r="E85" s="167"/>
      <c r="F85" s="34"/>
      <c r="G85" s="34"/>
      <c r="H85" s="34"/>
      <c r="I85" s="34"/>
      <c r="J85" s="34"/>
      <c r="K85" s="37"/>
    </row>
    <row r="86" spans="1:16">
      <c r="A86" s="3007"/>
      <c r="B86" s="2993"/>
      <c r="C86" s="86">
        <v>2015</v>
      </c>
      <c r="D86" s="168"/>
      <c r="E86" s="118"/>
      <c r="F86" s="42"/>
      <c r="G86" s="42"/>
      <c r="H86" s="42"/>
      <c r="I86" s="42"/>
      <c r="J86" s="42"/>
      <c r="K86" s="99"/>
    </row>
    <row r="87" spans="1:16">
      <c r="A87" s="3007"/>
      <c r="B87" s="2993"/>
      <c r="C87" s="86">
        <v>2016</v>
      </c>
      <c r="D87" s="168"/>
      <c r="E87" s="118"/>
      <c r="F87" s="42"/>
      <c r="G87" s="42"/>
      <c r="H87" s="42"/>
      <c r="I87" s="42"/>
      <c r="J87" s="42"/>
      <c r="K87" s="99"/>
    </row>
    <row r="88" spans="1:16">
      <c r="A88" s="3007"/>
      <c r="B88" s="2993"/>
      <c r="C88" s="86">
        <v>2017</v>
      </c>
      <c r="D88" s="168"/>
      <c r="E88" s="118"/>
      <c r="F88" s="42"/>
      <c r="G88" s="42"/>
      <c r="H88" s="42"/>
      <c r="I88" s="42"/>
      <c r="J88" s="42"/>
      <c r="K88" s="99"/>
    </row>
    <row r="89" spans="1:16">
      <c r="A89" s="3007"/>
      <c r="B89" s="2993"/>
      <c r="C89" s="86">
        <v>2018</v>
      </c>
      <c r="D89" s="168"/>
      <c r="E89" s="118"/>
      <c r="F89" s="42"/>
      <c r="G89" s="42"/>
      <c r="H89" s="42"/>
      <c r="I89" s="42"/>
      <c r="J89" s="42"/>
      <c r="K89" s="99"/>
    </row>
    <row r="90" spans="1:16">
      <c r="A90" s="3007"/>
      <c r="B90" s="2993"/>
      <c r="C90" s="86">
        <v>2019</v>
      </c>
      <c r="D90" s="168"/>
      <c r="E90" s="118"/>
      <c r="F90" s="42"/>
      <c r="G90" s="42"/>
      <c r="H90" s="42"/>
      <c r="I90" s="42"/>
      <c r="J90" s="42"/>
      <c r="K90" s="99"/>
    </row>
    <row r="91" spans="1:16">
      <c r="A91" s="3007"/>
      <c r="B91" s="2993"/>
      <c r="C91" s="86">
        <v>2020</v>
      </c>
      <c r="D91" s="168"/>
      <c r="E91" s="118"/>
      <c r="F91" s="42"/>
      <c r="G91" s="42"/>
      <c r="H91" s="42"/>
      <c r="I91" s="42"/>
      <c r="J91" s="42"/>
      <c r="K91" s="99"/>
    </row>
    <row r="92" spans="1:16" ht="18" customHeight="1" thickBot="1">
      <c r="A92" s="3008"/>
      <c r="B92" s="2996"/>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898" t="s">
        <v>60</v>
      </c>
      <c r="B96" s="2899" t="s">
        <v>61</v>
      </c>
      <c r="C96" s="2901" t="s">
        <v>8</v>
      </c>
      <c r="D96" s="2735" t="s">
        <v>62</v>
      </c>
      <c r="E96" s="2736"/>
      <c r="F96" s="1539" t="s">
        <v>63</v>
      </c>
      <c r="G96" s="1677"/>
      <c r="H96" s="1677"/>
      <c r="I96" s="1677"/>
      <c r="J96" s="1677"/>
      <c r="K96" s="1677"/>
      <c r="L96" s="1677"/>
      <c r="M96" s="1678"/>
      <c r="N96" s="177"/>
      <c r="O96" s="177"/>
      <c r="P96" s="177"/>
    </row>
    <row r="97" spans="1:16" ht="100.5" customHeight="1">
      <c r="A97" s="2778"/>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999"/>
      <c r="B98" s="3000"/>
      <c r="C98" s="112">
        <v>2014</v>
      </c>
      <c r="D98" s="33"/>
      <c r="E98" s="34"/>
      <c r="F98" s="186"/>
      <c r="G98" s="187"/>
      <c r="H98" s="187"/>
      <c r="I98" s="187"/>
      <c r="J98" s="187"/>
      <c r="K98" s="187"/>
      <c r="L98" s="187"/>
      <c r="M98" s="188"/>
      <c r="N98" s="177"/>
      <c r="O98" s="177"/>
      <c r="P98" s="177"/>
    </row>
    <row r="99" spans="1:16" ht="16.5" customHeight="1">
      <c r="A99" s="3001"/>
      <c r="B99" s="3000"/>
      <c r="C99" s="116">
        <v>2015</v>
      </c>
      <c r="D99" s="50"/>
      <c r="E99" s="42"/>
      <c r="F99" s="189"/>
      <c r="G99" s="190"/>
      <c r="H99" s="190"/>
      <c r="I99" s="190"/>
      <c r="J99" s="190"/>
      <c r="K99" s="190"/>
      <c r="L99" s="190"/>
      <c r="M99" s="193"/>
      <c r="N99" s="177"/>
      <c r="O99" s="177"/>
      <c r="P99" s="177"/>
    </row>
    <row r="100" spans="1:16" ht="16.5" customHeight="1">
      <c r="A100" s="3001"/>
      <c r="B100" s="3000"/>
      <c r="C100" s="116">
        <v>2016</v>
      </c>
      <c r="D100" s="50"/>
      <c r="E100" s="42"/>
      <c r="F100" s="189"/>
      <c r="G100" s="190"/>
      <c r="H100" s="190"/>
      <c r="I100" s="190"/>
      <c r="J100" s="190"/>
      <c r="K100" s="190"/>
      <c r="L100" s="190"/>
      <c r="M100" s="193"/>
      <c r="N100" s="177"/>
      <c r="O100" s="177"/>
      <c r="P100" s="177"/>
    </row>
    <row r="101" spans="1:16" ht="16.5" customHeight="1">
      <c r="A101" s="3001"/>
      <c r="B101" s="3000"/>
      <c r="C101" s="116">
        <v>2017</v>
      </c>
      <c r="D101" s="50"/>
      <c r="E101" s="42"/>
      <c r="F101" s="189"/>
      <c r="G101" s="190"/>
      <c r="H101" s="190"/>
      <c r="I101" s="190"/>
      <c r="J101" s="190"/>
      <c r="K101" s="190"/>
      <c r="L101" s="190"/>
      <c r="M101" s="193"/>
      <c r="N101" s="177"/>
      <c r="O101" s="177"/>
      <c r="P101" s="177"/>
    </row>
    <row r="102" spans="1:16" ht="15.75" customHeight="1">
      <c r="A102" s="3001"/>
      <c r="B102" s="3000"/>
      <c r="C102" s="116">
        <v>2018</v>
      </c>
      <c r="D102" s="50"/>
      <c r="E102" s="42"/>
      <c r="F102" s="189"/>
      <c r="G102" s="190"/>
      <c r="H102" s="190"/>
      <c r="I102" s="190"/>
      <c r="J102" s="190"/>
      <c r="K102" s="190"/>
      <c r="L102" s="190"/>
      <c r="M102" s="193"/>
      <c r="N102" s="177"/>
      <c r="O102" s="177"/>
      <c r="P102" s="177"/>
    </row>
    <row r="103" spans="1:16" ht="14.25" customHeight="1">
      <c r="A103" s="3001"/>
      <c r="B103" s="3000"/>
      <c r="C103" s="116">
        <v>2019</v>
      </c>
      <c r="D103" s="50"/>
      <c r="E103" s="42"/>
      <c r="F103" s="189"/>
      <c r="G103" s="190"/>
      <c r="H103" s="190"/>
      <c r="I103" s="190"/>
      <c r="J103" s="190"/>
      <c r="K103" s="190"/>
      <c r="L103" s="190"/>
      <c r="M103" s="193"/>
      <c r="N103" s="177"/>
      <c r="O103" s="177"/>
      <c r="P103" s="177"/>
    </row>
    <row r="104" spans="1:16" ht="14.25" customHeight="1">
      <c r="A104" s="3001"/>
      <c r="B104" s="3000"/>
      <c r="C104" s="116">
        <v>2020</v>
      </c>
      <c r="D104" s="50"/>
      <c r="E104" s="42"/>
      <c r="F104" s="189"/>
      <c r="G104" s="190"/>
      <c r="H104" s="190"/>
      <c r="I104" s="190"/>
      <c r="J104" s="190"/>
      <c r="K104" s="190"/>
      <c r="L104" s="190"/>
      <c r="M104" s="193"/>
      <c r="N104" s="177"/>
      <c r="O104" s="177"/>
      <c r="P104" s="177"/>
    </row>
    <row r="105" spans="1:16" ht="19.5" customHeight="1" thickBot="1">
      <c r="A105" s="3002"/>
      <c r="B105" s="3003"/>
      <c r="C105" s="122" t="s">
        <v>12</v>
      </c>
      <c r="D105" s="151">
        <f>SUM(D98:D104)</f>
        <v>0</v>
      </c>
      <c r="E105" s="125">
        <f t="shared" ref="E105:K105" si="8">SUM(E98:E104)</f>
        <v>0</v>
      </c>
      <c r="F105" s="194">
        <f t="shared" si="8"/>
        <v>0</v>
      </c>
      <c r="G105" s="195">
        <f t="shared" si="8"/>
        <v>0</v>
      </c>
      <c r="H105" s="195">
        <f t="shared" si="8"/>
        <v>0</v>
      </c>
      <c r="I105" s="195">
        <f>SUM(I98:I104)</f>
        <v>0</v>
      </c>
      <c r="J105" s="195">
        <f t="shared" si="8"/>
        <v>0</v>
      </c>
      <c r="K105" s="195">
        <f t="shared" si="8"/>
        <v>0</v>
      </c>
      <c r="L105" s="195">
        <f>SUM(L98:L104)</f>
        <v>0</v>
      </c>
      <c r="M105" s="196">
        <f>SUM(M98:M104)</f>
        <v>0</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898" t="s">
        <v>69</v>
      </c>
      <c r="B107" s="2899" t="s">
        <v>61</v>
      </c>
      <c r="C107" s="2901" t="s">
        <v>8</v>
      </c>
      <c r="D107" s="2670" t="s">
        <v>70</v>
      </c>
      <c r="E107" s="1539" t="s">
        <v>71</v>
      </c>
      <c r="F107" s="1677"/>
      <c r="G107" s="1677"/>
      <c r="H107" s="1677"/>
      <c r="I107" s="1677"/>
      <c r="J107" s="1677"/>
      <c r="K107" s="1677"/>
      <c r="L107" s="1678"/>
      <c r="M107" s="199"/>
      <c r="N107" s="199"/>
    </row>
    <row r="108" spans="1:16" ht="103.5" customHeight="1">
      <c r="A108" s="2778"/>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3004"/>
      <c r="B109" s="2025"/>
      <c r="C109" s="112">
        <v>2014</v>
      </c>
      <c r="D109" s="34"/>
      <c r="E109" s="186"/>
      <c r="F109" s="187"/>
      <c r="G109" s="187"/>
      <c r="H109" s="187"/>
      <c r="I109" s="187"/>
      <c r="J109" s="187"/>
      <c r="K109" s="187"/>
      <c r="L109" s="188"/>
      <c r="M109" s="199"/>
      <c r="N109" s="199"/>
    </row>
    <row r="110" spans="1:16">
      <c r="A110" s="2553"/>
      <c r="B110" s="2025"/>
      <c r="C110" s="116">
        <v>2015</v>
      </c>
      <c r="D110" s="42"/>
      <c r="E110" s="189"/>
      <c r="F110" s="190"/>
      <c r="G110" s="190"/>
      <c r="H110" s="190"/>
      <c r="I110" s="190"/>
      <c r="J110" s="190"/>
      <c r="K110" s="190"/>
      <c r="L110" s="193"/>
      <c r="M110" s="199"/>
      <c r="N110" s="199"/>
    </row>
    <row r="111" spans="1:16">
      <c r="A111" s="2553"/>
      <c r="B111" s="2025"/>
      <c r="C111" s="116">
        <v>2016</v>
      </c>
      <c r="D111" s="42"/>
      <c r="E111" s="189"/>
      <c r="F111" s="190"/>
      <c r="G111" s="190"/>
      <c r="H111" s="190"/>
      <c r="I111" s="190"/>
      <c r="J111" s="190"/>
      <c r="K111" s="190"/>
      <c r="L111" s="193"/>
      <c r="M111" s="199"/>
      <c r="N111" s="199"/>
    </row>
    <row r="112" spans="1:16">
      <c r="A112" s="2553"/>
      <c r="B112" s="2025"/>
      <c r="C112" s="116">
        <v>2017</v>
      </c>
      <c r="D112" s="42"/>
      <c r="E112" s="189"/>
      <c r="F112" s="190"/>
      <c r="G112" s="190"/>
      <c r="H112" s="190"/>
      <c r="I112" s="190"/>
      <c r="J112" s="190"/>
      <c r="K112" s="190"/>
      <c r="L112" s="193"/>
      <c r="M112" s="199"/>
      <c r="N112" s="199"/>
    </row>
    <row r="113" spans="1:14">
      <c r="A113" s="2553"/>
      <c r="B113" s="2025"/>
      <c r="C113" s="116">
        <v>2018</v>
      </c>
      <c r="D113" s="42"/>
      <c r="E113" s="189"/>
      <c r="F113" s="190"/>
      <c r="G113" s="190"/>
      <c r="H113" s="190"/>
      <c r="I113" s="190"/>
      <c r="J113" s="190"/>
      <c r="K113" s="190"/>
      <c r="L113" s="193"/>
      <c r="M113" s="199"/>
      <c r="N113" s="199"/>
    </row>
    <row r="114" spans="1:14">
      <c r="A114" s="2553"/>
      <c r="B114" s="2025"/>
      <c r="C114" s="116">
        <v>2019</v>
      </c>
      <c r="D114" s="42"/>
      <c r="E114" s="189"/>
      <c r="F114" s="190"/>
      <c r="G114" s="190"/>
      <c r="H114" s="190"/>
      <c r="I114" s="190"/>
      <c r="J114" s="190"/>
      <c r="K114" s="190"/>
      <c r="L114" s="193"/>
      <c r="M114" s="199"/>
      <c r="N114" s="199"/>
    </row>
    <row r="115" spans="1:14">
      <c r="A115" s="2553"/>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898" t="s">
        <v>72</v>
      </c>
      <c r="B118" s="2899" t="s">
        <v>61</v>
      </c>
      <c r="C118" s="2901" t="s">
        <v>8</v>
      </c>
      <c r="D118" s="2670" t="s">
        <v>73</v>
      </c>
      <c r="E118" s="1539" t="s">
        <v>71</v>
      </c>
      <c r="F118" s="1677"/>
      <c r="G118" s="1677"/>
      <c r="H118" s="1677"/>
      <c r="I118" s="1677"/>
      <c r="J118" s="1677"/>
      <c r="K118" s="1677"/>
      <c r="L118" s="1678"/>
      <c r="M118" s="199"/>
      <c r="N118" s="199"/>
    </row>
    <row r="119" spans="1:14" ht="120.75" customHeight="1">
      <c r="A119" s="2778"/>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998"/>
      <c r="B120" s="2993"/>
      <c r="C120" s="112">
        <v>2014</v>
      </c>
      <c r="D120" s="34"/>
      <c r="E120" s="186"/>
      <c r="F120" s="187"/>
      <c r="G120" s="187"/>
      <c r="H120" s="187"/>
      <c r="I120" s="187"/>
      <c r="J120" s="187"/>
      <c r="K120" s="187"/>
      <c r="L120" s="188"/>
      <c r="M120" s="199"/>
      <c r="N120" s="199"/>
    </row>
    <row r="121" spans="1:14">
      <c r="A121" s="2994"/>
      <c r="B121" s="2993"/>
      <c r="C121" s="116">
        <v>2015</v>
      </c>
      <c r="D121" s="42"/>
      <c r="E121" s="189"/>
      <c r="F121" s="190"/>
      <c r="G121" s="190"/>
      <c r="H121" s="190"/>
      <c r="I121" s="190"/>
      <c r="J121" s="190"/>
      <c r="K121" s="190"/>
      <c r="L121" s="193"/>
      <c r="M121" s="199"/>
      <c r="N121" s="199"/>
    </row>
    <row r="122" spans="1:14">
      <c r="A122" s="2994"/>
      <c r="B122" s="2993"/>
      <c r="C122" s="116">
        <v>2016</v>
      </c>
      <c r="D122" s="42"/>
      <c r="E122" s="189"/>
      <c r="F122" s="190"/>
      <c r="G122" s="190"/>
      <c r="H122" s="190"/>
      <c r="I122" s="190"/>
      <c r="J122" s="190"/>
      <c r="K122" s="190"/>
      <c r="L122" s="193"/>
      <c r="M122" s="199"/>
      <c r="N122" s="199"/>
    </row>
    <row r="123" spans="1:14">
      <c r="A123" s="2994"/>
      <c r="B123" s="2993"/>
      <c r="C123" s="116">
        <v>2017</v>
      </c>
      <c r="D123" s="42"/>
      <c r="E123" s="189"/>
      <c r="F123" s="190"/>
      <c r="G123" s="190"/>
      <c r="H123" s="190"/>
      <c r="I123" s="190"/>
      <c r="J123" s="190"/>
      <c r="K123" s="190"/>
      <c r="L123" s="193"/>
      <c r="M123" s="199"/>
      <c r="N123" s="199"/>
    </row>
    <row r="124" spans="1:14">
      <c r="A124" s="2994"/>
      <c r="B124" s="2993"/>
      <c r="C124" s="116">
        <v>2018</v>
      </c>
      <c r="D124" s="42"/>
      <c r="E124" s="189"/>
      <c r="F124" s="190"/>
      <c r="G124" s="190"/>
      <c r="H124" s="190"/>
      <c r="I124" s="190"/>
      <c r="J124" s="190"/>
      <c r="K124" s="190"/>
      <c r="L124" s="193"/>
      <c r="M124" s="199"/>
      <c r="N124" s="199"/>
    </row>
    <row r="125" spans="1:14">
      <c r="A125" s="2994"/>
      <c r="B125" s="2993"/>
      <c r="C125" s="116">
        <v>2019</v>
      </c>
      <c r="D125" s="42"/>
      <c r="E125" s="189"/>
      <c r="F125" s="190"/>
      <c r="G125" s="190"/>
      <c r="H125" s="190"/>
      <c r="I125" s="190"/>
      <c r="J125" s="190"/>
      <c r="K125" s="190"/>
      <c r="L125" s="193"/>
      <c r="M125" s="199"/>
      <c r="N125" s="199"/>
    </row>
    <row r="126" spans="1:14">
      <c r="A126" s="2994"/>
      <c r="B126" s="2993"/>
      <c r="C126" s="116">
        <v>2020</v>
      </c>
      <c r="D126" s="42"/>
      <c r="E126" s="189"/>
      <c r="F126" s="190"/>
      <c r="G126" s="190"/>
      <c r="H126" s="190"/>
      <c r="I126" s="190"/>
      <c r="J126" s="190"/>
      <c r="K126" s="190"/>
      <c r="L126" s="193"/>
      <c r="M126" s="199"/>
      <c r="N126" s="199"/>
    </row>
    <row r="127" spans="1:14" ht="15.75" thickBot="1">
      <c r="A127" s="2995"/>
      <c r="B127" s="2996"/>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898" t="s">
        <v>74</v>
      </c>
      <c r="B129" s="2899" t="s">
        <v>61</v>
      </c>
      <c r="C129" s="1679" t="s">
        <v>8</v>
      </c>
      <c r="D129" s="1542" t="s">
        <v>75</v>
      </c>
      <c r="E129" s="1680"/>
      <c r="F129" s="1680"/>
      <c r="G129" s="1543"/>
      <c r="H129" s="199"/>
      <c r="I129" s="199"/>
      <c r="J129" s="199"/>
      <c r="K129" s="199"/>
      <c r="L129" s="199"/>
      <c r="M129" s="199"/>
      <c r="N129" s="199"/>
    </row>
    <row r="130" spans="1:16" ht="77.25" customHeight="1">
      <c r="A130" s="2778"/>
      <c r="B130" s="2043"/>
      <c r="C130" s="1655"/>
      <c r="D130" s="178" t="s">
        <v>76</v>
      </c>
      <c r="E130" s="207" t="s">
        <v>77</v>
      </c>
      <c r="F130" s="179" t="s">
        <v>78</v>
      </c>
      <c r="G130" s="208" t="s">
        <v>12</v>
      </c>
      <c r="H130" s="199"/>
      <c r="I130" s="199"/>
      <c r="J130" s="199"/>
      <c r="K130" s="199"/>
      <c r="L130" s="199"/>
      <c r="M130" s="199"/>
      <c r="N130" s="199"/>
    </row>
    <row r="131" spans="1:16" ht="15" customHeight="1">
      <c r="A131" s="2997"/>
      <c r="B131" s="2253"/>
      <c r="C131" s="112">
        <v>2015</v>
      </c>
      <c r="D131" s="33"/>
      <c r="E131" s="34"/>
      <c r="F131" s="34"/>
      <c r="G131" s="209">
        <f t="shared" ref="G131:G136" si="11">SUM(D131:F131)</f>
        <v>0</v>
      </c>
      <c r="H131" s="199"/>
      <c r="I131" s="199"/>
      <c r="J131" s="199"/>
      <c r="K131" s="199"/>
      <c r="L131" s="199"/>
      <c r="M131" s="199"/>
      <c r="N131" s="199"/>
    </row>
    <row r="132" spans="1:16">
      <c r="A132" s="2983"/>
      <c r="B132" s="2253"/>
      <c r="C132" s="116">
        <v>2016</v>
      </c>
      <c r="D132" s="50"/>
      <c r="E132" s="42"/>
      <c r="F132" s="42"/>
      <c r="G132" s="209">
        <f t="shared" si="11"/>
        <v>0</v>
      </c>
      <c r="H132" s="199"/>
      <c r="I132" s="199"/>
      <c r="J132" s="199"/>
      <c r="K132" s="199"/>
      <c r="L132" s="199"/>
      <c r="M132" s="199"/>
      <c r="N132" s="199"/>
    </row>
    <row r="133" spans="1:16">
      <c r="A133" s="2983"/>
      <c r="B133" s="2253"/>
      <c r="C133" s="116">
        <v>2017</v>
      </c>
      <c r="D133" s="50"/>
      <c r="E133" s="42"/>
      <c r="F133" s="42"/>
      <c r="G133" s="209">
        <f t="shared" si="11"/>
        <v>0</v>
      </c>
      <c r="H133" s="199"/>
      <c r="I133" s="199"/>
      <c r="J133" s="199"/>
      <c r="K133" s="199"/>
      <c r="L133" s="199"/>
      <c r="M133" s="199"/>
      <c r="N133" s="199"/>
    </row>
    <row r="134" spans="1:16">
      <c r="A134" s="2983"/>
      <c r="B134" s="2253"/>
      <c r="C134" s="116">
        <v>2018</v>
      </c>
      <c r="D134" s="50"/>
      <c r="E134" s="42"/>
      <c r="F134" s="42"/>
      <c r="G134" s="209">
        <f t="shared" si="11"/>
        <v>0</v>
      </c>
      <c r="H134" s="199"/>
      <c r="I134" s="199"/>
      <c r="J134" s="199"/>
      <c r="K134" s="199"/>
      <c r="L134" s="199"/>
      <c r="M134" s="199"/>
      <c r="N134" s="199"/>
    </row>
    <row r="135" spans="1:16">
      <c r="A135" s="2983"/>
      <c r="B135" s="2253"/>
      <c r="C135" s="116">
        <v>2019</v>
      </c>
      <c r="D135" s="50"/>
      <c r="E135" s="42"/>
      <c r="F135" s="42"/>
      <c r="G135" s="209">
        <f t="shared" si="11"/>
        <v>0</v>
      </c>
      <c r="H135" s="199"/>
      <c r="I135" s="199"/>
      <c r="J135" s="199"/>
      <c r="K135" s="199"/>
      <c r="L135" s="199"/>
      <c r="M135" s="199"/>
      <c r="N135" s="199"/>
    </row>
    <row r="136" spans="1:16">
      <c r="A136" s="2983"/>
      <c r="B136" s="2253"/>
      <c r="C136" s="116">
        <v>2020</v>
      </c>
      <c r="D136" s="50"/>
      <c r="E136" s="42"/>
      <c r="F136" s="42"/>
      <c r="G136" s="209">
        <f t="shared" si="11"/>
        <v>0</v>
      </c>
      <c r="H136" s="199"/>
      <c r="I136" s="199"/>
      <c r="J136" s="199"/>
      <c r="K136" s="199"/>
      <c r="L136" s="199"/>
      <c r="M136" s="199"/>
      <c r="N136" s="199"/>
    </row>
    <row r="137" spans="1:16" ht="17.25" customHeight="1" thickBot="1">
      <c r="A137" s="2408"/>
      <c r="B137" s="2256"/>
      <c r="C137" s="122" t="s">
        <v>12</v>
      </c>
      <c r="D137" s="151">
        <f>SUM(D131:D136)</f>
        <v>0</v>
      </c>
      <c r="E137" s="151">
        <f t="shared" ref="E137:F137" si="12">SUM(E131:E136)</f>
        <v>0</v>
      </c>
      <c r="F137" s="151">
        <f t="shared" si="12"/>
        <v>0</v>
      </c>
      <c r="G137" s="210">
        <f>SUM(G131:G136)</f>
        <v>0</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900" t="s">
        <v>80</v>
      </c>
      <c r="B142" s="2895" t="s">
        <v>61</v>
      </c>
      <c r="C142" s="2897" t="s">
        <v>8</v>
      </c>
      <c r="D142" s="1681" t="s">
        <v>81</v>
      </c>
      <c r="E142" s="1682"/>
      <c r="F142" s="1682"/>
      <c r="G142" s="1682"/>
      <c r="H142" s="1682"/>
      <c r="I142" s="1683"/>
      <c r="J142" s="2891" t="s">
        <v>82</v>
      </c>
      <c r="K142" s="2892"/>
      <c r="L142" s="2892"/>
      <c r="M142" s="2892"/>
      <c r="N142" s="2893"/>
      <c r="O142" s="177"/>
      <c r="P142" s="177"/>
    </row>
    <row r="143" spans="1:16" ht="113.25" customHeight="1">
      <c r="A143" s="2782"/>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552" t="s">
        <v>533</v>
      </c>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553"/>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553"/>
      <c r="B146" s="2025"/>
      <c r="C146" s="116">
        <v>2016</v>
      </c>
      <c r="D146" s="50"/>
      <c r="E146" s="50"/>
      <c r="F146" s="42"/>
      <c r="G146" s="190"/>
      <c r="H146" s="190"/>
      <c r="I146" s="227">
        <f t="shared" si="13"/>
        <v>0</v>
      </c>
      <c r="J146" s="231"/>
      <c r="K146" s="232"/>
      <c r="L146" s="231"/>
      <c r="M146" s="232"/>
      <c r="N146" s="233"/>
      <c r="O146" s="177"/>
      <c r="P146" s="177"/>
    </row>
    <row r="147" spans="1:16" ht="17.25" customHeight="1">
      <c r="A147" s="2553"/>
      <c r="B147" s="2025"/>
      <c r="C147" s="116">
        <v>2017</v>
      </c>
      <c r="D147" s="50"/>
      <c r="E147" s="50"/>
      <c r="F147" s="42"/>
      <c r="G147" s="190"/>
      <c r="H147" s="190"/>
      <c r="I147" s="227">
        <f t="shared" si="13"/>
        <v>0</v>
      </c>
      <c r="J147" s="231"/>
      <c r="K147" s="232"/>
      <c r="L147" s="231"/>
      <c r="M147" s="232"/>
      <c r="N147" s="233"/>
      <c r="O147" s="177"/>
      <c r="P147" s="177"/>
    </row>
    <row r="148" spans="1:16" ht="19.5" customHeight="1">
      <c r="A148" s="2553"/>
      <c r="B148" s="2025"/>
      <c r="C148" s="116">
        <v>2018</v>
      </c>
      <c r="D148" s="50"/>
      <c r="E148" s="50"/>
      <c r="F148" s="42"/>
      <c r="G148" s="190"/>
      <c r="H148" s="190"/>
      <c r="I148" s="227">
        <f t="shared" si="13"/>
        <v>0</v>
      </c>
      <c r="J148" s="231"/>
      <c r="K148" s="232"/>
      <c r="L148" s="231"/>
      <c r="M148" s="232"/>
      <c r="N148" s="233"/>
      <c r="O148" s="177"/>
      <c r="P148" s="177"/>
    </row>
    <row r="149" spans="1:16" ht="19.5" customHeight="1">
      <c r="A149" s="2553"/>
      <c r="B149" s="2025"/>
      <c r="C149" s="116">
        <v>2019</v>
      </c>
      <c r="D149" s="50"/>
      <c r="E149" s="50"/>
      <c r="F149" s="42"/>
      <c r="G149" s="190"/>
      <c r="H149" s="190"/>
      <c r="I149" s="227">
        <f t="shared" si="13"/>
        <v>0</v>
      </c>
      <c r="J149" s="231"/>
      <c r="K149" s="232"/>
      <c r="L149" s="231"/>
      <c r="M149" s="232"/>
      <c r="N149" s="233"/>
      <c r="O149" s="177"/>
      <c r="P149" s="177"/>
    </row>
    <row r="150" spans="1:16" ht="18.75" customHeight="1">
      <c r="A150" s="2553"/>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894" t="s">
        <v>93</v>
      </c>
      <c r="B153" s="2895" t="s">
        <v>61</v>
      </c>
      <c r="C153" s="2896" t="s">
        <v>8</v>
      </c>
      <c r="D153" s="1684" t="s">
        <v>94</v>
      </c>
      <c r="E153" s="1684"/>
      <c r="F153" s="1685"/>
      <c r="G153" s="1685"/>
      <c r="H153" s="1684" t="s">
        <v>95</v>
      </c>
      <c r="I153" s="1684"/>
      <c r="J153" s="1686"/>
      <c r="K153" s="31"/>
      <c r="L153" s="31"/>
      <c r="M153" s="31"/>
      <c r="N153" s="31"/>
      <c r="O153" s="177"/>
      <c r="P153" s="177"/>
    </row>
    <row r="154" spans="1:16" ht="49.5" customHeight="1">
      <c r="A154" s="2556"/>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552" t="s">
        <v>534</v>
      </c>
      <c r="B155" s="2025"/>
      <c r="C155" s="247">
        <v>2014</v>
      </c>
      <c r="D155" s="228"/>
      <c r="E155" s="187"/>
      <c r="F155" s="229"/>
      <c r="G155" s="227">
        <f>SUM(D155:F155)</f>
        <v>0</v>
      </c>
      <c r="H155" s="228"/>
      <c r="I155" s="187"/>
      <c r="J155" s="188"/>
      <c r="O155" s="177"/>
      <c r="P155" s="177"/>
    </row>
    <row r="156" spans="1:16" ht="19.5" customHeight="1">
      <c r="A156" s="2553"/>
      <c r="B156" s="2025"/>
      <c r="C156" s="248">
        <v>2015</v>
      </c>
      <c r="D156" s="231"/>
      <c r="E156" s="190"/>
      <c r="F156" s="232"/>
      <c r="G156" s="227">
        <f t="shared" ref="G156:G161" si="15">SUM(D156:F156)</f>
        <v>0</v>
      </c>
      <c r="H156" s="231"/>
      <c r="I156" s="190"/>
      <c r="J156" s="193"/>
      <c r="O156" s="177"/>
      <c r="P156" s="177"/>
    </row>
    <row r="157" spans="1:16" ht="17.25" customHeight="1">
      <c r="A157" s="2553"/>
      <c r="B157" s="2025"/>
      <c r="C157" s="248">
        <v>2016</v>
      </c>
      <c r="D157" s="231">
        <v>1</v>
      </c>
      <c r="E157" s="190"/>
      <c r="F157" s="232"/>
      <c r="G157" s="227">
        <v>1</v>
      </c>
      <c r="H157" s="231"/>
      <c r="I157" s="190"/>
      <c r="J157" s="193">
        <v>1</v>
      </c>
      <c r="O157" s="177"/>
      <c r="P157" s="177"/>
    </row>
    <row r="158" spans="1:16" ht="15" customHeight="1">
      <c r="A158" s="2553"/>
      <c r="B158" s="2025"/>
      <c r="C158" s="248">
        <v>2017</v>
      </c>
      <c r="D158" s="231"/>
      <c r="E158" s="190"/>
      <c r="F158" s="232"/>
      <c r="G158" s="227">
        <f t="shared" si="15"/>
        <v>0</v>
      </c>
      <c r="H158" s="231"/>
      <c r="I158" s="190"/>
      <c r="J158" s="193"/>
      <c r="O158" s="177"/>
      <c r="P158" s="177"/>
    </row>
    <row r="159" spans="1:16" ht="19.5" customHeight="1">
      <c r="A159" s="2553"/>
      <c r="B159" s="2025"/>
      <c r="C159" s="248">
        <v>2018</v>
      </c>
      <c r="D159" s="231"/>
      <c r="E159" s="190"/>
      <c r="F159" s="232"/>
      <c r="G159" s="227">
        <f t="shared" si="15"/>
        <v>0</v>
      </c>
      <c r="H159" s="231"/>
      <c r="I159" s="190"/>
      <c r="J159" s="193"/>
      <c r="O159" s="177"/>
      <c r="P159" s="177"/>
    </row>
    <row r="160" spans="1:16" ht="15" customHeight="1">
      <c r="A160" s="2553"/>
      <c r="B160" s="2025"/>
      <c r="C160" s="248">
        <v>2019</v>
      </c>
      <c r="D160" s="231"/>
      <c r="E160" s="190"/>
      <c r="F160" s="232"/>
      <c r="G160" s="227">
        <f t="shared" si="15"/>
        <v>0</v>
      </c>
      <c r="H160" s="231"/>
      <c r="I160" s="190"/>
      <c r="J160" s="193"/>
      <c r="O160" s="177"/>
      <c r="P160" s="177"/>
    </row>
    <row r="161" spans="1:18" ht="17.25" customHeight="1">
      <c r="A161" s="2553"/>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1</v>
      </c>
      <c r="E162" s="195">
        <f t="shared" si="16"/>
        <v>0</v>
      </c>
      <c r="F162" s="236">
        <f t="shared" si="16"/>
        <v>0</v>
      </c>
      <c r="G162" s="236">
        <f t="shared" si="16"/>
        <v>1</v>
      </c>
      <c r="H162" s="235">
        <f>SUM(H155:H161)</f>
        <v>0</v>
      </c>
      <c r="I162" s="195">
        <f>SUM(I155:I161)</f>
        <v>0</v>
      </c>
      <c r="J162" s="250">
        <f>SUM(J155:J161)</f>
        <v>1</v>
      </c>
    </row>
    <row r="163" spans="1:18" ht="24.75" customHeight="1" thickBot="1">
      <c r="A163" s="251"/>
      <c r="B163" s="252"/>
      <c r="C163" s="253"/>
      <c r="D163" s="177"/>
      <c r="E163" s="1687"/>
      <c r="F163" s="177"/>
      <c r="G163" s="177"/>
      <c r="H163" s="177"/>
      <c r="I163" s="177"/>
      <c r="J163" s="255"/>
      <c r="K163" s="256"/>
    </row>
    <row r="164" spans="1:18" ht="95.25" customHeight="1">
      <c r="A164" s="1549" t="s">
        <v>102</v>
      </c>
      <c r="B164" s="258" t="s">
        <v>103</v>
      </c>
      <c r="C164" s="1447" t="s">
        <v>8</v>
      </c>
      <c r="D164" s="260" t="s">
        <v>104</v>
      </c>
      <c r="E164" s="260" t="s">
        <v>105</v>
      </c>
      <c r="F164" s="1688" t="s">
        <v>106</v>
      </c>
      <c r="G164" s="260" t="s">
        <v>107</v>
      </c>
      <c r="H164" s="260" t="s">
        <v>108</v>
      </c>
      <c r="I164" s="262" t="s">
        <v>109</v>
      </c>
      <c r="J164" s="1550" t="s">
        <v>110</v>
      </c>
      <c r="K164" s="1550" t="s">
        <v>111</v>
      </c>
      <c r="L164" s="1371"/>
    </row>
    <row r="165" spans="1:18" ht="15.75" customHeight="1">
      <c r="A165" s="2989" t="s">
        <v>533</v>
      </c>
      <c r="B165" s="2986"/>
      <c r="C165" s="265">
        <v>2014</v>
      </c>
      <c r="D165" s="187"/>
      <c r="E165" s="187"/>
      <c r="F165" s="187"/>
      <c r="G165" s="187"/>
      <c r="H165" s="187"/>
      <c r="I165" s="188"/>
      <c r="J165" s="1569">
        <f>SUM(D165,F165,H165)</f>
        <v>0</v>
      </c>
      <c r="K165" s="267">
        <f>SUM(E165,G165,I165)</f>
        <v>0</v>
      </c>
      <c r="L165" s="1371"/>
    </row>
    <row r="166" spans="1:18">
      <c r="A166" s="2990"/>
      <c r="B166" s="2253"/>
      <c r="C166" s="268">
        <v>2015</v>
      </c>
      <c r="D166" s="269"/>
      <c r="E166" s="269"/>
      <c r="F166" s="269"/>
      <c r="G166" s="269"/>
      <c r="H166" s="269"/>
      <c r="I166" s="270"/>
      <c r="J166" s="1570">
        <f t="shared" ref="J166:K171" si="17">SUM(D166,F166,H166)</f>
        <v>0</v>
      </c>
      <c r="K166" s="272">
        <f t="shared" si="17"/>
        <v>0</v>
      </c>
      <c r="L166" s="1371"/>
    </row>
    <row r="167" spans="1:18">
      <c r="A167" s="2990"/>
      <c r="B167" s="2253"/>
      <c r="C167" s="268">
        <v>2016</v>
      </c>
      <c r="D167" s="269"/>
      <c r="E167" s="269"/>
      <c r="F167" s="269"/>
      <c r="G167" s="269"/>
      <c r="H167" s="269"/>
      <c r="I167" s="270"/>
      <c r="J167" s="1570">
        <f t="shared" si="17"/>
        <v>0</v>
      </c>
      <c r="K167" s="272">
        <f t="shared" si="17"/>
        <v>0</v>
      </c>
    </row>
    <row r="168" spans="1:18">
      <c r="A168" s="2990"/>
      <c r="B168" s="2253"/>
      <c r="C168" s="268">
        <v>2017</v>
      </c>
      <c r="D168" s="269"/>
      <c r="E168" s="177"/>
      <c r="F168" s="269"/>
      <c r="G168" s="269"/>
      <c r="H168" s="269"/>
      <c r="I168" s="270"/>
      <c r="J168" s="1570">
        <f t="shared" si="17"/>
        <v>0</v>
      </c>
      <c r="K168" s="272">
        <f t="shared" si="17"/>
        <v>0</v>
      </c>
    </row>
    <row r="169" spans="1:18">
      <c r="A169" s="2990"/>
      <c r="B169" s="2253"/>
      <c r="C169" s="273">
        <v>2018</v>
      </c>
      <c r="D169" s="269"/>
      <c r="E169" s="269"/>
      <c r="F169" s="269"/>
      <c r="G169" s="274"/>
      <c r="H169" s="269"/>
      <c r="I169" s="270"/>
      <c r="J169" s="1570">
        <f t="shared" si="17"/>
        <v>0</v>
      </c>
      <c r="K169" s="272">
        <f t="shared" si="17"/>
        <v>0</v>
      </c>
      <c r="L169" s="1371"/>
    </row>
    <row r="170" spans="1:18">
      <c r="A170" s="2990"/>
      <c r="B170" s="2253"/>
      <c r="C170" s="268">
        <v>2019</v>
      </c>
      <c r="D170" s="177"/>
      <c r="E170" s="269"/>
      <c r="F170" s="269"/>
      <c r="G170" s="269"/>
      <c r="H170" s="274"/>
      <c r="I170" s="270"/>
      <c r="J170" s="1570">
        <f t="shared" si="17"/>
        <v>0</v>
      </c>
      <c r="K170" s="272">
        <f t="shared" si="17"/>
        <v>0</v>
      </c>
      <c r="L170" s="1371"/>
    </row>
    <row r="171" spans="1:18">
      <c r="A171" s="2990"/>
      <c r="B171" s="2253"/>
      <c r="C171" s="273">
        <v>2020</v>
      </c>
      <c r="D171" s="269"/>
      <c r="E171" s="269"/>
      <c r="F171" s="269"/>
      <c r="G171" s="269"/>
      <c r="H171" s="269"/>
      <c r="I171" s="270"/>
      <c r="J171" s="1570">
        <f t="shared" si="17"/>
        <v>0</v>
      </c>
      <c r="K171" s="272">
        <f t="shared" si="17"/>
        <v>0</v>
      </c>
      <c r="L171" s="1371"/>
    </row>
    <row r="172" spans="1:18" ht="41.25" customHeight="1" thickBot="1">
      <c r="A172" s="2991"/>
      <c r="B172" s="225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1371"/>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887" t="s">
        <v>113</v>
      </c>
      <c r="B176" s="2885" t="s">
        <v>114</v>
      </c>
      <c r="C176" s="2888" t="s">
        <v>8</v>
      </c>
      <c r="D176" s="1551" t="s">
        <v>115</v>
      </c>
      <c r="E176" s="1689"/>
      <c r="F176" s="1689"/>
      <c r="G176" s="1690"/>
      <c r="H176" s="1553"/>
      <c r="I176" s="2751" t="s">
        <v>116</v>
      </c>
      <c r="J176" s="2889"/>
      <c r="K176" s="2889"/>
      <c r="L176" s="2889"/>
      <c r="M176" s="2889"/>
      <c r="N176" s="2889"/>
      <c r="O176" s="2890"/>
    </row>
    <row r="177" spans="1:15" s="31" customFormat="1" ht="129.75" customHeight="1">
      <c r="A177" s="2793"/>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992" t="s">
        <v>535</v>
      </c>
      <c r="B178" s="2993"/>
      <c r="C178" s="112">
        <v>2014</v>
      </c>
      <c r="D178" s="33"/>
      <c r="E178" s="34"/>
      <c r="F178" s="34"/>
      <c r="G178" s="293">
        <f>SUM(D178:F178)</f>
        <v>0</v>
      </c>
      <c r="H178" s="167"/>
      <c r="I178" s="167"/>
      <c r="J178" s="34"/>
      <c r="K178" s="34"/>
      <c r="L178" s="34"/>
      <c r="M178" s="34"/>
      <c r="N178" s="34"/>
      <c r="O178" s="37"/>
    </row>
    <row r="179" spans="1:15">
      <c r="A179" s="2994"/>
      <c r="B179" s="2993"/>
      <c r="C179" s="116">
        <v>2015</v>
      </c>
      <c r="D179" s="50"/>
      <c r="E179" s="42"/>
      <c r="F179" s="42"/>
      <c r="G179" s="293">
        <f t="shared" ref="G179:G184" si="19">SUM(D179:F179)</f>
        <v>0</v>
      </c>
      <c r="H179" s="294"/>
      <c r="I179" s="118"/>
      <c r="J179" s="42"/>
      <c r="K179" s="42"/>
      <c r="L179" s="42"/>
      <c r="M179" s="42"/>
      <c r="N179" s="42"/>
      <c r="O179" s="99"/>
    </row>
    <row r="180" spans="1:15">
      <c r="A180" s="2994"/>
      <c r="B180" s="2993"/>
      <c r="C180" s="116">
        <v>2016</v>
      </c>
      <c r="D180" s="50">
        <v>1</v>
      </c>
      <c r="E180" s="42">
        <v>2</v>
      </c>
      <c r="F180" s="42"/>
      <c r="G180" s="293">
        <f t="shared" si="19"/>
        <v>3</v>
      </c>
      <c r="H180" s="294">
        <v>6</v>
      </c>
      <c r="I180" s="118">
        <v>1</v>
      </c>
      <c r="J180" s="42">
        <v>1</v>
      </c>
      <c r="K180" s="42">
        <v>1</v>
      </c>
      <c r="L180" s="42"/>
      <c r="M180" s="42"/>
      <c r="N180" s="42"/>
      <c r="O180" s="99"/>
    </row>
    <row r="181" spans="1:15">
      <c r="A181" s="2994"/>
      <c r="B181" s="2993"/>
      <c r="C181" s="116">
        <v>2017</v>
      </c>
      <c r="D181" s="50"/>
      <c r="E181" s="42"/>
      <c r="F181" s="42"/>
      <c r="G181" s="293">
        <f t="shared" si="19"/>
        <v>0</v>
      </c>
      <c r="H181" s="294"/>
      <c r="I181" s="118"/>
      <c r="J181" s="42"/>
      <c r="K181" s="42"/>
      <c r="L181" s="42"/>
      <c r="M181" s="42"/>
      <c r="N181" s="42"/>
      <c r="O181" s="99"/>
    </row>
    <row r="182" spans="1:15">
      <c r="A182" s="2994"/>
      <c r="B182" s="2993"/>
      <c r="C182" s="116">
        <v>2018</v>
      </c>
      <c r="D182" s="50"/>
      <c r="E182" s="42"/>
      <c r="F182" s="42"/>
      <c r="G182" s="293">
        <f t="shared" si="19"/>
        <v>0</v>
      </c>
      <c r="H182" s="294"/>
      <c r="I182" s="118"/>
      <c r="J182" s="42"/>
      <c r="K182" s="42"/>
      <c r="L182" s="42"/>
      <c r="M182" s="42"/>
      <c r="N182" s="42"/>
      <c r="O182" s="99"/>
    </row>
    <row r="183" spans="1:15">
      <c r="A183" s="2994"/>
      <c r="B183" s="2993"/>
      <c r="C183" s="116">
        <v>2019</v>
      </c>
      <c r="D183" s="50"/>
      <c r="E183" s="42"/>
      <c r="F183" s="42"/>
      <c r="G183" s="293">
        <f t="shared" si="19"/>
        <v>0</v>
      </c>
      <c r="H183" s="294"/>
      <c r="I183" s="118"/>
      <c r="J183" s="42"/>
      <c r="K183" s="42"/>
      <c r="L183" s="42"/>
      <c r="M183" s="42"/>
      <c r="N183" s="42"/>
      <c r="O183" s="99"/>
    </row>
    <row r="184" spans="1:15">
      <c r="A184" s="2994"/>
      <c r="B184" s="2993"/>
      <c r="C184" s="116">
        <v>2020</v>
      </c>
      <c r="D184" s="50"/>
      <c r="E184" s="42"/>
      <c r="F184" s="42"/>
      <c r="G184" s="293">
        <f t="shared" si="19"/>
        <v>0</v>
      </c>
      <c r="H184" s="294"/>
      <c r="I184" s="118"/>
      <c r="J184" s="42"/>
      <c r="K184" s="42"/>
      <c r="L184" s="42"/>
      <c r="M184" s="42"/>
      <c r="N184" s="42"/>
      <c r="O184" s="99"/>
    </row>
    <row r="185" spans="1:15" ht="45" customHeight="1" thickBot="1">
      <c r="A185" s="2995"/>
      <c r="B185" s="2996"/>
      <c r="C185" s="122" t="s">
        <v>12</v>
      </c>
      <c r="D185" s="151">
        <v>1</v>
      </c>
      <c r="E185" s="125">
        <v>2</v>
      </c>
      <c r="F185" s="125">
        <f>SUM(F178:F184)</f>
        <v>0</v>
      </c>
      <c r="G185" s="234">
        <f t="shared" ref="G185:O185" si="20">SUM(G178:G184)</f>
        <v>3</v>
      </c>
      <c r="H185" s="295">
        <v>6</v>
      </c>
      <c r="I185" s="124">
        <v>1</v>
      </c>
      <c r="J185" s="125">
        <v>1</v>
      </c>
      <c r="K185" s="125">
        <v>1</v>
      </c>
      <c r="L185" s="125">
        <f t="shared" si="20"/>
        <v>0</v>
      </c>
      <c r="M185" s="125">
        <f t="shared" si="20"/>
        <v>0</v>
      </c>
      <c r="N185" s="125">
        <f t="shared" si="20"/>
        <v>0</v>
      </c>
      <c r="O185" s="126">
        <f t="shared" si="20"/>
        <v>0</v>
      </c>
    </row>
    <row r="186" spans="1:15" ht="33" customHeight="1" thickBot="1"/>
    <row r="187" spans="1:15" ht="19.5" customHeight="1">
      <c r="A187" s="2758" t="s">
        <v>122</v>
      </c>
      <c r="B187" s="2885" t="s">
        <v>114</v>
      </c>
      <c r="C187" s="1998" t="s">
        <v>8</v>
      </c>
      <c r="D187" s="2000" t="s">
        <v>123</v>
      </c>
      <c r="E187" s="2886"/>
      <c r="F187" s="2886"/>
      <c r="G187" s="2759"/>
      <c r="H187" s="2747"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985"/>
      <c r="B189" s="2986"/>
      <c r="C189" s="392">
        <v>2014</v>
      </c>
      <c r="D189" s="142"/>
      <c r="E189" s="115"/>
      <c r="F189" s="115"/>
      <c r="G189" s="301">
        <f>SUM(D189:F189)</f>
        <v>0</v>
      </c>
      <c r="H189" s="114"/>
      <c r="I189" s="115"/>
      <c r="J189" s="115"/>
      <c r="K189" s="115"/>
      <c r="L189" s="143"/>
    </row>
    <row r="190" spans="1:15">
      <c r="A190" s="2987"/>
      <c r="B190" s="2253"/>
      <c r="C190" s="86">
        <v>2015</v>
      </c>
      <c r="D190" s="50"/>
      <c r="E190" s="42"/>
      <c r="F190" s="42"/>
      <c r="G190" s="301">
        <f t="shared" ref="G190:G195" si="21">SUM(D190:F190)</f>
        <v>0</v>
      </c>
      <c r="H190" s="118"/>
      <c r="I190" s="42"/>
      <c r="J190" s="42"/>
      <c r="K190" s="42"/>
      <c r="L190" s="99"/>
    </row>
    <row r="191" spans="1:15">
      <c r="A191" s="2987"/>
      <c r="B191" s="2253"/>
      <c r="C191" s="86">
        <v>2016</v>
      </c>
      <c r="D191" s="50">
        <v>45</v>
      </c>
      <c r="E191" s="42">
        <v>80</v>
      </c>
      <c r="F191" s="42"/>
      <c r="G191" s="301">
        <f>D191+E191</f>
        <v>125</v>
      </c>
      <c r="H191" s="118"/>
      <c r="I191" s="42">
        <v>2</v>
      </c>
      <c r="J191" s="42">
        <v>33</v>
      </c>
      <c r="K191" s="42">
        <v>8</v>
      </c>
      <c r="L191" s="99">
        <v>82</v>
      </c>
    </row>
    <row r="192" spans="1:15">
      <c r="A192" s="2987"/>
      <c r="B192" s="2253"/>
      <c r="C192" s="86">
        <v>2017</v>
      </c>
      <c r="D192" s="50"/>
      <c r="E192" s="42"/>
      <c r="F192" s="42"/>
      <c r="G192" s="301">
        <f t="shared" si="21"/>
        <v>0</v>
      </c>
      <c r="H192" s="118"/>
      <c r="I192" s="42"/>
      <c r="J192" s="42"/>
      <c r="K192" s="42"/>
      <c r="L192" s="99"/>
    </row>
    <row r="193" spans="1:14">
      <c r="A193" s="2987"/>
      <c r="B193" s="2253"/>
      <c r="C193" s="86">
        <v>2018</v>
      </c>
      <c r="D193" s="50"/>
      <c r="E193" s="42"/>
      <c r="F193" s="42"/>
      <c r="G193" s="301">
        <f t="shared" si="21"/>
        <v>0</v>
      </c>
      <c r="H193" s="118"/>
      <c r="I193" s="42"/>
      <c r="J193" s="42"/>
      <c r="K193" s="42"/>
      <c r="L193" s="99"/>
    </row>
    <row r="194" spans="1:14">
      <c r="A194" s="2987"/>
      <c r="B194" s="2253"/>
      <c r="C194" s="86">
        <v>2019</v>
      </c>
      <c r="D194" s="50"/>
      <c r="E194" s="42"/>
      <c r="F194" s="42"/>
      <c r="G194" s="301">
        <f t="shared" si="21"/>
        <v>0</v>
      </c>
      <c r="H194" s="118"/>
      <c r="I194" s="42"/>
      <c r="J194" s="42"/>
      <c r="K194" s="42"/>
      <c r="L194" s="99"/>
    </row>
    <row r="195" spans="1:14">
      <c r="A195" s="2987"/>
      <c r="B195" s="2253"/>
      <c r="C195" s="86">
        <v>2020</v>
      </c>
      <c r="D195" s="50"/>
      <c r="E195" s="42"/>
      <c r="F195" s="42"/>
      <c r="G195" s="301">
        <f t="shared" si="21"/>
        <v>0</v>
      </c>
      <c r="H195" s="118"/>
      <c r="I195" s="42"/>
      <c r="J195" s="42"/>
      <c r="K195" s="42"/>
      <c r="L195" s="99"/>
    </row>
    <row r="196" spans="1:14" ht="15.75" thickBot="1">
      <c r="A196" s="2988"/>
      <c r="B196" s="2256"/>
      <c r="C196" s="148" t="s">
        <v>12</v>
      </c>
      <c r="D196" s="151">
        <v>45</v>
      </c>
      <c r="E196" s="125">
        <f t="shared" ref="E196:L196" si="22">SUM(E189:E195)</f>
        <v>80</v>
      </c>
      <c r="F196" s="125">
        <f t="shared" si="22"/>
        <v>0</v>
      </c>
      <c r="G196" s="304">
        <f t="shared" si="22"/>
        <v>125</v>
      </c>
      <c r="H196" s="124">
        <f t="shared" si="22"/>
        <v>0</v>
      </c>
      <c r="I196" s="125">
        <f t="shared" si="22"/>
        <v>2</v>
      </c>
      <c r="J196" s="125">
        <f t="shared" si="22"/>
        <v>33</v>
      </c>
      <c r="K196" s="125">
        <f t="shared" si="22"/>
        <v>8</v>
      </c>
      <c r="L196" s="126">
        <f t="shared" si="22"/>
        <v>82</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1691" t="s">
        <v>135</v>
      </c>
      <c r="B201" s="309" t="s">
        <v>114</v>
      </c>
      <c r="C201" s="310" t="s">
        <v>8</v>
      </c>
      <c r="D201" s="1555" t="s">
        <v>136</v>
      </c>
      <c r="E201" s="312" t="s">
        <v>137</v>
      </c>
      <c r="F201" s="312" t="s">
        <v>138</v>
      </c>
      <c r="G201" s="310" t="s">
        <v>139</v>
      </c>
      <c r="H201" s="1692" t="s">
        <v>140</v>
      </c>
      <c r="I201" s="1556" t="s">
        <v>141</v>
      </c>
      <c r="J201" s="1557" t="s">
        <v>142</v>
      </c>
      <c r="K201" s="312" t="s">
        <v>143</v>
      </c>
      <c r="L201" s="316" t="s">
        <v>144</v>
      </c>
    </row>
    <row r="202" spans="1:14" ht="15" customHeight="1">
      <c r="A202" s="2983"/>
      <c r="B202" s="2253"/>
      <c r="C202" s="84">
        <v>2014</v>
      </c>
      <c r="D202" s="33"/>
      <c r="E202" s="34"/>
      <c r="F202" s="34"/>
      <c r="G202" s="32"/>
      <c r="H202" s="317"/>
      <c r="I202" s="318"/>
      <c r="J202" s="319"/>
      <c r="K202" s="34"/>
      <c r="L202" s="37"/>
    </row>
    <row r="203" spans="1:14">
      <c r="A203" s="2983"/>
      <c r="B203" s="2253"/>
      <c r="C203" s="86">
        <v>2015</v>
      </c>
      <c r="D203" s="50"/>
      <c r="E203" s="42"/>
      <c r="F203" s="42"/>
      <c r="G203" s="39"/>
      <c r="H203" s="320"/>
      <c r="I203" s="321"/>
      <c r="J203" s="322"/>
      <c r="K203" s="42"/>
      <c r="L203" s="99"/>
    </row>
    <row r="204" spans="1:14">
      <c r="A204" s="2983"/>
      <c r="B204" s="2253"/>
      <c r="C204" s="86">
        <v>2016</v>
      </c>
      <c r="D204" s="50"/>
      <c r="E204" s="42"/>
      <c r="F204" s="42"/>
      <c r="G204" s="39"/>
      <c r="H204" s="320"/>
      <c r="I204" s="321"/>
      <c r="J204" s="322"/>
      <c r="K204" s="42"/>
      <c r="L204" s="99"/>
    </row>
    <row r="205" spans="1:14">
      <c r="A205" s="2983"/>
      <c r="B205" s="2253"/>
      <c r="C205" s="86">
        <v>2017</v>
      </c>
      <c r="D205" s="50"/>
      <c r="E205" s="42"/>
      <c r="F205" s="42"/>
      <c r="G205" s="39"/>
      <c r="H205" s="320"/>
      <c r="I205" s="321"/>
      <c r="J205" s="322"/>
      <c r="K205" s="42"/>
      <c r="L205" s="99"/>
    </row>
    <row r="206" spans="1:14">
      <c r="A206" s="2983"/>
      <c r="B206" s="2253"/>
      <c r="C206" s="86">
        <v>2018</v>
      </c>
      <c r="D206" s="50"/>
      <c r="E206" s="42"/>
      <c r="F206" s="42"/>
      <c r="G206" s="39"/>
      <c r="H206" s="320"/>
      <c r="I206" s="321"/>
      <c r="J206" s="322"/>
      <c r="K206" s="42"/>
      <c r="L206" s="99"/>
    </row>
    <row r="207" spans="1:14">
      <c r="A207" s="2983"/>
      <c r="B207" s="2253"/>
      <c r="C207" s="86">
        <v>2019</v>
      </c>
      <c r="D207" s="50"/>
      <c r="E207" s="42"/>
      <c r="F207" s="42"/>
      <c r="G207" s="39"/>
      <c r="H207" s="320"/>
      <c r="I207" s="321"/>
      <c r="J207" s="322"/>
      <c r="K207" s="42"/>
      <c r="L207" s="99"/>
    </row>
    <row r="208" spans="1:14">
      <c r="A208" s="2983"/>
      <c r="B208" s="2253"/>
      <c r="C208" s="86">
        <v>2020</v>
      </c>
      <c r="D208" s="1657"/>
      <c r="E208" s="324"/>
      <c r="F208" s="324"/>
      <c r="G208" s="325"/>
      <c r="H208" s="326"/>
      <c r="I208" s="327"/>
      <c r="J208" s="328"/>
      <c r="K208" s="324"/>
      <c r="L208" s="329"/>
    </row>
    <row r="209" spans="1:12" ht="20.25" customHeight="1" thickBot="1">
      <c r="A209" s="2408"/>
      <c r="B209" s="2256"/>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1693" t="s">
        <v>145</v>
      </c>
      <c r="B212" s="331" t="s">
        <v>146</v>
      </c>
      <c r="C212" s="332">
        <v>2014</v>
      </c>
      <c r="D212" s="333">
        <v>2015</v>
      </c>
      <c r="E212" s="333">
        <v>2016</v>
      </c>
      <c r="F212" s="333">
        <v>2017</v>
      </c>
      <c r="G212" s="333">
        <v>2018</v>
      </c>
      <c r="H212" s="333">
        <v>2019</v>
      </c>
      <c r="I212" s="334">
        <v>2020</v>
      </c>
    </row>
    <row r="213" spans="1:12" ht="15" customHeight="1">
      <c r="A213" t="s">
        <v>147</v>
      </c>
      <c r="B213" s="2984" t="s">
        <v>536</v>
      </c>
      <c r="C213" s="84"/>
      <c r="D213" s="144">
        <v>9275.5499999999993</v>
      </c>
      <c r="E213" s="3028">
        <f>SUM(E214:E217)</f>
        <v>60950.69</v>
      </c>
      <c r="F213" s="147"/>
      <c r="G213" s="147"/>
      <c r="H213" s="147"/>
      <c r="I213" s="335"/>
    </row>
    <row r="214" spans="1:12">
      <c r="A214" t="s">
        <v>149</v>
      </c>
      <c r="B214" s="2705"/>
      <c r="C214" s="84"/>
      <c r="D214" s="437">
        <v>9275.5499999999993</v>
      </c>
      <c r="E214" s="598">
        <v>22479.27</v>
      </c>
      <c r="F214" s="437"/>
      <c r="G214" s="147"/>
      <c r="H214" s="147"/>
      <c r="I214" s="335"/>
    </row>
    <row r="215" spans="1:12">
      <c r="A215" t="s">
        <v>150</v>
      </c>
      <c r="B215" s="2705"/>
      <c r="C215" s="84"/>
      <c r="D215" s="147"/>
      <c r="E215" s="404"/>
      <c r="F215" s="147"/>
      <c r="G215" s="147"/>
      <c r="H215" s="147"/>
      <c r="I215" s="335"/>
    </row>
    <row r="216" spans="1:12">
      <c r="A216" t="s">
        <v>151</v>
      </c>
      <c r="B216" s="2705"/>
      <c r="C216" s="84"/>
      <c r="D216" s="147"/>
      <c r="E216" s="404"/>
      <c r="F216" s="147"/>
      <c r="G216" s="147"/>
      <c r="H216" s="147"/>
      <c r="I216" s="335"/>
    </row>
    <row r="217" spans="1:12">
      <c r="A217" t="s">
        <v>152</v>
      </c>
      <c r="B217" s="2705"/>
      <c r="C217" s="84"/>
      <c r="D217" s="147"/>
      <c r="E217" s="365">
        <v>38471.42</v>
      </c>
      <c r="F217" s="147"/>
      <c r="G217" s="147"/>
      <c r="H217" s="147"/>
      <c r="I217" s="335"/>
    </row>
    <row r="218" spans="1:12" ht="30">
      <c r="A218" s="31" t="s">
        <v>153</v>
      </c>
      <c r="B218" s="2705"/>
      <c r="C218" s="84"/>
      <c r="D218" s="437">
        <v>100000</v>
      </c>
      <c r="E218" s="598">
        <v>94378.25</v>
      </c>
      <c r="F218" s="147"/>
      <c r="G218" s="147"/>
      <c r="H218" s="147"/>
      <c r="I218" s="335"/>
    </row>
    <row r="219" spans="1:12" ht="15.75" thickBot="1">
      <c r="A219" s="1656"/>
      <c r="B219" s="2706"/>
      <c r="C219" s="54" t="s">
        <v>12</v>
      </c>
      <c r="D219" s="337">
        <f>SUM(D214:D218)</f>
        <v>109275.55</v>
      </c>
      <c r="E219" s="337">
        <f t="shared" ref="E219:I219" si="24">SUM(E214:E218)</f>
        <v>155328.94</v>
      </c>
      <c r="F219" s="337">
        <f t="shared" si="24"/>
        <v>0</v>
      </c>
      <c r="G219" s="337">
        <f t="shared" si="24"/>
        <v>0</v>
      </c>
      <c r="H219" s="337">
        <f t="shared" si="24"/>
        <v>0</v>
      </c>
      <c r="I219" s="337">
        <f t="shared" si="24"/>
        <v>0</v>
      </c>
    </row>
    <row r="227" spans="1:1">
      <c r="A227" s="31"/>
    </row>
    <row r="242" spans="1:1">
      <c r="A242" t="s">
        <v>537</v>
      </c>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hyperlinks>
    <hyperlink ref="A40" display="brak statystyki wejść na stronę internetową - brak zliczania wejść ze względów technicznych (www.zodr.pl)"/>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7"/>
  <dimension ref="A1:Y227"/>
  <sheetViews>
    <sheetView tabSelected="1" topLeftCell="B205" workbookViewId="0">
      <selection activeCell="F23" sqref="F23"/>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571</v>
      </c>
      <c r="C1" s="2077"/>
      <c r="D1" s="2077"/>
      <c r="E1" s="2077"/>
      <c r="F1" s="2077"/>
    </row>
    <row r="2" spans="1:25" s="2" customFormat="1" ht="20.100000000000001" customHeight="1" thickBot="1">
      <c r="B2" s="1703"/>
    </row>
    <row r="3" spans="1:25" s="5" customFormat="1" ht="20.100000000000001" customHeight="1">
      <c r="A3" s="1402" t="s">
        <v>1</v>
      </c>
      <c r="B3" s="1436"/>
      <c r="C3" s="1436"/>
      <c r="D3" s="1436"/>
      <c r="E3" s="1436"/>
      <c r="F3" s="2590"/>
      <c r="G3" s="2590"/>
      <c r="H3" s="2590"/>
      <c r="I3" s="2590"/>
      <c r="J3" s="2590"/>
      <c r="K3" s="2590"/>
      <c r="L3" s="2590"/>
      <c r="M3" s="2590"/>
      <c r="N3" s="2590"/>
      <c r="O3" s="2199"/>
    </row>
    <row r="4" spans="1:25" s="5" customFormat="1" ht="20.100000000000001" customHeight="1">
      <c r="A4" s="2566" t="s">
        <v>2</v>
      </c>
      <c r="B4" s="2081"/>
      <c r="C4" s="2081"/>
      <c r="D4" s="2081"/>
      <c r="E4" s="2081"/>
      <c r="F4" s="2081"/>
      <c r="G4" s="2081"/>
      <c r="H4" s="2081"/>
      <c r="I4" s="2081"/>
      <c r="J4" s="2081"/>
      <c r="K4" s="2081"/>
      <c r="L4" s="2081"/>
      <c r="M4" s="2081"/>
      <c r="N4" s="2081"/>
      <c r="O4" s="2082"/>
    </row>
    <row r="5" spans="1:25" s="5" customFormat="1" ht="20.100000000000001" customHeight="1">
      <c r="A5" s="2566"/>
      <c r="B5" s="2081"/>
      <c r="C5" s="2081"/>
      <c r="D5" s="2081"/>
      <c r="E5" s="2081"/>
      <c r="F5" s="2081"/>
      <c r="G5" s="2081"/>
      <c r="H5" s="2081"/>
      <c r="I5" s="2081"/>
      <c r="J5" s="2081"/>
      <c r="K5" s="2081"/>
      <c r="L5" s="2081"/>
      <c r="M5" s="2081"/>
      <c r="N5" s="2081"/>
      <c r="O5" s="2082"/>
    </row>
    <row r="6" spans="1:25" s="5" customFormat="1" ht="20.100000000000001" customHeight="1">
      <c r="A6" s="2566"/>
      <c r="B6" s="2081"/>
      <c r="C6" s="2081"/>
      <c r="D6" s="2081"/>
      <c r="E6" s="2081"/>
      <c r="F6" s="2081"/>
      <c r="G6" s="2081"/>
      <c r="H6" s="2081"/>
      <c r="I6" s="2081"/>
      <c r="J6" s="2081"/>
      <c r="K6" s="2081"/>
      <c r="L6" s="2081"/>
      <c r="M6" s="2081"/>
      <c r="N6" s="2081"/>
      <c r="O6" s="2082"/>
    </row>
    <row r="7" spans="1:25" s="5" customFormat="1" ht="20.100000000000001" customHeight="1">
      <c r="A7" s="2566"/>
      <c r="B7" s="2081"/>
      <c r="C7" s="2081"/>
      <c r="D7" s="2081"/>
      <c r="E7" s="2081"/>
      <c r="F7" s="2081"/>
      <c r="G7" s="2081"/>
      <c r="H7" s="2081"/>
      <c r="I7" s="2081"/>
      <c r="J7" s="2081"/>
      <c r="K7" s="2081"/>
      <c r="L7" s="2081"/>
      <c r="M7" s="2081"/>
      <c r="N7" s="2081"/>
      <c r="O7" s="2082"/>
    </row>
    <row r="8" spans="1:25" s="5" customFormat="1" ht="20.100000000000001" customHeight="1">
      <c r="A8" s="2566"/>
      <c r="B8" s="2081"/>
      <c r="C8" s="2081"/>
      <c r="D8" s="2081"/>
      <c r="E8" s="2081"/>
      <c r="F8" s="2081"/>
      <c r="G8" s="2081"/>
      <c r="H8" s="2081"/>
      <c r="I8" s="2081"/>
      <c r="J8" s="2081"/>
      <c r="K8" s="2081"/>
      <c r="L8" s="2081"/>
      <c r="M8" s="2081"/>
      <c r="N8" s="2081"/>
      <c r="O8" s="2082"/>
    </row>
    <row r="9" spans="1:25" s="5" customFormat="1" ht="20.100000000000001" customHeight="1">
      <c r="A9" s="2566"/>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1708"/>
      <c r="B15" s="1709"/>
      <c r="C15" s="1978"/>
      <c r="D15" s="3020" t="s">
        <v>4</v>
      </c>
      <c r="E15" s="2852"/>
      <c r="F15" s="2852"/>
      <c r="G15" s="2852"/>
      <c r="H15" s="1979"/>
      <c r="I15" s="1980" t="s">
        <v>5</v>
      </c>
      <c r="J15" s="1981"/>
      <c r="K15" s="1981"/>
      <c r="L15" s="1981"/>
      <c r="M15" s="1981"/>
      <c r="N15" s="1981"/>
      <c r="O15" s="1982"/>
      <c r="P15" s="16"/>
      <c r="Q15" s="17"/>
      <c r="R15" s="18"/>
      <c r="S15" s="18"/>
      <c r="T15" s="18"/>
      <c r="U15" s="18"/>
      <c r="V15" s="18"/>
      <c r="W15" s="16"/>
      <c r="X15" s="16"/>
      <c r="Y15" s="17"/>
    </row>
    <row r="16" spans="1:25" s="31" customFormat="1" ht="129" customHeight="1">
      <c r="A16" s="1983"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3021"/>
      <c r="B17" s="2253"/>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2983"/>
      <c r="B18" s="2253"/>
      <c r="C18" s="39">
        <v>2015</v>
      </c>
      <c r="D18" s="50">
        <f>SUM('dolnośląskie:ODR woj. zachodniopomorskie'!D18)</f>
        <v>338</v>
      </c>
      <c r="E18" s="50">
        <f>SUM('dolnośląskie:ODR woj. zachodniopomorskie'!E18)</f>
        <v>74</v>
      </c>
      <c r="F18" s="50">
        <f>SUM('dolnośląskie:ODR woj. zachodniopomorskie'!F18)</f>
        <v>12</v>
      </c>
      <c r="G18" s="35">
        <f>SUM(D18:F18)</f>
        <v>424</v>
      </c>
      <c r="H18" s="51">
        <f>SUM('dolnośląskie:ODR woj. zachodniopomorskie'!H18)</f>
        <v>45</v>
      </c>
      <c r="I18" s="50">
        <f>SUM('dolnośląskie:ODR woj. zachodniopomorskie'!I18)</f>
        <v>30</v>
      </c>
      <c r="J18" s="50">
        <f>SUM('dolnośląskie:ODR woj. zachodniopomorskie'!J18)</f>
        <v>8</v>
      </c>
      <c r="K18" s="50">
        <f>SUM('dolnośląskie:ODR woj. zachodniopomorskie'!K18)</f>
        <v>75</v>
      </c>
      <c r="L18" s="50">
        <f>SUM('dolnośląskie:ODR woj. zachodniopomorskie'!L18)</f>
        <v>28</v>
      </c>
      <c r="M18" s="50">
        <f>SUM('dolnośląskie:ODR woj. zachodniopomorskie'!M18)</f>
        <v>2</v>
      </c>
      <c r="N18" s="50">
        <f>SUM('dolnośląskie:ODR woj. zachodniopomorskie'!N18)</f>
        <v>3</v>
      </c>
      <c r="O18" s="52">
        <f>SUM('dolnośląskie:ODR woj. zachodniopomorskie'!O18)</f>
        <v>228</v>
      </c>
      <c r="P18" s="38"/>
      <c r="Q18" s="38"/>
      <c r="R18" s="38"/>
      <c r="S18" s="38"/>
      <c r="T18" s="38"/>
      <c r="U18" s="38"/>
      <c r="V18" s="38"/>
      <c r="W18" s="38"/>
      <c r="X18" s="38"/>
      <c r="Y18" s="38"/>
    </row>
    <row r="19" spans="1:25">
      <c r="A19" s="2983"/>
      <c r="B19" s="2253"/>
      <c r="C19" s="39">
        <v>2016</v>
      </c>
      <c r="D19" s="50">
        <f>SUM('dolnośląskie:ODR woj. zachodniopomorskie'!D19)</f>
        <v>786</v>
      </c>
      <c r="E19" s="50">
        <f>SUM('dolnośląskie:ODR woj. zachodniopomorskie'!E19)</f>
        <v>91</v>
      </c>
      <c r="F19" s="50">
        <f>SUM('dolnośląskie:ODR woj. zachodniopomorskie'!F19)</f>
        <v>50</v>
      </c>
      <c r="G19" s="35">
        <f t="shared" si="0"/>
        <v>927</v>
      </c>
      <c r="H19" s="51">
        <f>SUM('dolnośląskie:ODR woj. zachodniopomorskie'!H19)</f>
        <v>281</v>
      </c>
      <c r="I19" s="50">
        <f>SUM('dolnośląskie:ODR woj. zachodniopomorskie'!I19)</f>
        <v>194</v>
      </c>
      <c r="J19" s="50">
        <f>SUM('dolnośląskie:ODR woj. zachodniopomorskie'!J19)</f>
        <v>21</v>
      </c>
      <c r="K19" s="50">
        <f>SUM('dolnośląskie:ODR woj. zachodniopomorskie'!K19)</f>
        <v>233</v>
      </c>
      <c r="L19" s="50">
        <f>SUM('dolnośląskie:ODR woj. zachodniopomorskie'!L19)</f>
        <v>36</v>
      </c>
      <c r="M19" s="50">
        <f>SUM('dolnośląskie:ODR woj. zachodniopomorskie'!M19)</f>
        <v>13</v>
      </c>
      <c r="N19" s="50">
        <f>SUM('dolnośląskie:ODR woj. zachodniopomorskie'!N19)</f>
        <v>1</v>
      </c>
      <c r="O19" s="52">
        <f>SUM('dolnośląskie:ODR woj. zachodniopomorskie'!O19)</f>
        <v>148</v>
      </c>
      <c r="P19" s="38"/>
      <c r="Q19" s="38"/>
      <c r="R19" s="38"/>
      <c r="S19" s="38"/>
      <c r="T19" s="38"/>
      <c r="U19" s="38"/>
      <c r="V19" s="38"/>
      <c r="W19" s="38"/>
      <c r="X19" s="38"/>
      <c r="Y19" s="38"/>
    </row>
    <row r="20" spans="1:25">
      <c r="A20" s="2983"/>
      <c r="B20" s="2253"/>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2983"/>
      <c r="B21" s="2253"/>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2983"/>
      <c r="B22" s="2253"/>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2983"/>
      <c r="B23" s="2253"/>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19.5" customHeight="1" thickBot="1">
      <c r="A24" s="2408"/>
      <c r="B24" s="2256"/>
      <c r="C24" s="54" t="s">
        <v>12</v>
      </c>
      <c r="D24" s="55">
        <f>SUM(D17:D23)</f>
        <v>1124</v>
      </c>
      <c r="E24" s="56">
        <f>SUM(E17:E23)</f>
        <v>165</v>
      </c>
      <c r="F24" s="56">
        <f>SUM(F17:F23)</f>
        <v>62</v>
      </c>
      <c r="G24" s="57">
        <f>SUM(D24:F24)</f>
        <v>1351</v>
      </c>
      <c r="H24" s="58">
        <f>SUM(H17:H23)</f>
        <v>326</v>
      </c>
      <c r="I24" s="59">
        <f>SUM(I17:I23)</f>
        <v>224</v>
      </c>
      <c r="J24" s="59">
        <f t="shared" ref="J24:N24" si="1">SUM(J17:J23)</f>
        <v>29</v>
      </c>
      <c r="K24" s="59">
        <f t="shared" si="1"/>
        <v>308</v>
      </c>
      <c r="L24" s="59">
        <f t="shared" si="1"/>
        <v>64</v>
      </c>
      <c r="M24" s="59">
        <f t="shared" si="1"/>
        <v>15</v>
      </c>
      <c r="N24" s="59">
        <f t="shared" si="1"/>
        <v>4</v>
      </c>
      <c r="O24" s="60">
        <f>SUM(O17:O23)</f>
        <v>376</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570"/>
      <c r="B26" s="571"/>
      <c r="C26" s="63"/>
      <c r="D26" s="2092" t="s">
        <v>4</v>
      </c>
      <c r="E26" s="2245"/>
      <c r="F26" s="2245"/>
      <c r="G26" s="2246"/>
      <c r="H26" s="16"/>
      <c r="I26" s="17"/>
      <c r="J26" s="18"/>
      <c r="K26" s="18"/>
      <c r="L26" s="18"/>
      <c r="M26" s="18"/>
      <c r="N26" s="18"/>
      <c r="O26" s="16"/>
      <c r="P26" s="16"/>
    </row>
    <row r="27" spans="1:25" s="31" customFormat="1" ht="93" customHeight="1">
      <c r="A27" s="1364"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550"/>
      <c r="B28" s="1988"/>
      <c r="C28" s="68">
        <v>2014</v>
      </c>
      <c r="D28" s="36"/>
      <c r="E28" s="34"/>
      <c r="F28" s="34"/>
      <c r="G28" s="69">
        <f>SUM(D28:F28)</f>
        <v>0</v>
      </c>
      <c r="H28" s="38"/>
      <c r="I28" s="38"/>
      <c r="J28" s="38"/>
      <c r="K28" s="38"/>
      <c r="L28" s="38"/>
      <c r="M28" s="38"/>
      <c r="N28" s="38"/>
      <c r="O28" s="38"/>
      <c r="P28" s="38"/>
      <c r="Q28" s="8"/>
    </row>
    <row r="29" spans="1:25">
      <c r="A29" s="2551"/>
      <c r="B29" s="1988"/>
      <c r="C29" s="70">
        <v>2015</v>
      </c>
      <c r="D29" s="51">
        <f>SUM('dolnośląskie:ODR woj. zachodniopomorskie'!D29)</f>
        <v>228624</v>
      </c>
      <c r="E29" s="50">
        <f>SUM('dolnośląskie:ODR woj. zachodniopomorskie'!E29)-274131</f>
        <v>418903</v>
      </c>
      <c r="F29" s="50">
        <f>SUM('dolnośląskie:ODR woj. zachodniopomorskie'!F29)</f>
        <v>51429</v>
      </c>
      <c r="G29" s="69">
        <f t="shared" ref="G29:G35" si="2">SUM(D29:F29)</f>
        <v>698956</v>
      </c>
      <c r="H29" s="38"/>
      <c r="I29" s="38"/>
      <c r="J29" s="38"/>
      <c r="K29" s="38"/>
      <c r="L29" s="38"/>
      <c r="M29" s="38"/>
      <c r="N29" s="38"/>
      <c r="O29" s="38"/>
      <c r="P29" s="38"/>
      <c r="Q29" s="8"/>
    </row>
    <row r="30" spans="1:25">
      <c r="A30" s="2551"/>
      <c r="B30" s="1988"/>
      <c r="C30" s="70">
        <v>2016</v>
      </c>
      <c r="D30" s="51">
        <f>SUM('dolnośląskie:ODR woj. zachodniopomorskie'!D30)</f>
        <v>1106041</v>
      </c>
      <c r="E30" s="50">
        <f>SUM('dolnośląskie:ODR woj. zachodniopomorskie'!E30)-357000</f>
        <v>973479</v>
      </c>
      <c r="F30" s="50">
        <f>SUM('dolnośląskie:ODR woj. zachodniopomorskie'!F30)-1981672</f>
        <v>1125057</v>
      </c>
      <c r="G30" s="69">
        <f t="shared" si="2"/>
        <v>3204577</v>
      </c>
      <c r="H30" s="38"/>
      <c r="I30" s="38"/>
      <c r="J30" s="38"/>
      <c r="K30" s="38"/>
      <c r="L30" s="38"/>
      <c r="M30" s="38"/>
      <c r="N30" s="38"/>
      <c r="O30" s="38"/>
      <c r="P30" s="38"/>
      <c r="Q30" s="8"/>
    </row>
    <row r="31" spans="1:25">
      <c r="A31" s="2551"/>
      <c r="B31" s="1988"/>
      <c r="C31" s="70">
        <v>2017</v>
      </c>
      <c r="D31" s="51"/>
      <c r="E31" s="42"/>
      <c r="F31" s="42"/>
      <c r="G31" s="69">
        <f t="shared" si="2"/>
        <v>0</v>
      </c>
      <c r="H31" s="38"/>
      <c r="I31" s="38"/>
      <c r="J31" s="38"/>
      <c r="K31" s="38"/>
      <c r="L31" s="38"/>
      <c r="M31" s="38"/>
      <c r="N31" s="38"/>
      <c r="O31" s="38"/>
      <c r="P31" s="38"/>
      <c r="Q31" s="8"/>
    </row>
    <row r="32" spans="1:25">
      <c r="A32" s="2551"/>
      <c r="B32" s="1988"/>
      <c r="C32" s="70">
        <v>2018</v>
      </c>
      <c r="D32" s="51"/>
      <c r="E32" s="42"/>
      <c r="F32" s="42"/>
      <c r="G32" s="69">
        <f>SUM(D32:F32)</f>
        <v>0</v>
      </c>
      <c r="H32" s="38"/>
      <c r="I32" s="38"/>
      <c r="J32" s="38"/>
      <c r="K32" s="38"/>
      <c r="L32" s="38"/>
      <c r="M32" s="38"/>
      <c r="N32" s="38"/>
      <c r="O32" s="38"/>
      <c r="P32" s="38"/>
      <c r="Q32" s="8"/>
    </row>
    <row r="33" spans="1:17">
      <c r="A33" s="2551"/>
      <c r="B33" s="1988"/>
      <c r="C33" s="72">
        <v>2019</v>
      </c>
      <c r="D33" s="51"/>
      <c r="E33" s="42"/>
      <c r="F33" s="42"/>
      <c r="G33" s="69">
        <f t="shared" si="2"/>
        <v>0</v>
      </c>
      <c r="H33" s="38"/>
      <c r="I33" s="38"/>
      <c r="J33" s="38"/>
      <c r="K33" s="38"/>
      <c r="L33" s="38"/>
      <c r="M33" s="38"/>
      <c r="N33" s="38"/>
      <c r="O33" s="38"/>
      <c r="P33" s="38"/>
      <c r="Q33" s="8"/>
    </row>
    <row r="34" spans="1:17">
      <c r="A34" s="2551"/>
      <c r="B34" s="1988"/>
      <c r="C34" s="70">
        <v>2020</v>
      </c>
      <c r="D34" s="51"/>
      <c r="E34" s="42"/>
      <c r="F34" s="42"/>
      <c r="G34" s="69">
        <f t="shared" si="2"/>
        <v>0</v>
      </c>
      <c r="H34" s="38"/>
      <c r="I34" s="38"/>
      <c r="J34" s="38"/>
      <c r="K34" s="38"/>
      <c r="L34" s="38"/>
      <c r="M34" s="38"/>
      <c r="N34" s="38"/>
      <c r="O34" s="38"/>
      <c r="P34" s="38"/>
      <c r="Q34" s="8"/>
    </row>
    <row r="35" spans="1:17" ht="20.25" customHeight="1" thickBot="1">
      <c r="A35" s="1989"/>
      <c r="B35" s="1990"/>
      <c r="C35" s="73" t="s">
        <v>12</v>
      </c>
      <c r="D35" s="58">
        <f>SUM(D28:D34)</f>
        <v>1334665</v>
      </c>
      <c r="E35" s="56">
        <f>SUM(E28:E34)</f>
        <v>1392382</v>
      </c>
      <c r="F35" s="56">
        <f>SUM(F28:F34)</f>
        <v>1176486</v>
      </c>
      <c r="G35" s="60">
        <f t="shared" si="2"/>
        <v>3903533</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576" t="s">
        <v>25</v>
      </c>
      <c r="B39" s="577" t="s">
        <v>7</v>
      </c>
      <c r="C39" s="80" t="s">
        <v>8</v>
      </c>
      <c r="D39" s="546" t="s">
        <v>26</v>
      </c>
      <c r="E39" s="352" t="s">
        <v>27</v>
      </c>
      <c r="F39" s="353"/>
      <c r="G39" s="30"/>
      <c r="H39" s="30"/>
    </row>
    <row r="40" spans="1:17">
      <c r="A40" s="2550"/>
      <c r="B40" s="1988"/>
      <c r="C40" s="84">
        <v>2014</v>
      </c>
      <c r="D40" s="33"/>
      <c r="E40" s="32"/>
      <c r="F40" s="8"/>
      <c r="G40" s="38"/>
      <c r="H40" s="38"/>
    </row>
    <row r="41" spans="1:17">
      <c r="A41" s="2551"/>
      <c r="B41" s="1988"/>
      <c r="C41" s="86">
        <v>2015</v>
      </c>
      <c r="D41" s="50">
        <f>SUM('dolnośląskie:ODR woj. zachodniopomorskie'!D41)</f>
        <v>7036704</v>
      </c>
      <c r="E41" s="39">
        <f>SUM('dolnośląskie:ODR woj. zachodniopomorskie'!E41)</f>
        <v>2475625</v>
      </c>
      <c r="F41" s="8"/>
      <c r="G41" s="38"/>
      <c r="H41" s="38"/>
    </row>
    <row r="42" spans="1:17">
      <c r="A42" s="2551"/>
      <c r="B42" s="1988"/>
      <c r="C42" s="86">
        <v>2016</v>
      </c>
      <c r="D42" s="50">
        <f>SUM('dolnośląskie:ODR woj. zachodniopomorskie'!D42)</f>
        <v>2940304</v>
      </c>
      <c r="E42" s="39">
        <f>SUM('dolnośląskie:ODR woj. zachodniopomorskie'!E42)</f>
        <v>1187113</v>
      </c>
      <c r="F42" s="8"/>
      <c r="G42" s="38"/>
      <c r="H42" s="38"/>
    </row>
    <row r="43" spans="1:17">
      <c r="A43" s="2551"/>
      <c r="B43" s="1988"/>
      <c r="C43" s="86">
        <v>2017</v>
      </c>
      <c r="D43" s="50"/>
      <c r="E43" s="39"/>
      <c r="F43" s="8"/>
      <c r="G43" s="38"/>
      <c r="H43" s="38"/>
    </row>
    <row r="44" spans="1:17">
      <c r="A44" s="2551"/>
      <c r="B44" s="1988"/>
      <c r="C44" s="86">
        <v>2018</v>
      </c>
      <c r="D44" s="50"/>
      <c r="E44" s="39"/>
      <c r="F44" s="8"/>
      <c r="G44" s="38"/>
      <c r="H44" s="38"/>
    </row>
    <row r="45" spans="1:17">
      <c r="A45" s="2551"/>
      <c r="B45" s="1988"/>
      <c r="C45" s="86">
        <v>2019</v>
      </c>
      <c r="D45" s="50"/>
      <c r="E45" s="39"/>
      <c r="F45" s="8"/>
      <c r="G45" s="38"/>
      <c r="H45" s="38"/>
    </row>
    <row r="46" spans="1:17">
      <c r="A46" s="2551"/>
      <c r="B46" s="1988"/>
      <c r="C46" s="86">
        <v>2020</v>
      </c>
      <c r="D46" s="50"/>
      <c r="E46" s="39"/>
      <c r="F46" s="8"/>
      <c r="G46" s="38"/>
      <c r="H46" s="38"/>
    </row>
    <row r="47" spans="1:17" ht="15.75" thickBot="1">
      <c r="A47" s="1989"/>
      <c r="B47" s="1990"/>
      <c r="C47" s="54" t="s">
        <v>12</v>
      </c>
      <c r="D47" s="55">
        <f>SUM(D40:D46)</f>
        <v>9977008</v>
      </c>
      <c r="E47" s="419">
        <f>SUM(E40:E46)</f>
        <v>3662738</v>
      </c>
      <c r="F47" s="121"/>
      <c r="G47" s="38"/>
      <c r="H47" s="38"/>
    </row>
    <row r="48" spans="1:17" s="38" customFormat="1" ht="15.75" thickBot="1">
      <c r="A48" s="549"/>
      <c r="B48" s="92"/>
      <c r="C48" s="93"/>
    </row>
    <row r="49" spans="1:15" ht="83.25" customHeight="1">
      <c r="A49" s="94" t="s">
        <v>29</v>
      </c>
      <c r="B49" s="577" t="s">
        <v>7</v>
      </c>
      <c r="C49" s="95" t="s">
        <v>8</v>
      </c>
      <c r="D49" s="546" t="s">
        <v>30</v>
      </c>
      <c r="E49" s="96" t="s">
        <v>31</v>
      </c>
      <c r="F49" s="96" t="s">
        <v>32</v>
      </c>
      <c r="G49" s="96" t="s">
        <v>33</v>
      </c>
      <c r="H49" s="96" t="s">
        <v>34</v>
      </c>
      <c r="I49" s="96" t="s">
        <v>35</v>
      </c>
      <c r="J49" s="96" t="s">
        <v>36</v>
      </c>
      <c r="K49" s="97" t="s">
        <v>37</v>
      </c>
    </row>
    <row r="50" spans="1:15" ht="17.25" customHeight="1">
      <c r="A50" s="2005"/>
      <c r="B50" s="2012"/>
      <c r="C50" s="98" t="s">
        <v>38</v>
      </c>
      <c r="D50" s="33"/>
      <c r="E50" s="34"/>
      <c r="F50" s="34"/>
      <c r="G50" s="34"/>
      <c r="H50" s="34"/>
      <c r="I50" s="34"/>
      <c r="J50" s="34"/>
      <c r="K50" s="37"/>
    </row>
    <row r="51" spans="1:15" ht="15" customHeight="1">
      <c r="A51" s="2550"/>
      <c r="B51" s="2014"/>
      <c r="C51" s="86">
        <v>2014</v>
      </c>
      <c r="D51" s="50"/>
      <c r="E51" s="42"/>
      <c r="F51" s="42"/>
      <c r="G51" s="42"/>
      <c r="H51" s="42"/>
      <c r="I51" s="42"/>
      <c r="J51" s="42"/>
      <c r="K51" s="99"/>
    </row>
    <row r="52" spans="1:15">
      <c r="A52" s="2550"/>
      <c r="B52" s="2014"/>
      <c r="C52" s="86">
        <v>2015</v>
      </c>
      <c r="D52" s="50">
        <f>SUM('dolnośląskie:ODR woj. zachodniopomorskie'!D52)</f>
        <v>8</v>
      </c>
      <c r="E52" s="50">
        <f>SUM('dolnośląskie:ODR woj. zachodniopomorskie'!E52)</f>
        <v>0</v>
      </c>
      <c r="F52" s="50">
        <f>SUM('dolnośląskie:ODR woj. zachodniopomorskie'!F52)</f>
        <v>0</v>
      </c>
      <c r="G52" s="50">
        <f>SUM('dolnośląskie:ODR woj. zachodniopomorskie'!G52)</f>
        <v>7623</v>
      </c>
      <c r="H52" s="50">
        <f>SUM('dolnośląskie:ODR woj. zachodniopomorskie'!H52)</f>
        <v>9</v>
      </c>
      <c r="I52" s="50">
        <f>SUM('dolnośląskie:ODR woj. zachodniopomorskie'!I52)</f>
        <v>11</v>
      </c>
      <c r="J52" s="50">
        <f>SUM('dolnośląskie:ODR woj. zachodniopomorskie'!J52)</f>
        <v>137</v>
      </c>
      <c r="K52" s="99">
        <f>SUM('dolnośląskie:ODR woj. zachodniopomorskie'!K52)</f>
        <v>3514</v>
      </c>
    </row>
    <row r="53" spans="1:15">
      <c r="A53" s="2550"/>
      <c r="B53" s="2014"/>
      <c r="C53" s="86">
        <v>2016</v>
      </c>
      <c r="D53" s="50">
        <f>SUM('dolnośląskie:ODR woj. zachodniopomorskie'!D53)</f>
        <v>11</v>
      </c>
      <c r="E53" s="50">
        <f>SUM('dolnośląskie:ODR woj. zachodniopomorskie'!E53)</f>
        <v>2</v>
      </c>
      <c r="F53" s="50">
        <f>SUM('dolnośląskie:ODR woj. zachodniopomorskie'!F53)</f>
        <v>0</v>
      </c>
      <c r="G53" s="50">
        <f>SUM('dolnośląskie:ODR woj. zachodniopomorskie'!G53)</f>
        <v>35120</v>
      </c>
      <c r="H53" s="50">
        <f>SUM('dolnośląskie:ODR woj. zachodniopomorskie'!H53)</f>
        <v>53</v>
      </c>
      <c r="I53" s="50">
        <f>SUM('dolnośląskie:ODR woj. zachodniopomorskie'!I53)</f>
        <v>10</v>
      </c>
      <c r="J53" s="50">
        <f>SUM('dolnośląskie:ODR woj. zachodniopomorskie'!J53)</f>
        <v>1482</v>
      </c>
      <c r="K53" s="99">
        <f>SUM('dolnośląskie:ODR woj. zachodniopomorskie'!K53)</f>
        <v>80452</v>
      </c>
    </row>
    <row r="54" spans="1:15">
      <c r="A54" s="2550"/>
      <c r="B54" s="2014"/>
      <c r="C54" s="86">
        <v>2017</v>
      </c>
      <c r="D54" s="50"/>
      <c r="E54" s="42"/>
      <c r="F54" s="42"/>
      <c r="G54" s="42"/>
      <c r="H54" s="42"/>
      <c r="I54" s="42"/>
      <c r="J54" s="42"/>
      <c r="K54" s="99"/>
    </row>
    <row r="55" spans="1:15">
      <c r="A55" s="2550"/>
      <c r="B55" s="2014"/>
      <c r="C55" s="86">
        <v>2018</v>
      </c>
      <c r="D55" s="50"/>
      <c r="E55" s="42"/>
      <c r="F55" s="42"/>
      <c r="G55" s="42"/>
      <c r="H55" s="42"/>
      <c r="I55" s="42"/>
      <c r="J55" s="42"/>
      <c r="K55" s="99"/>
    </row>
    <row r="56" spans="1:15">
      <c r="A56" s="2550"/>
      <c r="B56" s="2014"/>
      <c r="C56" s="86">
        <v>2019</v>
      </c>
      <c r="D56" s="50"/>
      <c r="E56" s="42"/>
      <c r="F56" s="42"/>
      <c r="G56" s="42"/>
      <c r="H56" s="42"/>
      <c r="I56" s="42"/>
      <c r="J56" s="42"/>
      <c r="K56" s="99"/>
    </row>
    <row r="57" spans="1:15">
      <c r="A57" s="2550"/>
      <c r="B57" s="2014"/>
      <c r="C57" s="86">
        <v>2020</v>
      </c>
      <c r="D57" s="50"/>
      <c r="E57" s="42"/>
      <c r="F57" s="42"/>
      <c r="G57" s="42"/>
      <c r="H57" s="42"/>
      <c r="I57" s="42"/>
      <c r="J57" s="42"/>
      <c r="K57" s="100"/>
    </row>
    <row r="58" spans="1:15" ht="20.25" customHeight="1" thickBot="1">
      <c r="A58" s="2009"/>
      <c r="B58" s="2016"/>
      <c r="C58" s="54" t="s">
        <v>12</v>
      </c>
      <c r="D58" s="55">
        <f>SUM(D51:D57)</f>
        <v>19</v>
      </c>
      <c r="E58" s="56">
        <f>SUM(E51:E57)</f>
        <v>2</v>
      </c>
      <c r="F58" s="56">
        <f>SUM(F51:F57)</f>
        <v>0</v>
      </c>
      <c r="G58" s="56">
        <f>SUM(G51:G57)</f>
        <v>42743</v>
      </c>
      <c r="H58" s="56">
        <f>SUM(H51:H57)</f>
        <v>62</v>
      </c>
      <c r="I58" s="56">
        <f t="shared" ref="I58" si="3">SUM(I51:I57)</f>
        <v>21</v>
      </c>
      <c r="J58" s="56">
        <f>SUM(J51:J57)</f>
        <v>1619</v>
      </c>
      <c r="K58" s="60">
        <f>SUM(K50:K56)</f>
        <v>83966</v>
      </c>
    </row>
    <row r="59" spans="1:15" ht="15.75" thickBot="1"/>
    <row r="60" spans="1:15" ht="21" customHeight="1">
      <c r="A60" s="2268" t="s">
        <v>39</v>
      </c>
      <c r="B60" s="580"/>
      <c r="C60" s="2269" t="s">
        <v>8</v>
      </c>
      <c r="D60" s="2671" t="s">
        <v>40</v>
      </c>
      <c r="E60" s="102" t="s">
        <v>5</v>
      </c>
      <c r="F60" s="484"/>
      <c r="G60" s="484"/>
      <c r="H60" s="484"/>
      <c r="I60" s="484"/>
      <c r="J60" s="484"/>
      <c r="K60" s="484"/>
      <c r="L60" s="485"/>
    </row>
    <row r="61" spans="1:15" ht="115.5" customHeight="1">
      <c r="A61" s="3022"/>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992"/>
      <c r="B62" s="2253"/>
      <c r="C62" s="112">
        <v>2014</v>
      </c>
      <c r="D62" s="113"/>
      <c r="E62" s="114"/>
      <c r="F62" s="115"/>
      <c r="G62" s="115"/>
      <c r="H62" s="115"/>
      <c r="I62" s="115"/>
      <c r="J62" s="115"/>
      <c r="K62" s="115"/>
      <c r="L62" s="37"/>
      <c r="M62" s="8"/>
      <c r="N62" s="8"/>
      <c r="O62" s="8"/>
    </row>
    <row r="63" spans="1:15">
      <c r="A63" s="2994"/>
      <c r="B63" s="2253"/>
      <c r="C63" s="116">
        <v>2015</v>
      </c>
      <c r="D63" s="117">
        <f>SUM('dolnośląskie:ODR woj. zachodniopomorskie'!D63)</f>
        <v>80</v>
      </c>
      <c r="E63" s="118">
        <f>SUM('dolnośląskie:ODR woj. zachodniopomorskie'!E63)</f>
        <v>23</v>
      </c>
      <c r="F63" s="50">
        <f>SUM('dolnośląskie:ODR woj. zachodniopomorskie'!F63)</f>
        <v>13</v>
      </c>
      <c r="G63" s="50">
        <f>SUM('dolnośląskie:ODR woj. zachodniopomorskie'!G63)</f>
        <v>0</v>
      </c>
      <c r="H63" s="50">
        <f>SUM('dolnośląskie:ODR woj. zachodniopomorskie'!H63)</f>
        <v>2</v>
      </c>
      <c r="I63" s="50">
        <f>SUM('dolnośląskie:ODR woj. zachodniopomorskie'!I63)</f>
        <v>4</v>
      </c>
      <c r="J63" s="50">
        <f>SUM('dolnośląskie:ODR woj. zachodniopomorskie'!J63)</f>
        <v>1</v>
      </c>
      <c r="K63" s="50">
        <f>SUM('dolnośląskie:ODR woj. zachodniopomorskie'!K63)</f>
        <v>0</v>
      </c>
      <c r="L63" s="99">
        <f>SUM('dolnośląskie:ODR woj. zachodniopomorskie'!L63)</f>
        <v>35</v>
      </c>
      <c r="M63" s="8"/>
      <c r="N63" s="8"/>
      <c r="O63" s="8"/>
    </row>
    <row r="64" spans="1:15">
      <c r="A64" s="2994"/>
      <c r="B64" s="2253"/>
      <c r="C64" s="116">
        <v>2016</v>
      </c>
      <c r="D64" s="117">
        <f>SUM('dolnośląskie:ODR woj. zachodniopomorskie'!D64)</f>
        <v>710</v>
      </c>
      <c r="E64" s="118">
        <f>SUM('dolnośląskie:ODR woj. zachodniopomorskie'!E64)</f>
        <v>353</v>
      </c>
      <c r="F64" s="50">
        <f>SUM('dolnośląskie:ODR woj. zachodniopomorskie'!F64)</f>
        <v>103</v>
      </c>
      <c r="G64" s="50">
        <f>SUM('dolnośląskie:ODR woj. zachodniopomorskie'!G64)</f>
        <v>15</v>
      </c>
      <c r="H64" s="50">
        <f>SUM('dolnośląskie:ODR woj. zachodniopomorskie'!H64)</f>
        <v>43</v>
      </c>
      <c r="I64" s="50">
        <f>SUM('dolnośląskie:ODR woj. zachodniopomorskie'!I64)</f>
        <v>1</v>
      </c>
      <c r="J64" s="50">
        <f>SUM('dolnośląskie:ODR woj. zachodniopomorskie'!J64)</f>
        <v>0</v>
      </c>
      <c r="K64" s="50">
        <f>SUM('dolnośląskie:ODR woj. zachodniopomorskie'!K64)</f>
        <v>1</v>
      </c>
      <c r="L64" s="99">
        <f>SUM('dolnośląskie:ODR woj. zachodniopomorskie'!L64)</f>
        <v>194</v>
      </c>
      <c r="M64" s="8"/>
      <c r="N64" s="8"/>
      <c r="O64" s="8"/>
    </row>
    <row r="65" spans="1:20">
      <c r="A65" s="2994"/>
      <c r="B65" s="2253"/>
      <c r="C65" s="116">
        <v>2017</v>
      </c>
      <c r="D65" s="117"/>
      <c r="E65" s="118"/>
      <c r="F65" s="42"/>
      <c r="G65" s="42"/>
      <c r="H65" s="42"/>
      <c r="I65" s="42"/>
      <c r="J65" s="42"/>
      <c r="K65" s="42"/>
      <c r="L65" s="99"/>
      <c r="M65" s="8"/>
      <c r="N65" s="8"/>
      <c r="O65" s="8"/>
    </row>
    <row r="66" spans="1:20">
      <c r="A66" s="2994"/>
      <c r="B66" s="2253"/>
      <c r="C66" s="116">
        <v>2018</v>
      </c>
      <c r="D66" s="117"/>
      <c r="E66" s="118"/>
      <c r="F66" s="42"/>
      <c r="G66" s="42"/>
      <c r="H66" s="42"/>
      <c r="I66" s="42"/>
      <c r="J66" s="42"/>
      <c r="K66" s="42"/>
      <c r="L66" s="99"/>
      <c r="M66" s="8"/>
      <c r="N66" s="8"/>
      <c r="O66" s="8"/>
    </row>
    <row r="67" spans="1:20" ht="17.25" customHeight="1">
      <c r="A67" s="2994"/>
      <c r="B67" s="2253"/>
      <c r="C67" s="116">
        <v>2019</v>
      </c>
      <c r="D67" s="117"/>
      <c r="E67" s="118"/>
      <c r="F67" s="42"/>
      <c r="G67" s="42"/>
      <c r="H67" s="42"/>
      <c r="I67" s="42"/>
      <c r="J67" s="42"/>
      <c r="K67" s="42"/>
      <c r="L67" s="99"/>
      <c r="M67" s="8"/>
      <c r="N67" s="8"/>
      <c r="O67" s="8"/>
    </row>
    <row r="68" spans="1:20" ht="16.5" customHeight="1">
      <c r="A68" s="2994"/>
      <c r="B68" s="2253"/>
      <c r="C68" s="116">
        <v>2020</v>
      </c>
      <c r="D68" s="117"/>
      <c r="E68" s="118"/>
      <c r="F68" s="42"/>
      <c r="G68" s="42"/>
      <c r="H68" s="42"/>
      <c r="I68" s="42"/>
      <c r="J68" s="42"/>
      <c r="K68" s="42"/>
      <c r="L68" s="99"/>
      <c r="M68" s="121"/>
      <c r="N68" s="121"/>
      <c r="O68" s="121"/>
    </row>
    <row r="69" spans="1:20" ht="18" customHeight="1" thickBot="1">
      <c r="A69" s="2255"/>
      <c r="B69" s="2256"/>
      <c r="C69" s="122" t="s">
        <v>12</v>
      </c>
      <c r="D69" s="123">
        <f>SUM(D62:D68)</f>
        <v>790</v>
      </c>
      <c r="E69" s="124">
        <f>SUM(E62:E68)</f>
        <v>376</v>
      </c>
      <c r="F69" s="125">
        <f t="shared" ref="F69:I69" si="4">SUM(F62:F68)</f>
        <v>116</v>
      </c>
      <c r="G69" s="125">
        <f t="shared" si="4"/>
        <v>15</v>
      </c>
      <c r="H69" s="125">
        <f t="shared" si="4"/>
        <v>45</v>
      </c>
      <c r="I69" s="125">
        <f t="shared" si="4"/>
        <v>5</v>
      </c>
      <c r="J69" s="125"/>
      <c r="K69" s="125">
        <f>SUM(K62:K68)</f>
        <v>1</v>
      </c>
      <c r="L69" s="126">
        <f>SUM(L62:L68)</f>
        <v>229</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576" t="s">
        <v>42</v>
      </c>
      <c r="B71" s="577" t="s">
        <v>7</v>
      </c>
      <c r="C71" s="80" t="s">
        <v>8</v>
      </c>
      <c r="D71" s="132" t="s">
        <v>43</v>
      </c>
      <c r="E71" s="132" t="s">
        <v>44</v>
      </c>
      <c r="F71" s="133" t="s">
        <v>45</v>
      </c>
      <c r="G71" s="488" t="s">
        <v>46</v>
      </c>
      <c r="H71" s="135" t="s">
        <v>13</v>
      </c>
      <c r="I71" s="136" t="s">
        <v>14</v>
      </c>
      <c r="J71" s="137" t="s">
        <v>15</v>
      </c>
      <c r="K71" s="136" t="s">
        <v>16</v>
      </c>
      <c r="L71" s="136" t="s">
        <v>17</v>
      </c>
      <c r="M71" s="138" t="s">
        <v>18</v>
      </c>
      <c r="N71" s="137" t="s">
        <v>19</v>
      </c>
      <c r="O71" s="139" t="s">
        <v>20</v>
      </c>
    </row>
    <row r="72" spans="1:20" ht="15" customHeight="1">
      <c r="A72" s="2550"/>
      <c r="B72" s="2025"/>
      <c r="C72" s="84">
        <v>2014</v>
      </c>
      <c r="D72" s="140"/>
      <c r="E72" s="140"/>
      <c r="F72" s="140"/>
      <c r="G72" s="141">
        <f>SUM(D72:F72)</f>
        <v>0</v>
      </c>
      <c r="H72" s="33"/>
      <c r="I72" s="142"/>
      <c r="J72" s="115"/>
      <c r="K72" s="115"/>
      <c r="L72" s="115"/>
      <c r="M72" s="115"/>
      <c r="N72" s="115"/>
      <c r="O72" s="143"/>
    </row>
    <row r="73" spans="1:20">
      <c r="A73" s="2551"/>
      <c r="B73" s="2025"/>
      <c r="C73" s="86">
        <v>2015</v>
      </c>
      <c r="D73" s="117">
        <f>SUM('dolnośląskie:ODR woj. zachodniopomorskie'!D73)</f>
        <v>127</v>
      </c>
      <c r="E73" s="117">
        <f>SUM('dolnośląskie:ODR woj. zachodniopomorskie'!E73)</f>
        <v>5</v>
      </c>
      <c r="F73" s="117">
        <f>SUM('dolnośląskie:ODR woj. zachodniopomorskie'!F73)</f>
        <v>2693</v>
      </c>
      <c r="G73" s="141">
        <f>SUM(D73:F73)</f>
        <v>2825</v>
      </c>
      <c r="H73" s="117">
        <f>SUM('dolnośląskie:ODR woj. zachodniopomorskie'!H73)</f>
        <v>25</v>
      </c>
      <c r="I73" s="117">
        <f>SUM('dolnośląskie:ODR woj. zachodniopomorskie'!I73)</f>
        <v>17</v>
      </c>
      <c r="J73" s="117">
        <f>SUM('dolnośląskie:ODR woj. zachodniopomorskie'!J73)</f>
        <v>0</v>
      </c>
      <c r="K73" s="117">
        <f>SUM('dolnośląskie:ODR woj. zachodniopomorskie'!K73)</f>
        <v>8</v>
      </c>
      <c r="L73" s="117">
        <f>SUM('dolnośląskie:ODR woj. zachodniopomorskie'!L73)</f>
        <v>2</v>
      </c>
      <c r="M73" s="117">
        <f>SUM('dolnośląskie:ODR woj. zachodniopomorskie'!M73)</f>
        <v>0</v>
      </c>
      <c r="N73" s="117">
        <f>SUM('dolnośląskie:ODR woj. zachodniopomorskie'!N73)</f>
        <v>0</v>
      </c>
      <c r="O73" s="99">
        <f>SUM('dolnośląskie:ODR woj. zachodniopomorskie'!O73)</f>
        <v>307</v>
      </c>
    </row>
    <row r="74" spans="1:20">
      <c r="A74" s="2551"/>
      <c r="B74" s="2025"/>
      <c r="C74" s="86">
        <v>2016</v>
      </c>
      <c r="D74" s="117">
        <f>SUM('dolnośląskie:ODR woj. zachodniopomorskie'!D74)</f>
        <v>1002</v>
      </c>
      <c r="E74" s="117">
        <f>SUM('dolnośląskie:ODR woj. zachodniopomorskie'!E74)</f>
        <v>57</v>
      </c>
      <c r="F74" s="117">
        <f>SUM('dolnośląskie:ODR woj. zachodniopomorskie'!F74)</f>
        <v>52</v>
      </c>
      <c r="G74" s="141">
        <f>SUM(D74:F74)</f>
        <v>1111</v>
      </c>
      <c r="H74" s="117">
        <f>SUM('dolnośląskie:ODR woj. zachodniopomorskie'!H74)</f>
        <v>28</v>
      </c>
      <c r="I74" s="117">
        <f>SUM('dolnośląskie:ODR woj. zachodniopomorskie'!I74)</f>
        <v>158</v>
      </c>
      <c r="J74" s="117">
        <f>SUM('dolnośląskie:ODR woj. zachodniopomorskie'!J74)</f>
        <v>50</v>
      </c>
      <c r="K74" s="117">
        <f>SUM('dolnośląskie:ODR woj. zachodniopomorskie'!K74)</f>
        <v>42</v>
      </c>
      <c r="L74" s="117">
        <f>SUM('dolnośląskie:ODR woj. zachodniopomorskie'!L74)</f>
        <v>78</v>
      </c>
      <c r="M74" s="117">
        <f>SUM('dolnośląskie:ODR woj. zachodniopomorskie'!M74)</f>
        <v>2</v>
      </c>
      <c r="N74" s="117">
        <f>SUM('dolnośląskie:ODR woj. zachodniopomorskie'!N74)</f>
        <v>0</v>
      </c>
      <c r="O74" s="99">
        <f>SUM('dolnośląskie:ODR woj. zachodniopomorskie'!O74)</f>
        <v>738</v>
      </c>
    </row>
    <row r="75" spans="1:20">
      <c r="A75" s="2551"/>
      <c r="B75" s="2025"/>
      <c r="C75" s="86">
        <v>2017</v>
      </c>
      <c r="D75" s="147"/>
      <c r="E75" s="147"/>
      <c r="F75" s="147"/>
      <c r="G75" s="141">
        <f t="shared" ref="G75:G78" si="5">SUM(D75:F75)</f>
        <v>0</v>
      </c>
      <c r="H75" s="50"/>
      <c r="I75" s="50"/>
      <c r="J75" s="42"/>
      <c r="K75" s="42"/>
      <c r="L75" s="42"/>
      <c r="M75" s="42"/>
      <c r="N75" s="42"/>
      <c r="O75" s="99"/>
    </row>
    <row r="76" spans="1:20">
      <c r="A76" s="2551"/>
      <c r="B76" s="2025"/>
      <c r="C76" s="86">
        <v>2018</v>
      </c>
      <c r="D76" s="147"/>
      <c r="E76" s="147"/>
      <c r="F76" s="147"/>
      <c r="G76" s="141">
        <f t="shared" si="5"/>
        <v>0</v>
      </c>
      <c r="H76" s="50"/>
      <c r="I76" s="50"/>
      <c r="J76" s="42"/>
      <c r="K76" s="42"/>
      <c r="L76" s="42"/>
      <c r="M76" s="42"/>
      <c r="N76" s="42"/>
      <c r="O76" s="99"/>
    </row>
    <row r="77" spans="1:20" ht="15.75" customHeight="1">
      <c r="A77" s="2551"/>
      <c r="B77" s="2025"/>
      <c r="C77" s="86">
        <v>2019</v>
      </c>
      <c r="D77" s="147"/>
      <c r="E77" s="147"/>
      <c r="F77" s="147"/>
      <c r="G77" s="141">
        <f t="shared" si="5"/>
        <v>0</v>
      </c>
      <c r="H77" s="50"/>
      <c r="I77" s="50"/>
      <c r="J77" s="42"/>
      <c r="K77" s="42"/>
      <c r="L77" s="42"/>
      <c r="M77" s="42"/>
      <c r="N77" s="42"/>
      <c r="O77" s="99"/>
    </row>
    <row r="78" spans="1:20" ht="17.25" customHeight="1">
      <c r="A78" s="2551"/>
      <c r="B78" s="2025"/>
      <c r="C78" s="86">
        <v>2020</v>
      </c>
      <c r="D78" s="147"/>
      <c r="E78" s="147"/>
      <c r="F78" s="147"/>
      <c r="G78" s="141">
        <f t="shared" si="5"/>
        <v>0</v>
      </c>
      <c r="H78" s="50"/>
      <c r="I78" s="50"/>
      <c r="J78" s="42"/>
      <c r="K78" s="42"/>
      <c r="L78" s="42"/>
      <c r="M78" s="42"/>
      <c r="N78" s="42"/>
      <c r="O78" s="99"/>
    </row>
    <row r="79" spans="1:20" ht="20.25" customHeight="1" thickBot="1">
      <c r="A79" s="2134"/>
      <c r="B79" s="2027"/>
      <c r="C79" s="148" t="s">
        <v>12</v>
      </c>
      <c r="D79" s="123">
        <f>SUM(D72:D78)</f>
        <v>1129</v>
      </c>
      <c r="E79" s="123">
        <f>SUM(E72:E78)</f>
        <v>62</v>
      </c>
      <c r="F79" s="123">
        <f>SUM(F72:F78)</f>
        <v>2745</v>
      </c>
      <c r="G79" s="149">
        <f>SUM(G72:G78)</f>
        <v>3936</v>
      </c>
      <c r="H79" s="150">
        <v>0</v>
      </c>
      <c r="I79" s="151">
        <f t="shared" ref="I79:O79" si="6">SUM(I72:I78)</f>
        <v>175</v>
      </c>
      <c r="J79" s="125">
        <f t="shared" si="6"/>
        <v>50</v>
      </c>
      <c r="K79" s="125">
        <f t="shared" si="6"/>
        <v>50</v>
      </c>
      <c r="L79" s="125">
        <f t="shared" si="6"/>
        <v>80</v>
      </c>
      <c r="M79" s="125">
        <f t="shared" si="6"/>
        <v>2</v>
      </c>
      <c r="N79" s="125">
        <f t="shared" si="6"/>
        <v>0</v>
      </c>
      <c r="O79" s="126">
        <f t="shared" si="6"/>
        <v>1045</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583" t="s">
        <v>49</v>
      </c>
      <c r="B84" s="584" t="s">
        <v>50</v>
      </c>
      <c r="C84" s="161" t="s">
        <v>8</v>
      </c>
      <c r="D84" s="491" t="s">
        <v>51</v>
      </c>
      <c r="E84" s="163" t="s">
        <v>52</v>
      </c>
      <c r="F84" s="164" t="s">
        <v>53</v>
      </c>
      <c r="G84" s="164" t="s">
        <v>54</v>
      </c>
      <c r="H84" s="164" t="s">
        <v>55</v>
      </c>
      <c r="I84" s="164" t="s">
        <v>56</v>
      </c>
      <c r="J84" s="164" t="s">
        <v>57</v>
      </c>
      <c r="K84" s="165" t="s">
        <v>58</v>
      </c>
    </row>
    <row r="85" spans="1:16" ht="15" customHeight="1">
      <c r="A85" s="3007"/>
      <c r="B85" s="2993"/>
      <c r="C85" s="84">
        <v>2014</v>
      </c>
      <c r="D85" s="166"/>
      <c r="E85" s="167"/>
      <c r="F85" s="34"/>
      <c r="G85" s="34"/>
      <c r="H85" s="34"/>
      <c r="I85" s="34"/>
      <c r="J85" s="34"/>
      <c r="K85" s="37"/>
    </row>
    <row r="86" spans="1:16">
      <c r="A86" s="3007"/>
      <c r="B86" s="2993"/>
      <c r="C86" s="86">
        <v>2015</v>
      </c>
      <c r="D86" s="117">
        <f>SUM('dolnośląskie:ODR woj. zachodniopomorskie'!D86)</f>
        <v>30</v>
      </c>
      <c r="E86" s="118">
        <f>SUM('dolnośląskie:ODR woj. zachodniopomorskie'!E86)</f>
        <v>0</v>
      </c>
      <c r="F86" s="117">
        <f>SUM('dolnośląskie:ODR woj. zachodniopomorskie'!F86)</f>
        <v>0</v>
      </c>
      <c r="G86" s="117">
        <f>SUM('dolnośląskie:ODR woj. zachodniopomorskie'!G86)</f>
        <v>0</v>
      </c>
      <c r="H86" s="117">
        <f>SUM('dolnośląskie:ODR woj. zachodniopomorskie'!H86)</f>
        <v>0</v>
      </c>
      <c r="I86" s="117">
        <f>SUM('dolnośląskie:ODR woj. zachodniopomorskie'!I86)</f>
        <v>0</v>
      </c>
      <c r="J86" s="117">
        <f>SUM('dolnośląskie:ODR woj. zachodniopomorskie'!J86)</f>
        <v>0</v>
      </c>
      <c r="K86" s="99">
        <f>SUM('dolnośląskie:ODR woj. zachodniopomorskie'!K86)</f>
        <v>30</v>
      </c>
    </row>
    <row r="87" spans="1:16">
      <c r="A87" s="3007"/>
      <c r="B87" s="2993"/>
      <c r="C87" s="86">
        <v>2016</v>
      </c>
      <c r="D87" s="117">
        <f>SUM('dolnośląskie:ODR woj. zachodniopomorskie'!D87)</f>
        <v>12</v>
      </c>
      <c r="E87" s="118">
        <f>SUM('dolnośląskie:ODR woj. zachodniopomorskie'!E87)</f>
        <v>5</v>
      </c>
      <c r="F87" s="117">
        <f>SUM('dolnośląskie:ODR woj. zachodniopomorskie'!F87)</f>
        <v>1</v>
      </c>
      <c r="G87" s="117">
        <f>SUM('dolnośląskie:ODR woj. zachodniopomorskie'!G87)</f>
        <v>0</v>
      </c>
      <c r="H87" s="117">
        <f>SUM('dolnośląskie:ODR woj. zachodniopomorskie'!H87)</f>
        <v>3</v>
      </c>
      <c r="I87" s="117">
        <f>SUM('dolnośląskie:ODR woj. zachodniopomorskie'!I87)</f>
        <v>0</v>
      </c>
      <c r="J87" s="117">
        <f>SUM('dolnośląskie:ODR woj. zachodniopomorskie'!J87)</f>
        <v>0</v>
      </c>
      <c r="K87" s="99">
        <f>SUM('dolnośląskie:ODR woj. zachodniopomorskie'!K87)</f>
        <v>3</v>
      </c>
    </row>
    <row r="88" spans="1:16">
      <c r="A88" s="3007"/>
      <c r="B88" s="2993"/>
      <c r="C88" s="86">
        <v>2017</v>
      </c>
      <c r="D88" s="168"/>
      <c r="E88" s="118"/>
      <c r="F88" s="42"/>
      <c r="G88" s="42"/>
      <c r="H88" s="42"/>
      <c r="I88" s="42"/>
      <c r="J88" s="42"/>
      <c r="K88" s="99"/>
    </row>
    <row r="89" spans="1:16">
      <c r="A89" s="3007"/>
      <c r="B89" s="2993"/>
      <c r="C89" s="86">
        <v>2018</v>
      </c>
      <c r="D89" s="168"/>
      <c r="E89" s="118"/>
      <c r="F89" s="42"/>
      <c r="G89" s="42"/>
      <c r="H89" s="42"/>
      <c r="I89" s="42"/>
      <c r="J89" s="42"/>
      <c r="K89" s="99"/>
    </row>
    <row r="90" spans="1:16">
      <c r="A90" s="3007"/>
      <c r="B90" s="2993"/>
      <c r="C90" s="86">
        <v>2019</v>
      </c>
      <c r="D90" s="168"/>
      <c r="E90" s="118"/>
      <c r="F90" s="42"/>
      <c r="G90" s="42"/>
      <c r="H90" s="42"/>
      <c r="I90" s="42"/>
      <c r="J90" s="42"/>
      <c r="K90" s="99"/>
    </row>
    <row r="91" spans="1:16">
      <c r="A91" s="3007"/>
      <c r="B91" s="2993"/>
      <c r="C91" s="86">
        <v>2020</v>
      </c>
      <c r="D91" s="168"/>
      <c r="E91" s="118"/>
      <c r="F91" s="42"/>
      <c r="G91" s="42"/>
      <c r="H91" s="42"/>
      <c r="I91" s="42"/>
      <c r="J91" s="42"/>
      <c r="K91" s="99"/>
    </row>
    <row r="92" spans="1:16" ht="18" customHeight="1" thickBot="1">
      <c r="A92" s="3008"/>
      <c r="B92" s="2996"/>
      <c r="C92" s="148" t="s">
        <v>12</v>
      </c>
      <c r="D92" s="169">
        <f t="shared" ref="D92:I92" si="7">SUM(D85:D91)</f>
        <v>42</v>
      </c>
      <c r="E92" s="124">
        <f t="shared" si="7"/>
        <v>5</v>
      </c>
      <c r="F92" s="125">
        <f t="shared" si="7"/>
        <v>1</v>
      </c>
      <c r="G92" s="125">
        <f t="shared" si="7"/>
        <v>0</v>
      </c>
      <c r="H92" s="125">
        <f t="shared" si="7"/>
        <v>3</v>
      </c>
      <c r="I92" s="125">
        <f t="shared" si="7"/>
        <v>0</v>
      </c>
      <c r="J92" s="125">
        <f>SUM(J85:J91)</f>
        <v>0</v>
      </c>
      <c r="K92" s="126">
        <f>SUM(K85:K91)</f>
        <v>33</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270" t="s">
        <v>60</v>
      </c>
      <c r="B96" s="2271" t="s">
        <v>61</v>
      </c>
      <c r="C96" s="2272" t="s">
        <v>8</v>
      </c>
      <c r="D96" s="2207" t="s">
        <v>62</v>
      </c>
      <c r="E96" s="2208"/>
      <c r="F96" s="174" t="s">
        <v>63</v>
      </c>
      <c r="G96" s="493"/>
      <c r="H96" s="493"/>
      <c r="I96" s="493"/>
      <c r="J96" s="493"/>
      <c r="K96" s="493"/>
      <c r="L96" s="493"/>
      <c r="M96" s="494"/>
      <c r="N96" s="177"/>
      <c r="O96" s="177"/>
      <c r="P96" s="177"/>
    </row>
    <row r="97" spans="1:16" ht="100.5" customHeight="1">
      <c r="A97" s="3018"/>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999"/>
      <c r="B98" s="3000"/>
      <c r="C98" s="112">
        <v>2014</v>
      </c>
      <c r="D98" s="33"/>
      <c r="E98" s="34"/>
      <c r="F98" s="186"/>
      <c r="G98" s="187"/>
      <c r="H98" s="187"/>
      <c r="I98" s="187"/>
      <c r="J98" s="187"/>
      <c r="K98" s="187"/>
      <c r="L98" s="187"/>
      <c r="M98" s="188"/>
      <c r="N98" s="177"/>
      <c r="O98" s="177"/>
      <c r="P98" s="177"/>
    </row>
    <row r="99" spans="1:16" ht="16.5" customHeight="1">
      <c r="A99" s="3001"/>
      <c r="B99" s="3000"/>
      <c r="C99" s="116">
        <v>2015</v>
      </c>
      <c r="D99" s="117">
        <f>SUM('dolnośląskie:ODR woj. zachodniopomorskie'!D99)</f>
        <v>21</v>
      </c>
      <c r="E99" s="117">
        <f>SUM('dolnośląskie:ODR woj. zachodniopomorskie'!E99)</f>
        <v>32</v>
      </c>
      <c r="F99" s="189">
        <f>SUM('dolnośląskie:ODR woj. zachodniopomorskie'!F99)</f>
        <v>1</v>
      </c>
      <c r="G99" s="117">
        <f>SUM('dolnośląskie:ODR woj. zachodniopomorskie'!G99)</f>
        <v>0</v>
      </c>
      <c r="H99" s="117">
        <f>SUM('dolnośląskie:ODR woj. zachodniopomorskie'!H99)</f>
        <v>0</v>
      </c>
      <c r="I99" s="117">
        <f>SUM('dolnośląskie:ODR woj. zachodniopomorskie'!I99)</f>
        <v>1</v>
      </c>
      <c r="J99" s="117">
        <f>SUM('dolnośląskie:ODR woj. zachodniopomorskie'!J99)</f>
        <v>1</v>
      </c>
      <c r="K99" s="117">
        <f>SUM('dolnośląskie:ODR woj. zachodniopomorskie'!K99)</f>
        <v>0</v>
      </c>
      <c r="L99" s="117">
        <f>SUM('dolnośląskie:ODR woj. zachodniopomorskie'!L99)</f>
        <v>0</v>
      </c>
      <c r="M99" s="193">
        <f>SUM('dolnośląskie:ODR woj. zachodniopomorskie'!M99)</f>
        <v>18</v>
      </c>
      <c r="N99" s="177"/>
      <c r="O99" s="177"/>
      <c r="P99" s="177"/>
    </row>
    <row r="100" spans="1:16" ht="16.5" customHeight="1">
      <c r="A100" s="3001"/>
      <c r="B100" s="3000"/>
      <c r="C100" s="116">
        <v>2016</v>
      </c>
      <c r="D100" s="117">
        <f>SUM('dolnośląskie:ODR woj. zachodniopomorskie'!D100)</f>
        <v>16</v>
      </c>
      <c r="E100" s="117">
        <f>SUM('dolnośląskie:ODR woj. zachodniopomorskie'!E100)</f>
        <v>99</v>
      </c>
      <c r="F100" s="189">
        <f>SUM('dolnośląskie:ODR woj. zachodniopomorskie'!F100)</f>
        <v>0</v>
      </c>
      <c r="G100" s="117">
        <f>SUM('dolnośląskie:ODR woj. zachodniopomorskie'!G100)</f>
        <v>0</v>
      </c>
      <c r="H100" s="117">
        <f>SUM('dolnośląskie:ODR woj. zachodniopomorskie'!H100)</f>
        <v>0</v>
      </c>
      <c r="I100" s="117">
        <f>SUM('dolnośląskie:ODR woj. zachodniopomorskie'!I100)</f>
        <v>0</v>
      </c>
      <c r="J100" s="117">
        <f>SUM('dolnośląskie:ODR woj. zachodniopomorskie'!J100)</f>
        <v>0</v>
      </c>
      <c r="K100" s="117">
        <f>SUM('dolnośląskie:ODR woj. zachodniopomorskie'!K100)</f>
        <v>0</v>
      </c>
      <c r="L100" s="117">
        <f>SUM('dolnośląskie:ODR woj. zachodniopomorskie'!L100)</f>
        <v>0</v>
      </c>
      <c r="M100" s="193">
        <f>SUM('dolnośląskie:ODR woj. zachodniopomorskie'!M100)</f>
        <v>16</v>
      </c>
      <c r="N100" s="177"/>
      <c r="O100" s="177"/>
      <c r="P100" s="177"/>
    </row>
    <row r="101" spans="1:16" ht="16.5" customHeight="1">
      <c r="A101" s="3001"/>
      <c r="B101" s="3000"/>
      <c r="C101" s="116">
        <v>2017</v>
      </c>
      <c r="D101" s="50"/>
      <c r="E101" s="42"/>
      <c r="F101" s="189"/>
      <c r="G101" s="190"/>
      <c r="H101" s="190"/>
      <c r="I101" s="190"/>
      <c r="J101" s="190"/>
      <c r="K101" s="190"/>
      <c r="L101" s="190"/>
      <c r="M101" s="193"/>
      <c r="N101" s="177"/>
      <c r="O101" s="177"/>
      <c r="P101" s="177"/>
    </row>
    <row r="102" spans="1:16" ht="15.75" customHeight="1">
      <c r="A102" s="3001"/>
      <c r="B102" s="3000"/>
      <c r="C102" s="116">
        <v>2018</v>
      </c>
      <c r="D102" s="50"/>
      <c r="E102" s="42"/>
      <c r="F102" s="189"/>
      <c r="G102" s="190"/>
      <c r="H102" s="190"/>
      <c r="I102" s="190"/>
      <c r="J102" s="190"/>
      <c r="K102" s="190"/>
      <c r="L102" s="190"/>
      <c r="M102" s="193"/>
      <c r="N102" s="177"/>
      <c r="O102" s="177"/>
      <c r="P102" s="177"/>
    </row>
    <row r="103" spans="1:16" ht="14.25" customHeight="1">
      <c r="A103" s="3001"/>
      <c r="B103" s="3000"/>
      <c r="C103" s="116">
        <v>2019</v>
      </c>
      <c r="D103" s="50"/>
      <c r="E103" s="42"/>
      <c r="F103" s="189"/>
      <c r="G103" s="190"/>
      <c r="H103" s="190"/>
      <c r="I103" s="190"/>
      <c r="J103" s="190"/>
      <c r="K103" s="190"/>
      <c r="L103" s="190"/>
      <c r="M103" s="193"/>
      <c r="N103" s="177"/>
      <c r="O103" s="177"/>
      <c r="P103" s="177"/>
    </row>
    <row r="104" spans="1:16" ht="14.25" customHeight="1">
      <c r="A104" s="3001"/>
      <c r="B104" s="3000"/>
      <c r="C104" s="116">
        <v>2020</v>
      </c>
      <c r="D104" s="50"/>
      <c r="E104" s="42"/>
      <c r="F104" s="189"/>
      <c r="G104" s="190"/>
      <c r="H104" s="190"/>
      <c r="I104" s="190"/>
      <c r="J104" s="190"/>
      <c r="K104" s="190"/>
      <c r="L104" s="190"/>
      <c r="M104" s="193"/>
      <c r="N104" s="177"/>
      <c r="O104" s="177"/>
      <c r="P104" s="177"/>
    </row>
    <row r="105" spans="1:16" ht="19.5" customHeight="1" thickBot="1">
      <c r="A105" s="3002"/>
      <c r="B105" s="3003"/>
      <c r="C105" s="122" t="s">
        <v>12</v>
      </c>
      <c r="D105" s="151">
        <f>SUM(D98:D104)</f>
        <v>37</v>
      </c>
      <c r="E105" s="125">
        <f t="shared" ref="E105:K105" si="8">SUM(E98:E104)</f>
        <v>131</v>
      </c>
      <c r="F105" s="194">
        <f t="shared" si="8"/>
        <v>1</v>
      </c>
      <c r="G105" s="195">
        <f t="shared" si="8"/>
        <v>0</v>
      </c>
      <c r="H105" s="195">
        <f t="shared" si="8"/>
        <v>0</v>
      </c>
      <c r="I105" s="195">
        <f>SUM(I98:I104)</f>
        <v>1</v>
      </c>
      <c r="J105" s="195">
        <f t="shared" si="8"/>
        <v>1</v>
      </c>
      <c r="K105" s="195">
        <f t="shared" si="8"/>
        <v>0</v>
      </c>
      <c r="L105" s="195">
        <f>SUM(L98:L104)</f>
        <v>0</v>
      </c>
      <c r="M105" s="196">
        <f>SUM(M98:M104)</f>
        <v>34</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270" t="s">
        <v>69</v>
      </c>
      <c r="B107" s="2271" t="s">
        <v>61</v>
      </c>
      <c r="C107" s="2272" t="s">
        <v>8</v>
      </c>
      <c r="D107" s="2670" t="s">
        <v>70</v>
      </c>
      <c r="E107" s="174" t="s">
        <v>71</v>
      </c>
      <c r="F107" s="493"/>
      <c r="G107" s="493"/>
      <c r="H107" s="493"/>
      <c r="I107" s="493"/>
      <c r="J107" s="493"/>
      <c r="K107" s="493"/>
      <c r="L107" s="494"/>
      <c r="M107" s="199"/>
      <c r="N107" s="199"/>
    </row>
    <row r="108" spans="1:16" ht="103.5" customHeight="1">
      <c r="A108" s="3018"/>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3004"/>
      <c r="B109" s="2025"/>
      <c r="C109" s="112">
        <v>2014</v>
      </c>
      <c r="D109" s="34"/>
      <c r="E109" s="186"/>
      <c r="F109" s="187"/>
      <c r="G109" s="187"/>
      <c r="H109" s="187"/>
      <c r="I109" s="187"/>
      <c r="J109" s="187"/>
      <c r="K109" s="187"/>
      <c r="L109" s="188"/>
      <c r="M109" s="199"/>
      <c r="N109" s="199"/>
    </row>
    <row r="110" spans="1:16">
      <c r="A110" s="2553"/>
      <c r="B110" s="2025"/>
      <c r="C110" s="116">
        <v>2015</v>
      </c>
      <c r="D110" s="117">
        <f>SUM('dolnośląskie:ODR woj. zachodniopomorskie'!D110)</f>
        <v>23</v>
      </c>
      <c r="E110" s="189">
        <f>SUM('dolnośląskie:ODR woj. zachodniopomorskie'!E110)</f>
        <v>16</v>
      </c>
      <c r="F110" s="117">
        <f>SUM('dolnośląskie:ODR woj. zachodniopomorskie'!F110)</f>
        <v>0</v>
      </c>
      <c r="G110" s="117">
        <f>SUM('dolnośląskie:ODR woj. zachodniopomorskie'!G110)</f>
        <v>0</v>
      </c>
      <c r="H110" s="117">
        <f>SUM('dolnośląskie:ODR woj. zachodniopomorskie'!H110)</f>
        <v>0</v>
      </c>
      <c r="I110" s="117">
        <f>SUM('dolnośląskie:ODR woj. zachodniopomorskie'!I110)</f>
        <v>0</v>
      </c>
      <c r="J110" s="117">
        <f>SUM('dolnośląskie:ODR woj. zachodniopomorskie'!J110)</f>
        <v>0</v>
      </c>
      <c r="K110" s="117">
        <f>SUM('dolnośląskie:ODR woj. zachodniopomorskie'!K110)</f>
        <v>0</v>
      </c>
      <c r="L110" s="193">
        <f>SUM('dolnośląskie:ODR woj. zachodniopomorskie'!L110)</f>
        <v>7</v>
      </c>
      <c r="M110" s="199"/>
      <c r="N110" s="199"/>
    </row>
    <row r="111" spans="1:16">
      <c r="A111" s="2553"/>
      <c r="B111" s="2025"/>
      <c r="C111" s="116">
        <v>2016</v>
      </c>
      <c r="D111" s="117">
        <f>SUM('dolnośląskie:ODR woj. zachodniopomorskie'!D111)</f>
        <v>21</v>
      </c>
      <c r="E111" s="189">
        <f>SUM('dolnośląskie:ODR woj. zachodniopomorskie'!E111)</f>
        <v>18</v>
      </c>
      <c r="F111" s="117">
        <f>SUM('dolnośląskie:ODR woj. zachodniopomorskie'!F111)</f>
        <v>0</v>
      </c>
      <c r="G111" s="117">
        <f>SUM('dolnośląskie:ODR woj. zachodniopomorskie'!G111)</f>
        <v>0</v>
      </c>
      <c r="H111" s="117">
        <f>SUM('dolnośląskie:ODR woj. zachodniopomorskie'!H111)</f>
        <v>0</v>
      </c>
      <c r="I111" s="117">
        <f>SUM('dolnośląskie:ODR woj. zachodniopomorskie'!I111)</f>
        <v>0</v>
      </c>
      <c r="J111" s="117">
        <f>SUM('dolnośląskie:ODR woj. zachodniopomorskie'!J111)</f>
        <v>0</v>
      </c>
      <c r="K111" s="117">
        <f>SUM('dolnośląskie:ODR woj. zachodniopomorskie'!K111)</f>
        <v>0</v>
      </c>
      <c r="L111" s="193">
        <f>SUM('dolnośląskie:ODR woj. zachodniopomorskie'!L111)</f>
        <v>3</v>
      </c>
      <c r="M111" s="199"/>
      <c r="N111" s="199"/>
    </row>
    <row r="112" spans="1:16">
      <c r="A112" s="2553"/>
      <c r="B112" s="2025"/>
      <c r="C112" s="116">
        <v>2017</v>
      </c>
      <c r="D112" s="42"/>
      <c r="E112" s="189"/>
      <c r="F112" s="190"/>
      <c r="G112" s="190"/>
      <c r="H112" s="190"/>
      <c r="I112" s="190"/>
      <c r="J112" s="190"/>
      <c r="K112" s="190"/>
      <c r="L112" s="193"/>
      <c r="M112" s="199"/>
      <c r="N112" s="199"/>
    </row>
    <row r="113" spans="1:14">
      <c r="A113" s="2553"/>
      <c r="B113" s="2025"/>
      <c r="C113" s="116">
        <v>2018</v>
      </c>
      <c r="D113" s="42"/>
      <c r="E113" s="189"/>
      <c r="F113" s="190"/>
      <c r="G113" s="190"/>
      <c r="H113" s="190"/>
      <c r="I113" s="190"/>
      <c r="J113" s="190"/>
      <c r="K113" s="190"/>
      <c r="L113" s="193"/>
      <c r="M113" s="199"/>
      <c r="N113" s="199"/>
    </row>
    <row r="114" spans="1:14">
      <c r="A114" s="2553"/>
      <c r="B114" s="2025"/>
      <c r="C114" s="116">
        <v>2019</v>
      </c>
      <c r="D114" s="42"/>
      <c r="E114" s="189"/>
      <c r="F114" s="190"/>
      <c r="G114" s="190"/>
      <c r="H114" s="190"/>
      <c r="I114" s="190"/>
      <c r="J114" s="190"/>
      <c r="K114" s="190"/>
      <c r="L114" s="193"/>
      <c r="M114" s="199"/>
      <c r="N114" s="199"/>
    </row>
    <row r="115" spans="1:14">
      <c r="A115" s="2553"/>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f t="shared" ref="D116:I116" si="9">SUM(D109:D115)</f>
        <v>44</v>
      </c>
      <c r="E116" s="194">
        <f t="shared" si="9"/>
        <v>34</v>
      </c>
      <c r="F116" s="195">
        <f t="shared" si="9"/>
        <v>0</v>
      </c>
      <c r="G116" s="195">
        <f t="shared" si="9"/>
        <v>0</v>
      </c>
      <c r="H116" s="195">
        <f t="shared" si="9"/>
        <v>0</v>
      </c>
      <c r="I116" s="195">
        <f t="shared" si="9"/>
        <v>0</v>
      </c>
      <c r="J116" s="195"/>
      <c r="K116" s="195">
        <f>SUM(K109:K115)</f>
        <v>0</v>
      </c>
      <c r="L116" s="196">
        <f>SUM(L109:L115)</f>
        <v>10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270" t="s">
        <v>72</v>
      </c>
      <c r="B118" s="2271" t="s">
        <v>61</v>
      </c>
      <c r="C118" s="2272" t="s">
        <v>8</v>
      </c>
      <c r="D118" s="2670" t="s">
        <v>73</v>
      </c>
      <c r="E118" s="174" t="s">
        <v>71</v>
      </c>
      <c r="F118" s="493"/>
      <c r="G118" s="493"/>
      <c r="H118" s="493"/>
      <c r="I118" s="493"/>
      <c r="J118" s="493"/>
      <c r="K118" s="493"/>
      <c r="L118" s="494"/>
      <c r="M118" s="199"/>
      <c r="N118" s="199"/>
    </row>
    <row r="119" spans="1:14" ht="120.75" customHeight="1">
      <c r="A119" s="3018"/>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998"/>
      <c r="B120" s="2993"/>
      <c r="C120" s="112">
        <v>2014</v>
      </c>
      <c r="D120" s="34"/>
      <c r="E120" s="186"/>
      <c r="F120" s="187"/>
      <c r="G120" s="187"/>
      <c r="H120" s="187"/>
      <c r="I120" s="187"/>
      <c r="J120" s="187"/>
      <c r="K120" s="187"/>
      <c r="L120" s="188"/>
      <c r="M120" s="199"/>
      <c r="N120" s="199"/>
    </row>
    <row r="121" spans="1:14">
      <c r="A121" s="2994"/>
      <c r="B121" s="2993"/>
      <c r="C121" s="116">
        <v>2015</v>
      </c>
      <c r="D121" s="117">
        <f>SUM('dolnośląskie:ODR woj. zachodniopomorskie'!D121)</f>
        <v>2</v>
      </c>
      <c r="E121" s="189">
        <f>SUM('dolnośląskie:ODR woj. zachodniopomorskie'!E121)</f>
        <v>0</v>
      </c>
      <c r="F121" s="117">
        <f>SUM('dolnośląskie:ODR woj. zachodniopomorskie'!F121)</f>
        <v>0</v>
      </c>
      <c r="G121" s="117">
        <f>SUM('dolnośląskie:ODR woj. zachodniopomorskie'!G121)</f>
        <v>0</v>
      </c>
      <c r="H121" s="117">
        <f>SUM('dolnośląskie:ODR woj. zachodniopomorskie'!H121)</f>
        <v>0</v>
      </c>
      <c r="I121" s="117">
        <f>SUM('dolnośląskie:ODR woj. zachodniopomorskie'!I121)</f>
        <v>0</v>
      </c>
      <c r="J121" s="117">
        <f>SUM('dolnośląskie:ODR woj. zachodniopomorskie'!J121)</f>
        <v>0</v>
      </c>
      <c r="K121" s="117">
        <f>SUM('dolnośląskie:ODR woj. zachodniopomorskie'!K121)</f>
        <v>0</v>
      </c>
      <c r="L121" s="193">
        <f>SUM('dolnośląskie:ODR woj. zachodniopomorskie'!L121)</f>
        <v>0</v>
      </c>
      <c r="M121" s="199"/>
      <c r="N121" s="199"/>
    </row>
    <row r="122" spans="1:14">
      <c r="A122" s="2994"/>
      <c r="B122" s="2993"/>
      <c r="C122" s="116">
        <v>2016</v>
      </c>
      <c r="D122" s="117">
        <f>SUM('dolnośląskie:ODR woj. zachodniopomorskie'!D122)</f>
        <v>4</v>
      </c>
      <c r="E122" s="189">
        <f>SUM('dolnośląskie:ODR woj. zachodniopomorskie'!E122)</f>
        <v>2</v>
      </c>
      <c r="F122" s="117">
        <f>SUM('dolnośląskie:ODR woj. zachodniopomorskie'!F122)</f>
        <v>5</v>
      </c>
      <c r="G122" s="117">
        <f>SUM('dolnośląskie:ODR woj. zachodniopomorskie'!G122)</f>
        <v>0</v>
      </c>
      <c r="H122" s="117">
        <f>SUM('dolnośląskie:ODR woj. zachodniopomorskie'!H122)</f>
        <v>0</v>
      </c>
      <c r="I122" s="117">
        <f>SUM('dolnośląskie:ODR woj. zachodniopomorskie'!I122)</f>
        <v>0</v>
      </c>
      <c r="J122" s="117">
        <f>SUM('dolnośląskie:ODR woj. zachodniopomorskie'!J122)</f>
        <v>0</v>
      </c>
      <c r="K122" s="117">
        <f>SUM('dolnośląskie:ODR woj. zachodniopomorskie'!K122)</f>
        <v>0</v>
      </c>
      <c r="L122" s="193">
        <f>SUM('dolnośląskie:ODR woj. zachodniopomorskie'!L122)</f>
        <v>0</v>
      </c>
      <c r="M122" s="199"/>
      <c r="N122" s="199"/>
    </row>
    <row r="123" spans="1:14">
      <c r="A123" s="2994"/>
      <c r="B123" s="2993"/>
      <c r="C123" s="116">
        <v>2017</v>
      </c>
      <c r="D123" s="42"/>
      <c r="E123" s="189"/>
      <c r="F123" s="190"/>
      <c r="G123" s="190"/>
      <c r="H123" s="190"/>
      <c r="I123" s="190"/>
      <c r="J123" s="190"/>
      <c r="K123" s="190"/>
      <c r="L123" s="193"/>
      <c r="M123" s="199"/>
      <c r="N123" s="199"/>
    </row>
    <row r="124" spans="1:14">
      <c r="A124" s="2994"/>
      <c r="B124" s="2993"/>
      <c r="C124" s="116">
        <v>2018</v>
      </c>
      <c r="D124" s="42"/>
      <c r="E124" s="189"/>
      <c r="F124" s="190"/>
      <c r="G124" s="190"/>
      <c r="H124" s="190"/>
      <c r="I124" s="190"/>
      <c r="J124" s="190"/>
      <c r="K124" s="190"/>
      <c r="L124" s="193"/>
      <c r="M124" s="199"/>
      <c r="N124" s="199"/>
    </row>
    <row r="125" spans="1:14">
      <c r="A125" s="2994"/>
      <c r="B125" s="2993"/>
      <c r="C125" s="116">
        <v>2019</v>
      </c>
      <c r="D125" s="42"/>
      <c r="E125" s="189"/>
      <c r="F125" s="190"/>
      <c r="G125" s="190"/>
      <c r="H125" s="190"/>
      <c r="I125" s="190"/>
      <c r="J125" s="190"/>
      <c r="K125" s="190"/>
      <c r="L125" s="193"/>
      <c r="M125" s="199"/>
      <c r="N125" s="199"/>
    </row>
    <row r="126" spans="1:14">
      <c r="A126" s="2994"/>
      <c r="B126" s="2993"/>
      <c r="C126" s="116">
        <v>2020</v>
      </c>
      <c r="D126" s="42"/>
      <c r="E126" s="189"/>
      <c r="F126" s="190"/>
      <c r="G126" s="190"/>
      <c r="H126" s="190"/>
      <c r="I126" s="190"/>
      <c r="J126" s="190"/>
      <c r="K126" s="190"/>
      <c r="L126" s="193"/>
      <c r="M126" s="199"/>
      <c r="N126" s="199"/>
    </row>
    <row r="127" spans="1:14" ht="15.75" thickBot="1">
      <c r="A127" s="2995"/>
      <c r="B127" s="2996"/>
      <c r="C127" s="122" t="s">
        <v>12</v>
      </c>
      <c r="D127" s="125">
        <f t="shared" ref="D127:I127" si="10">SUM(D120:D126)</f>
        <v>6</v>
      </c>
      <c r="E127" s="194">
        <f t="shared" si="10"/>
        <v>2</v>
      </c>
      <c r="F127" s="195">
        <f t="shared" si="10"/>
        <v>5</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270" t="s">
        <v>74</v>
      </c>
      <c r="B129" s="2271" t="s">
        <v>61</v>
      </c>
      <c r="C129" s="1707" t="s">
        <v>8</v>
      </c>
      <c r="D129" s="496" t="s">
        <v>75</v>
      </c>
      <c r="E129" s="497"/>
      <c r="F129" s="497"/>
      <c r="G129" s="498"/>
      <c r="H129" s="199"/>
      <c r="I129" s="199"/>
      <c r="J129" s="199"/>
      <c r="K129" s="199"/>
      <c r="L129" s="199"/>
      <c r="M129" s="199"/>
      <c r="N129" s="199"/>
    </row>
    <row r="130" spans="1:16" ht="77.25" customHeight="1">
      <c r="A130" s="3018"/>
      <c r="B130" s="2043"/>
      <c r="C130" s="1704"/>
      <c r="D130" s="178" t="s">
        <v>76</v>
      </c>
      <c r="E130" s="207" t="s">
        <v>77</v>
      </c>
      <c r="F130" s="179" t="s">
        <v>78</v>
      </c>
      <c r="G130" s="208" t="s">
        <v>12</v>
      </c>
      <c r="H130" s="199"/>
      <c r="I130" s="199"/>
      <c r="J130" s="199"/>
      <c r="K130" s="199"/>
      <c r="L130" s="199"/>
      <c r="M130" s="199"/>
      <c r="N130" s="199"/>
    </row>
    <row r="131" spans="1:16" ht="15" customHeight="1">
      <c r="A131" s="2997"/>
      <c r="B131" s="2253"/>
      <c r="C131" s="1623">
        <v>2015</v>
      </c>
      <c r="D131" s="117">
        <f>SUM('dolnośląskie:ODR woj. zachodniopomorskie'!D131)</f>
        <v>483</v>
      </c>
      <c r="E131" s="117">
        <f>SUM('dolnośląskie:ODR woj. zachodniopomorskie'!E131)</f>
        <v>529</v>
      </c>
      <c r="F131" s="117">
        <f>SUM('dolnośląskie:ODR woj. zachodniopomorskie'!F131)</f>
        <v>4</v>
      </c>
      <c r="G131" s="209">
        <f t="shared" ref="G131:G136" si="11">SUM(D131:F131)</f>
        <v>1016</v>
      </c>
      <c r="H131" s="199"/>
      <c r="I131" s="199"/>
      <c r="J131" s="199"/>
      <c r="K131" s="199"/>
      <c r="L131" s="199"/>
      <c r="M131" s="199"/>
      <c r="N131" s="199"/>
    </row>
    <row r="132" spans="1:16">
      <c r="A132" s="2983"/>
      <c r="B132" s="2253"/>
      <c r="C132" s="116">
        <v>2016</v>
      </c>
      <c r="D132" s="117">
        <f>SUM('dolnośląskie:ODR woj. zachodniopomorskie'!D132)</f>
        <v>1366</v>
      </c>
      <c r="E132" s="117">
        <f>SUM('dolnośląskie:ODR woj. zachodniopomorskie'!E132)</f>
        <v>15</v>
      </c>
      <c r="F132" s="117">
        <f>SUM('dolnośląskie:ODR woj. zachodniopomorskie'!F132)</f>
        <v>1671</v>
      </c>
      <c r="G132" s="209">
        <f t="shared" si="11"/>
        <v>3052</v>
      </c>
      <c r="H132" s="199"/>
      <c r="I132" s="199"/>
      <c r="J132" s="199"/>
      <c r="K132" s="199"/>
      <c r="L132" s="199"/>
      <c r="M132" s="199"/>
      <c r="N132" s="199"/>
    </row>
    <row r="133" spans="1:16">
      <c r="A133" s="2983"/>
      <c r="B133" s="2253"/>
      <c r="C133" s="116">
        <v>2017</v>
      </c>
      <c r="D133" s="50"/>
      <c r="E133" s="42"/>
      <c r="F133" s="42"/>
      <c r="G133" s="209">
        <f t="shared" si="11"/>
        <v>0</v>
      </c>
      <c r="H133" s="199"/>
      <c r="I133" s="199"/>
      <c r="J133" s="199"/>
      <c r="K133" s="199"/>
      <c r="L133" s="199"/>
      <c r="M133" s="199"/>
      <c r="N133" s="199"/>
    </row>
    <row r="134" spans="1:16">
      <c r="A134" s="2983"/>
      <c r="B134" s="2253"/>
      <c r="C134" s="116">
        <v>2018</v>
      </c>
      <c r="D134" s="50"/>
      <c r="E134" s="42"/>
      <c r="F134" s="42"/>
      <c r="G134" s="209">
        <f t="shared" si="11"/>
        <v>0</v>
      </c>
      <c r="H134" s="199"/>
      <c r="I134" s="199"/>
      <c r="J134" s="199"/>
      <c r="K134" s="199"/>
      <c r="L134" s="199"/>
      <c r="M134" s="199"/>
      <c r="N134" s="199"/>
    </row>
    <row r="135" spans="1:16">
      <c r="A135" s="2983"/>
      <c r="B135" s="2253"/>
      <c r="C135" s="116">
        <v>2019</v>
      </c>
      <c r="D135" s="50"/>
      <c r="E135" s="42"/>
      <c r="F135" s="42"/>
      <c r="G135" s="209">
        <f t="shared" si="11"/>
        <v>0</v>
      </c>
      <c r="H135" s="199"/>
      <c r="I135" s="199"/>
      <c r="J135" s="199"/>
      <c r="K135" s="199"/>
      <c r="L135" s="199"/>
      <c r="M135" s="199"/>
      <c r="N135" s="199"/>
    </row>
    <row r="136" spans="1:16">
      <c r="A136" s="2983"/>
      <c r="B136" s="2253"/>
      <c r="C136" s="116">
        <v>2020</v>
      </c>
      <c r="D136" s="50"/>
      <c r="E136" s="42"/>
      <c r="F136" s="42"/>
      <c r="G136" s="209">
        <f t="shared" si="11"/>
        <v>0</v>
      </c>
      <c r="H136" s="199"/>
      <c r="I136" s="199"/>
      <c r="J136" s="199"/>
      <c r="K136" s="199"/>
      <c r="L136" s="199"/>
      <c r="M136" s="199"/>
      <c r="N136" s="199"/>
    </row>
    <row r="137" spans="1:16" ht="17.25" customHeight="1" thickBot="1">
      <c r="A137" s="2408"/>
      <c r="B137" s="2256"/>
      <c r="C137" s="122" t="s">
        <v>12</v>
      </c>
      <c r="D137" s="151">
        <f>SUM(D131:D136)</f>
        <v>1849</v>
      </c>
      <c r="E137" s="151">
        <f t="shared" ref="E137:F137" si="12">SUM(E131:E136)</f>
        <v>544</v>
      </c>
      <c r="F137" s="151">
        <f t="shared" si="12"/>
        <v>1675</v>
      </c>
      <c r="G137" s="210">
        <f>SUM(G131:G136)</f>
        <v>4068</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273" t="s">
        <v>80</v>
      </c>
      <c r="B142" s="2274" t="s">
        <v>61</v>
      </c>
      <c r="C142" s="2280" t="s">
        <v>8</v>
      </c>
      <c r="D142" s="590" t="s">
        <v>81</v>
      </c>
      <c r="E142" s="591"/>
      <c r="F142" s="591"/>
      <c r="G142" s="591"/>
      <c r="H142" s="591"/>
      <c r="I142" s="592"/>
      <c r="J142" s="2275" t="s">
        <v>82</v>
      </c>
      <c r="K142" s="2276"/>
      <c r="L142" s="2276"/>
      <c r="M142" s="2276"/>
      <c r="N142" s="2277"/>
      <c r="O142" s="177"/>
      <c r="P142" s="177"/>
    </row>
    <row r="143" spans="1:16" ht="113.25" customHeight="1">
      <c r="A143" s="3019"/>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552"/>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553"/>
      <c r="B145" s="2025"/>
      <c r="C145" s="116">
        <v>2015</v>
      </c>
      <c r="D145" s="117">
        <f>SUM('dolnośląskie:ODR woj. zachodniopomorskie'!D145)</f>
        <v>4</v>
      </c>
      <c r="E145" s="117">
        <f>SUM('dolnośląskie:ODR woj. zachodniopomorskie'!E145)</f>
        <v>2</v>
      </c>
      <c r="F145" s="117">
        <f>SUM('dolnośląskie:ODR woj. zachodniopomorskie'!F145)</f>
        <v>4</v>
      </c>
      <c r="G145" s="117">
        <f>SUM('dolnośląskie:ODR woj. zachodniopomorskie'!G145)</f>
        <v>3</v>
      </c>
      <c r="H145" s="117">
        <f>SUM('dolnośląskie:ODR woj. zachodniopomorskie'!H145)</f>
        <v>3</v>
      </c>
      <c r="I145" s="227">
        <f t="shared" ref="I145:I150" si="13">D145+F145+G145+H145</f>
        <v>14</v>
      </c>
      <c r="J145" s="117">
        <f>SUM('dolnośląskie:ODR woj. zachodniopomorskie'!J145)</f>
        <v>6</v>
      </c>
      <c r="K145" s="117">
        <f>SUM('dolnośląskie:ODR woj. zachodniopomorskie'!K145)</f>
        <v>1</v>
      </c>
      <c r="L145" s="117">
        <f>SUM('dolnośląskie:ODR woj. zachodniopomorskie'!L145)</f>
        <v>0</v>
      </c>
      <c r="M145" s="117">
        <f>SUM('dolnośląskie:ODR woj. zachodniopomorskie'!M145)</f>
        <v>0</v>
      </c>
      <c r="N145" s="233">
        <f>SUM('dolnośląskie:ODR woj. zachodniopomorskie'!N145)</f>
        <v>1</v>
      </c>
      <c r="O145" s="177"/>
      <c r="P145" s="177"/>
    </row>
    <row r="146" spans="1:16" ht="20.25" customHeight="1">
      <c r="A146" s="2553"/>
      <c r="B146" s="2025"/>
      <c r="C146" s="116">
        <v>2016</v>
      </c>
      <c r="D146" s="117">
        <f>SUM('dolnośląskie:ODR woj. zachodniopomorskie'!D146)</f>
        <v>4</v>
      </c>
      <c r="E146" s="117">
        <f>SUM('dolnośląskie:ODR woj. zachodniopomorskie'!E146)</f>
        <v>7</v>
      </c>
      <c r="F146" s="117">
        <f>SUM('dolnośląskie:ODR woj. zachodniopomorskie'!F146)</f>
        <v>4</v>
      </c>
      <c r="G146" s="117">
        <f>SUM('dolnośląskie:ODR woj. zachodniopomorskie'!G146)</f>
        <v>12</v>
      </c>
      <c r="H146" s="117">
        <f>SUM('dolnośląskie:ODR woj. zachodniopomorskie'!H146)</f>
        <v>4</v>
      </c>
      <c r="I146" s="227">
        <f t="shared" si="13"/>
        <v>24</v>
      </c>
      <c r="J146" s="117">
        <f>SUM('dolnośląskie:ODR woj. zachodniopomorskie'!J146)</f>
        <v>20</v>
      </c>
      <c r="K146" s="117">
        <f>SUM('dolnośląskie:ODR woj. zachodniopomorskie'!K146)</f>
        <v>2</v>
      </c>
      <c r="L146" s="117">
        <f>SUM('dolnośląskie:ODR woj. zachodniopomorskie'!L146)</f>
        <v>0</v>
      </c>
      <c r="M146" s="117">
        <f>SUM('dolnośląskie:ODR woj. zachodniopomorskie'!M146)</f>
        <v>0</v>
      </c>
      <c r="N146" s="233">
        <f>SUM('dolnośląskie:ODR woj. zachodniopomorskie'!N146)</f>
        <v>4</v>
      </c>
      <c r="O146" s="177"/>
      <c r="P146" s="177"/>
    </row>
    <row r="147" spans="1:16" ht="17.25" customHeight="1">
      <c r="A147" s="2553"/>
      <c r="B147" s="2025"/>
      <c r="C147" s="116">
        <v>2017</v>
      </c>
      <c r="D147" s="50"/>
      <c r="E147" s="50"/>
      <c r="F147" s="42"/>
      <c r="G147" s="190"/>
      <c r="H147" s="190"/>
      <c r="I147" s="227">
        <f t="shared" si="13"/>
        <v>0</v>
      </c>
      <c r="J147" s="231"/>
      <c r="K147" s="232"/>
      <c r="L147" s="231"/>
      <c r="M147" s="232"/>
      <c r="N147" s="233"/>
      <c r="O147" s="177"/>
      <c r="P147" s="177"/>
    </row>
    <row r="148" spans="1:16" ht="19.5" customHeight="1">
      <c r="A148" s="2553"/>
      <c r="B148" s="2025"/>
      <c r="C148" s="116">
        <v>2018</v>
      </c>
      <c r="D148" s="50"/>
      <c r="E148" s="50"/>
      <c r="F148" s="42"/>
      <c r="G148" s="190"/>
      <c r="H148" s="190"/>
      <c r="I148" s="227">
        <f t="shared" si="13"/>
        <v>0</v>
      </c>
      <c r="J148" s="231"/>
      <c r="K148" s="232"/>
      <c r="L148" s="231"/>
      <c r="M148" s="232"/>
      <c r="N148" s="233"/>
      <c r="O148" s="177"/>
      <c r="P148" s="177"/>
    </row>
    <row r="149" spans="1:16" ht="19.5" customHeight="1">
      <c r="A149" s="2553"/>
      <c r="B149" s="2025"/>
      <c r="C149" s="116">
        <v>2019</v>
      </c>
      <c r="D149" s="50"/>
      <c r="E149" s="50"/>
      <c r="F149" s="42"/>
      <c r="G149" s="190"/>
      <c r="H149" s="190"/>
      <c r="I149" s="227">
        <f t="shared" si="13"/>
        <v>0</v>
      </c>
      <c r="J149" s="231"/>
      <c r="K149" s="232"/>
      <c r="L149" s="231"/>
      <c r="M149" s="232"/>
      <c r="N149" s="233"/>
      <c r="O149" s="177"/>
      <c r="P149" s="177"/>
    </row>
    <row r="150" spans="1:16" ht="18.75" customHeight="1">
      <c r="A150" s="2553"/>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8</v>
      </c>
      <c r="E151" s="151">
        <f t="shared" ref="E151:I151" si="14">SUM(E144:E150)</f>
        <v>9</v>
      </c>
      <c r="F151" s="151">
        <f t="shared" si="14"/>
        <v>8</v>
      </c>
      <c r="G151" s="151">
        <f t="shared" si="14"/>
        <v>15</v>
      </c>
      <c r="H151" s="151">
        <f t="shared" si="14"/>
        <v>7</v>
      </c>
      <c r="I151" s="234">
        <f t="shared" si="14"/>
        <v>38</v>
      </c>
      <c r="J151" s="235">
        <f>SUM(J144:J150)</f>
        <v>26</v>
      </c>
      <c r="K151" s="236">
        <f>SUM(K144:K150)</f>
        <v>3</v>
      </c>
      <c r="L151" s="235">
        <f>SUM(L144:L150)</f>
        <v>0</v>
      </c>
      <c r="M151" s="236">
        <f>SUM(M144:M150)</f>
        <v>0</v>
      </c>
      <c r="N151" s="237">
        <f>SUM(N144:N150)</f>
        <v>5</v>
      </c>
      <c r="O151" s="177"/>
      <c r="P151" s="177"/>
    </row>
    <row r="152" spans="1:16" ht="27" customHeight="1" thickBot="1">
      <c r="B152" s="238"/>
      <c r="O152" s="177"/>
      <c r="P152" s="177"/>
    </row>
    <row r="153" spans="1:16" ht="35.25" customHeight="1">
      <c r="A153" s="2278" t="s">
        <v>93</v>
      </c>
      <c r="B153" s="2274" t="s">
        <v>61</v>
      </c>
      <c r="C153" s="2279" t="s">
        <v>8</v>
      </c>
      <c r="D153" s="502" t="s">
        <v>94</v>
      </c>
      <c r="E153" s="502"/>
      <c r="F153" s="503"/>
      <c r="G153" s="503"/>
      <c r="H153" s="502" t="s">
        <v>95</v>
      </c>
      <c r="I153" s="502"/>
      <c r="J153" s="504"/>
      <c r="K153" s="31"/>
      <c r="L153" s="31"/>
      <c r="M153" s="31"/>
      <c r="N153" s="31"/>
      <c r="O153" s="177"/>
      <c r="P153" s="177"/>
    </row>
    <row r="154" spans="1:16" ht="49.5" customHeight="1">
      <c r="A154" s="2556"/>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552"/>
      <c r="B155" s="2025"/>
      <c r="C155" s="247">
        <v>2014</v>
      </c>
      <c r="D155" s="228"/>
      <c r="E155" s="187"/>
      <c r="F155" s="229"/>
      <c r="G155" s="227">
        <f>SUM(D155:F155)</f>
        <v>0</v>
      </c>
      <c r="H155" s="228"/>
      <c r="I155" s="187"/>
      <c r="J155" s="188"/>
      <c r="O155" s="177"/>
      <c r="P155" s="177"/>
    </row>
    <row r="156" spans="1:16" ht="19.5" customHeight="1">
      <c r="A156" s="2553"/>
      <c r="B156" s="2025"/>
      <c r="C156" s="248">
        <v>2015</v>
      </c>
      <c r="D156" s="117">
        <f>SUM('dolnośląskie:ODR woj. zachodniopomorskie'!D156)</f>
        <v>0</v>
      </c>
      <c r="E156" s="117">
        <f>SUM('dolnośląskie:ODR woj. zachodniopomorskie'!E156)</f>
        <v>0</v>
      </c>
      <c r="F156" s="117">
        <f>SUM('dolnośląskie:ODR woj. zachodniopomorskie'!F156)</f>
        <v>0</v>
      </c>
      <c r="G156" s="227">
        <f t="shared" ref="G156:G161" si="15">SUM(D156:F156)</f>
        <v>0</v>
      </c>
      <c r="H156" s="117">
        <f>SUM('dolnośląskie:ODR woj. zachodniopomorskie'!H156)</f>
        <v>0</v>
      </c>
      <c r="I156" s="117">
        <f>SUM('dolnośląskie:ODR woj. zachodniopomorskie'!I156)</f>
        <v>0</v>
      </c>
      <c r="J156" s="193">
        <f>SUM('dolnośląskie:ODR woj. zachodniopomorskie'!J156)</f>
        <v>0</v>
      </c>
      <c r="O156" s="177"/>
      <c r="P156" s="177"/>
    </row>
    <row r="157" spans="1:16" ht="17.25" customHeight="1">
      <c r="A157" s="2553"/>
      <c r="B157" s="2025"/>
      <c r="C157" s="248">
        <v>2016</v>
      </c>
      <c r="D157" s="117">
        <f>SUM('dolnośląskie:ODR woj. zachodniopomorskie'!D157)</f>
        <v>2</v>
      </c>
      <c r="E157" s="117">
        <f>SUM('dolnośląskie:ODR woj. zachodniopomorskie'!E157)</f>
        <v>0</v>
      </c>
      <c r="F157" s="117">
        <f>SUM('dolnośląskie:ODR woj. zachodniopomorskie'!F157)</f>
        <v>0</v>
      </c>
      <c r="G157" s="227">
        <v>1</v>
      </c>
      <c r="H157" s="117">
        <f>SUM('dolnośląskie:ODR woj. zachodniopomorskie'!H157)</f>
        <v>0</v>
      </c>
      <c r="I157" s="117">
        <f>SUM('dolnośląskie:ODR woj. zachodniopomorskie'!I157)</f>
        <v>0</v>
      </c>
      <c r="J157" s="193">
        <f>SUM('dolnośląskie:ODR woj. zachodniopomorskie'!J157)</f>
        <v>2</v>
      </c>
      <c r="O157" s="177"/>
      <c r="P157" s="177"/>
    </row>
    <row r="158" spans="1:16" ht="15" customHeight="1">
      <c r="A158" s="2553"/>
      <c r="B158" s="2025"/>
      <c r="C158" s="248">
        <v>2017</v>
      </c>
      <c r="D158" s="231"/>
      <c r="E158" s="190"/>
      <c r="F158" s="232"/>
      <c r="G158" s="227">
        <f t="shared" si="15"/>
        <v>0</v>
      </c>
      <c r="H158" s="231"/>
      <c r="I158" s="190"/>
      <c r="J158" s="193"/>
      <c r="O158" s="177"/>
      <c r="P158" s="177"/>
    </row>
    <row r="159" spans="1:16" ht="19.5" customHeight="1">
      <c r="A159" s="2553"/>
      <c r="B159" s="2025"/>
      <c r="C159" s="248">
        <v>2018</v>
      </c>
      <c r="D159" s="231"/>
      <c r="E159" s="190"/>
      <c r="F159" s="232"/>
      <c r="G159" s="227">
        <f t="shared" si="15"/>
        <v>0</v>
      </c>
      <c r="H159" s="231"/>
      <c r="I159" s="190"/>
      <c r="J159" s="193"/>
      <c r="O159" s="177"/>
      <c r="P159" s="177"/>
    </row>
    <row r="160" spans="1:16" ht="15" customHeight="1">
      <c r="A160" s="2553"/>
      <c r="B160" s="2025"/>
      <c r="C160" s="248">
        <v>2019</v>
      </c>
      <c r="D160" s="231"/>
      <c r="E160" s="190"/>
      <c r="F160" s="232"/>
      <c r="G160" s="227">
        <f t="shared" si="15"/>
        <v>0</v>
      </c>
      <c r="H160" s="231"/>
      <c r="I160" s="190"/>
      <c r="J160" s="193"/>
      <c r="O160" s="177"/>
      <c r="P160" s="177"/>
    </row>
    <row r="161" spans="1:18" ht="17.25" customHeight="1">
      <c r="A161" s="2553"/>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2</v>
      </c>
      <c r="E162" s="195">
        <f t="shared" si="16"/>
        <v>0</v>
      </c>
      <c r="F162" s="236">
        <f t="shared" si="16"/>
        <v>0</v>
      </c>
      <c r="G162" s="236">
        <f t="shared" si="16"/>
        <v>1</v>
      </c>
      <c r="H162" s="235">
        <f>SUM(H155:H161)</f>
        <v>0</v>
      </c>
      <c r="I162" s="195">
        <f>SUM(I155:I161)</f>
        <v>0</v>
      </c>
      <c r="J162" s="250">
        <f>SUM(J155:J161)</f>
        <v>2</v>
      </c>
    </row>
    <row r="163" spans="1:18" ht="24.75" customHeight="1" thickBot="1">
      <c r="A163" s="251"/>
      <c r="B163" s="252"/>
      <c r="C163" s="253"/>
      <c r="D163" s="177"/>
      <c r="E163" s="505"/>
      <c r="F163" s="177"/>
      <c r="G163" s="177"/>
      <c r="H163" s="177"/>
      <c r="I163" s="177"/>
      <c r="J163" s="255"/>
      <c r="K163" s="256"/>
    </row>
    <row r="164" spans="1:18" ht="95.25" customHeight="1">
      <c r="A164" s="257" t="s">
        <v>102</v>
      </c>
      <c r="B164" s="258" t="s">
        <v>103</v>
      </c>
      <c r="C164" s="1447" t="s">
        <v>8</v>
      </c>
      <c r="D164" s="260" t="s">
        <v>104</v>
      </c>
      <c r="E164" s="260" t="s">
        <v>105</v>
      </c>
      <c r="F164" s="508" t="s">
        <v>106</v>
      </c>
      <c r="G164" s="260" t="s">
        <v>107</v>
      </c>
      <c r="H164" s="260" t="s">
        <v>108</v>
      </c>
      <c r="I164" s="262" t="s">
        <v>109</v>
      </c>
      <c r="J164" s="263" t="s">
        <v>110</v>
      </c>
      <c r="K164" s="263" t="s">
        <v>111</v>
      </c>
      <c r="L164" s="1371"/>
    </row>
    <row r="165" spans="1:18" ht="15.75" customHeight="1">
      <c r="A165" s="2989"/>
      <c r="B165" s="2986"/>
      <c r="C165" s="265">
        <v>2014</v>
      </c>
      <c r="D165" s="187"/>
      <c r="E165" s="187"/>
      <c r="F165" s="187"/>
      <c r="G165" s="187"/>
      <c r="H165" s="187"/>
      <c r="I165" s="188"/>
      <c r="J165" s="1984">
        <f>SUM(D165,F165,H165)</f>
        <v>0</v>
      </c>
      <c r="K165" s="267">
        <f>SUM(E165,G165,I165)</f>
        <v>0</v>
      </c>
      <c r="L165" s="1371"/>
    </row>
    <row r="166" spans="1:18">
      <c r="A166" s="2990"/>
      <c r="B166" s="2253"/>
      <c r="C166" s="268">
        <v>2015</v>
      </c>
      <c r="D166" s="117">
        <f>SUM('dolnośląskie:ODR woj. zachodniopomorskie'!D166)</f>
        <v>0</v>
      </c>
      <c r="E166" s="117">
        <f>SUM('dolnośląskie:ODR woj. zachodniopomorskie'!E166)</f>
        <v>0</v>
      </c>
      <c r="F166" s="117">
        <f>SUM('dolnośląskie:ODR woj. zachodniopomorskie'!F166)</f>
        <v>0</v>
      </c>
      <c r="G166" s="117">
        <f>SUM('dolnośląskie:ODR woj. zachodniopomorskie'!G166)</f>
        <v>0</v>
      </c>
      <c r="H166" s="117">
        <f>SUM('dolnośląskie:ODR woj. zachodniopomorskie'!H166)</f>
        <v>0</v>
      </c>
      <c r="I166" s="117">
        <f>SUM('dolnośląskie:ODR woj. zachodniopomorskie'!I166)</f>
        <v>0</v>
      </c>
      <c r="J166" s="1985">
        <f t="shared" ref="J166:K171" si="17">SUM(D166,F166,H166)</f>
        <v>0</v>
      </c>
      <c r="K166" s="272">
        <f t="shared" si="17"/>
        <v>0</v>
      </c>
      <c r="L166" s="1371"/>
    </row>
    <row r="167" spans="1:18">
      <c r="A167" s="2990"/>
      <c r="B167" s="2253"/>
      <c r="C167" s="268">
        <v>2016</v>
      </c>
      <c r="D167" s="117">
        <f>SUM('dolnośląskie:ODR woj. zachodniopomorskie'!D167)</f>
        <v>0</v>
      </c>
      <c r="E167" s="117">
        <f>SUM('dolnośląskie:ODR woj. zachodniopomorskie'!E167)</f>
        <v>0</v>
      </c>
      <c r="F167" s="117">
        <f>SUM('dolnośląskie:ODR woj. zachodniopomorskie'!F167)</f>
        <v>0</v>
      </c>
      <c r="G167" s="117">
        <f>SUM('dolnośląskie:ODR woj. zachodniopomorskie'!G167)</f>
        <v>0</v>
      </c>
      <c r="H167" s="117">
        <f>SUM('dolnośląskie:ODR woj. zachodniopomorskie'!H167)</f>
        <v>148</v>
      </c>
      <c r="I167" s="117">
        <f>SUM('dolnośląskie:ODR woj. zachodniopomorskie'!I167)</f>
        <v>148</v>
      </c>
      <c r="J167" s="1985">
        <f t="shared" si="17"/>
        <v>148</v>
      </c>
      <c r="K167" s="272">
        <f t="shared" si="17"/>
        <v>148</v>
      </c>
    </row>
    <row r="168" spans="1:18">
      <c r="A168" s="2990"/>
      <c r="B168" s="2253"/>
      <c r="C168" s="268">
        <v>2017</v>
      </c>
      <c r="D168" s="269"/>
      <c r="E168" s="177"/>
      <c r="F168" s="269"/>
      <c r="G168" s="269"/>
      <c r="H168" s="269"/>
      <c r="I168" s="270"/>
      <c r="J168" s="1985">
        <f t="shared" si="17"/>
        <v>0</v>
      </c>
      <c r="K168" s="272">
        <f t="shared" si="17"/>
        <v>0</v>
      </c>
    </row>
    <row r="169" spans="1:18">
      <c r="A169" s="2990"/>
      <c r="B169" s="2253"/>
      <c r="C169" s="273">
        <v>2018</v>
      </c>
      <c r="D169" s="269"/>
      <c r="E169" s="269"/>
      <c r="F169" s="269"/>
      <c r="G169" s="274"/>
      <c r="H169" s="269"/>
      <c r="I169" s="270"/>
      <c r="J169" s="1985">
        <f t="shared" si="17"/>
        <v>0</v>
      </c>
      <c r="K169" s="272">
        <f t="shared" si="17"/>
        <v>0</v>
      </c>
      <c r="L169" s="1371"/>
    </row>
    <row r="170" spans="1:18">
      <c r="A170" s="2990"/>
      <c r="B170" s="2253"/>
      <c r="C170" s="268">
        <v>2019</v>
      </c>
      <c r="D170" s="177"/>
      <c r="E170" s="269"/>
      <c r="F170" s="269"/>
      <c r="G170" s="269"/>
      <c r="H170" s="274"/>
      <c r="I170" s="270"/>
      <c r="J170" s="1985">
        <f t="shared" si="17"/>
        <v>0</v>
      </c>
      <c r="K170" s="272">
        <f t="shared" si="17"/>
        <v>0</v>
      </c>
      <c r="L170" s="1371"/>
    </row>
    <row r="171" spans="1:18">
      <c r="A171" s="2990"/>
      <c r="B171" s="2253"/>
      <c r="C171" s="273">
        <v>2020</v>
      </c>
      <c r="D171" s="269"/>
      <c r="E171" s="269"/>
      <c r="F171" s="269"/>
      <c r="G171" s="269"/>
      <c r="H171" s="269"/>
      <c r="I171" s="270"/>
      <c r="J171" s="1985">
        <f t="shared" si="17"/>
        <v>0</v>
      </c>
      <c r="K171" s="272">
        <f t="shared" si="17"/>
        <v>0</v>
      </c>
      <c r="L171" s="1371"/>
    </row>
    <row r="172" spans="1:18" ht="41.25" customHeight="1" thickBot="1">
      <c r="A172" s="2991"/>
      <c r="B172" s="2256"/>
      <c r="C172" s="275" t="s">
        <v>12</v>
      </c>
      <c r="D172" s="195">
        <f>SUM(D165:D171)</f>
        <v>0</v>
      </c>
      <c r="E172" s="195">
        <f t="shared" ref="E172:K172" si="18">SUM(E165:E171)</f>
        <v>0</v>
      </c>
      <c r="F172" s="195">
        <f t="shared" si="18"/>
        <v>0</v>
      </c>
      <c r="G172" s="195">
        <f t="shared" si="18"/>
        <v>0</v>
      </c>
      <c r="H172" s="195">
        <f t="shared" si="18"/>
        <v>148</v>
      </c>
      <c r="I172" s="276">
        <f t="shared" si="18"/>
        <v>148</v>
      </c>
      <c r="J172" s="277">
        <f t="shared" si="18"/>
        <v>148</v>
      </c>
      <c r="K172" s="235">
        <f t="shared" si="18"/>
        <v>148</v>
      </c>
      <c r="L172" s="1371"/>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284" t="s">
        <v>113</v>
      </c>
      <c r="B176" s="2285" t="s">
        <v>114</v>
      </c>
      <c r="C176" s="2286" t="s">
        <v>8</v>
      </c>
      <c r="D176" s="510" t="s">
        <v>115</v>
      </c>
      <c r="E176" s="511"/>
      <c r="F176" s="511"/>
      <c r="G176" s="512"/>
      <c r="H176" s="513"/>
      <c r="I176" s="2021" t="s">
        <v>116</v>
      </c>
      <c r="J176" s="2232"/>
      <c r="K176" s="2232"/>
      <c r="L176" s="2232"/>
      <c r="M176" s="2232"/>
      <c r="N176" s="2232"/>
      <c r="O176" s="2233"/>
    </row>
    <row r="177" spans="1:15" s="31" customFormat="1" ht="129.75" customHeight="1">
      <c r="A177" s="3017"/>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992"/>
      <c r="B178" s="2993"/>
      <c r="C178" s="112">
        <v>2014</v>
      </c>
      <c r="D178" s="33"/>
      <c r="E178" s="34"/>
      <c r="F178" s="34"/>
      <c r="G178" s="293">
        <f>SUM(D178:F178)</f>
        <v>0</v>
      </c>
      <c r="H178" s="167"/>
      <c r="I178" s="167"/>
      <c r="J178" s="34"/>
      <c r="K178" s="34"/>
      <c r="L178" s="34"/>
      <c r="M178" s="34"/>
      <c r="N178" s="34"/>
      <c r="O178" s="37"/>
    </row>
    <row r="179" spans="1:15">
      <c r="A179" s="2994"/>
      <c r="B179" s="2993"/>
      <c r="C179" s="116">
        <v>2015</v>
      </c>
      <c r="D179" s="117">
        <f>SUM('dolnośląskie:ODR woj. zachodniopomorskie'!D179)</f>
        <v>100</v>
      </c>
      <c r="E179" s="117">
        <f>SUM('dolnośląskie:ODR woj. zachodniopomorskie'!E179)</f>
        <v>22</v>
      </c>
      <c r="F179" s="117">
        <f>SUM('dolnośląskie:ODR woj. zachodniopomorskie'!F179)</f>
        <v>7</v>
      </c>
      <c r="G179" s="293">
        <f t="shared" ref="G179:G184" si="19">SUM(D179:F179)</f>
        <v>129</v>
      </c>
      <c r="H179" s="117">
        <f>SUM('dolnośląskie:ODR woj. zachodniopomorskie'!H179)</f>
        <v>160</v>
      </c>
      <c r="I179" s="118">
        <f>SUM('dolnośląskie:ODR woj. zachodniopomorskie'!I179)</f>
        <v>53</v>
      </c>
      <c r="J179" s="117">
        <f>SUM('dolnośląskie:ODR woj. zachodniopomorskie'!J179)</f>
        <v>13</v>
      </c>
      <c r="K179" s="117">
        <f>SUM('dolnośląskie:ODR woj. zachodniopomorskie'!K179)</f>
        <v>1</v>
      </c>
      <c r="L179" s="117">
        <f>SUM('dolnośląskie:ODR woj. zachodniopomorskie'!L179)</f>
        <v>21</v>
      </c>
      <c r="M179" s="117">
        <f>SUM('dolnośląskie:ODR woj. zachodniopomorskie'!M179)</f>
        <v>17</v>
      </c>
      <c r="N179" s="117">
        <f>SUM('dolnośląskie:ODR woj. zachodniopomorskie'!N179)</f>
        <v>0</v>
      </c>
      <c r="O179" s="99">
        <f>SUM('dolnośląskie:ODR woj. zachodniopomorskie'!O179)</f>
        <v>24</v>
      </c>
    </row>
    <row r="180" spans="1:15">
      <c r="A180" s="2994"/>
      <c r="B180" s="2993"/>
      <c r="C180" s="116">
        <v>2016</v>
      </c>
      <c r="D180" s="117">
        <f>SUM('dolnośląskie:ODR woj. zachodniopomorskie'!D180)</f>
        <v>634</v>
      </c>
      <c r="E180" s="117">
        <f>SUM('dolnośląskie:ODR woj. zachodniopomorskie'!E180)</f>
        <v>56</v>
      </c>
      <c r="F180" s="117">
        <f>SUM('dolnośląskie:ODR woj. zachodniopomorskie'!F180)</f>
        <v>86</v>
      </c>
      <c r="G180" s="293">
        <f t="shared" si="19"/>
        <v>776</v>
      </c>
      <c r="H180" s="117">
        <f>SUM('dolnośląskie:ODR woj. zachodniopomorskie'!H180)</f>
        <v>1021</v>
      </c>
      <c r="I180" s="118">
        <f>SUM('dolnośląskie:ODR woj. zachodniopomorskie'!I180)</f>
        <v>253</v>
      </c>
      <c r="J180" s="117">
        <f>SUM('dolnośląskie:ODR woj. zachodniopomorskie'!J180)</f>
        <v>117</v>
      </c>
      <c r="K180" s="117">
        <f>SUM('dolnośląskie:ODR woj. zachodniopomorskie'!K180)</f>
        <v>38</v>
      </c>
      <c r="L180" s="117">
        <f>SUM('dolnośląskie:ODR woj. zachodniopomorskie'!L180)</f>
        <v>177</v>
      </c>
      <c r="M180" s="117">
        <f>SUM('dolnośląskie:ODR woj. zachodniopomorskie'!M180)</f>
        <v>66</v>
      </c>
      <c r="N180" s="117">
        <f>SUM('dolnośląskie:ODR woj. zachodniopomorskie'!N180)</f>
        <v>0</v>
      </c>
      <c r="O180" s="99">
        <f>SUM('dolnośląskie:ODR woj. zachodniopomorskie'!O180)</f>
        <v>125</v>
      </c>
    </row>
    <row r="181" spans="1:15">
      <c r="A181" s="2994"/>
      <c r="B181" s="2993"/>
      <c r="C181" s="116">
        <v>2017</v>
      </c>
      <c r="D181" s="50"/>
      <c r="E181" s="42"/>
      <c r="F181" s="42"/>
      <c r="G181" s="293">
        <f t="shared" si="19"/>
        <v>0</v>
      </c>
      <c r="H181" s="294"/>
      <c r="I181" s="118"/>
      <c r="J181" s="42"/>
      <c r="K181" s="42"/>
      <c r="L181" s="42"/>
      <c r="M181" s="42"/>
      <c r="N181" s="42"/>
      <c r="O181" s="99"/>
    </row>
    <row r="182" spans="1:15">
      <c r="A182" s="2994"/>
      <c r="B182" s="2993"/>
      <c r="C182" s="116">
        <v>2018</v>
      </c>
      <c r="D182" s="50"/>
      <c r="E182" s="42"/>
      <c r="F182" s="42"/>
      <c r="G182" s="293">
        <f t="shared" si="19"/>
        <v>0</v>
      </c>
      <c r="H182" s="294"/>
      <c r="I182" s="118"/>
      <c r="J182" s="42"/>
      <c r="K182" s="42"/>
      <c r="L182" s="42"/>
      <c r="M182" s="42"/>
      <c r="N182" s="42"/>
      <c r="O182" s="99"/>
    </row>
    <row r="183" spans="1:15">
      <c r="A183" s="2994"/>
      <c r="B183" s="2993"/>
      <c r="C183" s="116">
        <v>2019</v>
      </c>
      <c r="D183" s="50"/>
      <c r="E183" s="42"/>
      <c r="F183" s="42"/>
      <c r="G183" s="293">
        <f t="shared" si="19"/>
        <v>0</v>
      </c>
      <c r="H183" s="294"/>
      <c r="I183" s="118"/>
      <c r="J183" s="42"/>
      <c r="K183" s="42"/>
      <c r="L183" s="42"/>
      <c r="M183" s="42"/>
      <c r="N183" s="42"/>
      <c r="O183" s="99"/>
    </row>
    <row r="184" spans="1:15">
      <c r="A184" s="2994"/>
      <c r="B184" s="2993"/>
      <c r="C184" s="116">
        <v>2020</v>
      </c>
      <c r="D184" s="50"/>
      <c r="E184" s="42"/>
      <c r="F184" s="42"/>
      <c r="G184" s="293">
        <f t="shared" si="19"/>
        <v>0</v>
      </c>
      <c r="H184" s="294"/>
      <c r="I184" s="118"/>
      <c r="J184" s="42"/>
      <c r="K184" s="42"/>
      <c r="L184" s="42"/>
      <c r="M184" s="42"/>
      <c r="N184" s="42"/>
      <c r="O184" s="99"/>
    </row>
    <row r="185" spans="1:15" ht="45" customHeight="1" thickBot="1">
      <c r="A185" s="2995"/>
      <c r="B185" s="2996"/>
      <c r="C185" s="122" t="s">
        <v>12</v>
      </c>
      <c r="D185" s="151">
        <f>SUM(D178:D184)</f>
        <v>734</v>
      </c>
      <c r="E185" s="125">
        <f>SUM(E178:E184)</f>
        <v>78</v>
      </c>
      <c r="F185" s="125">
        <f>SUM(F178:F184)</f>
        <v>93</v>
      </c>
      <c r="G185" s="234">
        <f t="shared" ref="G185:O185" si="20">SUM(G178:G184)</f>
        <v>905</v>
      </c>
      <c r="H185" s="295">
        <f t="shared" si="20"/>
        <v>1181</v>
      </c>
      <c r="I185" s="124">
        <f t="shared" si="20"/>
        <v>306</v>
      </c>
      <c r="J185" s="125">
        <f t="shared" si="20"/>
        <v>130</v>
      </c>
      <c r="K185" s="125">
        <f t="shared" si="20"/>
        <v>39</v>
      </c>
      <c r="L185" s="125">
        <f t="shared" si="20"/>
        <v>198</v>
      </c>
      <c r="M185" s="125">
        <f t="shared" si="20"/>
        <v>83</v>
      </c>
      <c r="N185" s="125">
        <f t="shared" si="20"/>
        <v>0</v>
      </c>
      <c r="O185" s="126">
        <f t="shared" si="20"/>
        <v>149</v>
      </c>
    </row>
    <row r="186" spans="1:15" ht="33" customHeight="1" thickBot="1"/>
    <row r="187" spans="1:15" ht="19.5" customHeight="1">
      <c r="A187" s="1994" t="s">
        <v>122</v>
      </c>
      <c r="B187" s="2285" t="s">
        <v>114</v>
      </c>
      <c r="C187" s="1998" t="s">
        <v>8</v>
      </c>
      <c r="D187" s="2000" t="s">
        <v>123</v>
      </c>
      <c r="E187" s="2219"/>
      <c r="F187" s="2219"/>
      <c r="G187" s="2220"/>
      <c r="H187" s="2221"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985"/>
      <c r="B189" s="2986"/>
      <c r="C189" s="392">
        <v>2014</v>
      </c>
      <c r="D189" s="142"/>
      <c r="E189" s="115"/>
      <c r="F189" s="115"/>
      <c r="G189" s="301">
        <f>SUM(D189:F189)</f>
        <v>0</v>
      </c>
      <c r="H189" s="114"/>
      <c r="I189" s="115"/>
      <c r="J189" s="115"/>
      <c r="K189" s="115"/>
      <c r="L189" s="143"/>
    </row>
    <row r="190" spans="1:15">
      <c r="A190" s="2987"/>
      <c r="B190" s="2253"/>
      <c r="C190" s="86">
        <v>2015</v>
      </c>
      <c r="D190" s="117">
        <f>SUM('dolnośląskie:ODR woj. zachodniopomorskie'!D190)</f>
        <v>5383</v>
      </c>
      <c r="E190" s="117">
        <f>SUM('dolnośląskie:ODR woj. zachodniopomorskie'!E190)</f>
        <v>1034</v>
      </c>
      <c r="F190" s="117">
        <f>SUM('dolnośląskie:ODR woj. zachodniopomorskie'!F190)</f>
        <v>588</v>
      </c>
      <c r="G190" s="301">
        <f t="shared" ref="G190:G195" si="21">SUM(D190:F190)</f>
        <v>7005</v>
      </c>
      <c r="H190" s="118">
        <f>SUM('dolnośląskie:ODR woj. zachodniopomorskie'!H190)</f>
        <v>40</v>
      </c>
      <c r="I190" s="117">
        <f>SUM('dolnośląskie:ODR woj. zachodniopomorskie'!I190)</f>
        <v>681</v>
      </c>
      <c r="J190" s="117">
        <f>SUM('dolnośląskie:ODR woj. zachodniopomorskie'!J190)</f>
        <v>539</v>
      </c>
      <c r="K190" s="117">
        <f>SUM('dolnośląskie:ODR woj. zachodniopomorskie'!K190)</f>
        <v>2100</v>
      </c>
      <c r="L190" s="99">
        <f>SUM('dolnośląskie:ODR woj. zachodniopomorskie'!L190)</f>
        <v>3010</v>
      </c>
    </row>
    <row r="191" spans="1:15">
      <c r="A191" s="2987"/>
      <c r="B191" s="2253"/>
      <c r="C191" s="86">
        <v>2016</v>
      </c>
      <c r="D191" s="117">
        <f>SUM('dolnośląskie:ODR woj. zachodniopomorskie'!D191)</f>
        <v>31734</v>
      </c>
      <c r="E191" s="117">
        <f>SUM('dolnośląskie:ODR woj. zachodniopomorskie'!E191)</f>
        <v>2074</v>
      </c>
      <c r="F191" s="117">
        <f>SUM('dolnośląskie:ODR woj. zachodniopomorskie'!F191)</f>
        <v>2243</v>
      </c>
      <c r="G191" s="301">
        <f t="shared" si="21"/>
        <v>36051</v>
      </c>
      <c r="H191" s="118">
        <f>SUM('dolnośląskie:ODR woj. zachodniopomorskie'!H191)</f>
        <v>119</v>
      </c>
      <c r="I191" s="117">
        <f>SUM('dolnośląskie:ODR woj. zachodniopomorskie'!I191)</f>
        <v>2365</v>
      </c>
      <c r="J191" s="117">
        <f>SUM('dolnośląskie:ODR woj. zachodniopomorskie'!J191)</f>
        <v>4546</v>
      </c>
      <c r="K191" s="117">
        <f>SUM('dolnośląskie:ODR woj. zachodniopomorskie'!K191)</f>
        <v>5332</v>
      </c>
      <c r="L191" s="99">
        <f>SUM('dolnośląskie:ODR woj. zachodniopomorskie'!L191)</f>
        <v>23701</v>
      </c>
    </row>
    <row r="192" spans="1:15">
      <c r="A192" s="2987"/>
      <c r="B192" s="2253"/>
      <c r="C192" s="86">
        <v>2017</v>
      </c>
      <c r="D192" s="50"/>
      <c r="E192" s="42"/>
      <c r="F192" s="42"/>
      <c r="G192" s="301">
        <f t="shared" si="21"/>
        <v>0</v>
      </c>
      <c r="H192" s="118"/>
      <c r="I192" s="42"/>
      <c r="J192" s="42"/>
      <c r="K192" s="42"/>
      <c r="L192" s="99"/>
    </row>
    <row r="193" spans="1:14">
      <c r="A193" s="2987"/>
      <c r="B193" s="2253"/>
      <c r="C193" s="86">
        <v>2018</v>
      </c>
      <c r="D193" s="50"/>
      <c r="E193" s="42"/>
      <c r="F193" s="42"/>
      <c r="G193" s="301">
        <f t="shared" si="21"/>
        <v>0</v>
      </c>
      <c r="H193" s="118"/>
      <c r="I193" s="42"/>
      <c r="J193" s="42"/>
      <c r="K193" s="42"/>
      <c r="L193" s="99"/>
    </row>
    <row r="194" spans="1:14">
      <c r="A194" s="2987"/>
      <c r="B194" s="2253"/>
      <c r="C194" s="86">
        <v>2019</v>
      </c>
      <c r="D194" s="50"/>
      <c r="E194" s="42"/>
      <c r="F194" s="42"/>
      <c r="G194" s="301">
        <f t="shared" si="21"/>
        <v>0</v>
      </c>
      <c r="H194" s="118"/>
      <c r="I194" s="42"/>
      <c r="J194" s="42"/>
      <c r="K194" s="42"/>
      <c r="L194" s="99"/>
    </row>
    <row r="195" spans="1:14">
      <c r="A195" s="2987"/>
      <c r="B195" s="2253"/>
      <c r="C195" s="86">
        <v>2020</v>
      </c>
      <c r="D195" s="50"/>
      <c r="E195" s="42"/>
      <c r="F195" s="42"/>
      <c r="G195" s="301">
        <f t="shared" si="21"/>
        <v>0</v>
      </c>
      <c r="H195" s="118"/>
      <c r="I195" s="42"/>
      <c r="J195" s="42"/>
      <c r="K195" s="42"/>
      <c r="L195" s="99"/>
    </row>
    <row r="196" spans="1:14" ht="15.75" thickBot="1">
      <c r="A196" s="2988"/>
      <c r="B196" s="2256"/>
      <c r="C196" s="148" t="s">
        <v>12</v>
      </c>
      <c r="D196" s="151">
        <f t="shared" ref="D196:L196" si="22">SUM(D189:D195)</f>
        <v>37117</v>
      </c>
      <c r="E196" s="125">
        <f t="shared" si="22"/>
        <v>3108</v>
      </c>
      <c r="F196" s="125">
        <f t="shared" si="22"/>
        <v>2831</v>
      </c>
      <c r="G196" s="304">
        <f t="shared" si="22"/>
        <v>43056</v>
      </c>
      <c r="H196" s="124">
        <f t="shared" si="22"/>
        <v>159</v>
      </c>
      <c r="I196" s="125">
        <f t="shared" si="22"/>
        <v>3046</v>
      </c>
      <c r="J196" s="125">
        <f t="shared" si="22"/>
        <v>5085</v>
      </c>
      <c r="K196" s="125">
        <f t="shared" si="22"/>
        <v>7432</v>
      </c>
      <c r="L196" s="126">
        <f t="shared" si="22"/>
        <v>26711</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596" t="s">
        <v>135</v>
      </c>
      <c r="B201" s="309" t="s">
        <v>114</v>
      </c>
      <c r="C201" s="310" t="s">
        <v>8</v>
      </c>
      <c r="D201" s="515" t="s">
        <v>136</v>
      </c>
      <c r="E201" s="312" t="s">
        <v>137</v>
      </c>
      <c r="F201" s="312" t="s">
        <v>138</v>
      </c>
      <c r="G201" s="310" t="s">
        <v>139</v>
      </c>
      <c r="H201" s="516" t="s">
        <v>140</v>
      </c>
      <c r="I201" s="517" t="s">
        <v>141</v>
      </c>
      <c r="J201" s="518" t="s">
        <v>142</v>
      </c>
      <c r="K201" s="312" t="s">
        <v>143</v>
      </c>
      <c r="L201" s="316" t="s">
        <v>144</v>
      </c>
    </row>
    <row r="202" spans="1:14" ht="15" customHeight="1">
      <c r="A202" s="2983"/>
      <c r="B202" s="2253"/>
      <c r="C202" s="84">
        <v>2014</v>
      </c>
      <c r="D202" s="33"/>
      <c r="E202" s="34"/>
      <c r="F202" s="34"/>
      <c r="G202" s="32"/>
      <c r="H202" s="317"/>
      <c r="I202" s="318"/>
      <c r="J202" s="319"/>
      <c r="K202" s="34"/>
      <c r="L202" s="37"/>
    </row>
    <row r="203" spans="1:14">
      <c r="A203" s="2983"/>
      <c r="B203" s="2253"/>
      <c r="C203" s="86">
        <v>2015</v>
      </c>
      <c r="D203" s="117">
        <f>SUM('dolnośląskie:ODR woj. zachodniopomorskie'!D203)</f>
        <v>0</v>
      </c>
      <c r="E203" s="117">
        <f>SUM('dolnośląskie:ODR woj. zachodniopomorskie'!E203)</f>
        <v>0</v>
      </c>
      <c r="F203" s="117">
        <f>SUM('dolnośląskie:ODR woj. zachodniopomorskie'!F203)</f>
        <v>0</v>
      </c>
      <c r="G203" s="39">
        <f>SUM('dolnośląskie:ODR woj. zachodniopomorskie'!G203)</f>
        <v>0</v>
      </c>
      <c r="H203" s="320">
        <f>SUM('dolnośląskie:ODR woj. zachodniopomorskie'!H203)</f>
        <v>0</v>
      </c>
      <c r="I203" s="321">
        <f>SUM('dolnośląskie:ODR woj. zachodniopomorskie'!I203)</f>
        <v>0</v>
      </c>
      <c r="J203" s="117">
        <f>SUM('dolnośląskie:ODR woj. zachodniopomorskie'!J203)</f>
        <v>0</v>
      </c>
      <c r="K203" s="117">
        <f>SUM('dolnośląskie:ODR woj. zachodniopomorskie'!K203)</f>
        <v>0</v>
      </c>
      <c r="L203" s="99">
        <f>SUM('dolnośląskie:ODR woj. zachodniopomorskie'!L203)</f>
        <v>0</v>
      </c>
    </row>
    <row r="204" spans="1:14">
      <c r="A204" s="2983"/>
      <c r="B204" s="2253"/>
      <c r="C204" s="86">
        <v>2016</v>
      </c>
      <c r="D204" s="117">
        <f>SUM('dolnośląskie:ODR woj. zachodniopomorskie'!D204)</f>
        <v>7</v>
      </c>
      <c r="E204" s="117">
        <f>SUM('dolnośląskie:ODR woj. zachodniopomorskie'!E204)</f>
        <v>148</v>
      </c>
      <c r="F204" s="117">
        <f>SUM('dolnośląskie:ODR woj. zachodniopomorskie'!F204)</f>
        <v>10</v>
      </c>
      <c r="G204" s="39">
        <f>SUM('dolnośląskie:ODR woj. zachodniopomorskie'!G204)</f>
        <v>1</v>
      </c>
      <c r="H204" s="320">
        <f>SUM('dolnośląskie:ODR woj. zachodniopomorskie'!H204)</f>
        <v>468</v>
      </c>
      <c r="I204" s="321">
        <f>SUM('dolnośląskie:ODR woj. zachodniopomorskie'!I204)</f>
        <v>0</v>
      </c>
      <c r="J204" s="117">
        <f>SUM('dolnośląskie:ODR woj. zachodniopomorskie'!J204)</f>
        <v>2</v>
      </c>
      <c r="K204" s="117">
        <f>SUM('dolnośląskie:ODR woj. zachodniopomorskie'!K204)</f>
        <v>56</v>
      </c>
      <c r="L204" s="99">
        <f>SUM('dolnośląskie:ODR woj. zachodniopomorskie'!L204)</f>
        <v>0</v>
      </c>
    </row>
    <row r="205" spans="1:14">
      <c r="A205" s="2983"/>
      <c r="B205" s="2253"/>
      <c r="C205" s="86">
        <v>2017</v>
      </c>
      <c r="D205" s="50"/>
      <c r="E205" s="42"/>
      <c r="F205" s="42"/>
      <c r="G205" s="39"/>
      <c r="H205" s="320"/>
      <c r="I205" s="321"/>
      <c r="J205" s="322"/>
      <c r="K205" s="42"/>
      <c r="L205" s="99"/>
    </row>
    <row r="206" spans="1:14">
      <c r="A206" s="2983"/>
      <c r="B206" s="2253"/>
      <c r="C206" s="86">
        <v>2018</v>
      </c>
      <c r="D206" s="50"/>
      <c r="E206" s="42"/>
      <c r="F206" s="42"/>
      <c r="G206" s="39"/>
      <c r="H206" s="320"/>
      <c r="I206" s="321"/>
      <c r="J206" s="322"/>
      <c r="K206" s="42"/>
      <c r="L206" s="99"/>
    </row>
    <row r="207" spans="1:14">
      <c r="A207" s="2983"/>
      <c r="B207" s="2253"/>
      <c r="C207" s="86">
        <v>2019</v>
      </c>
      <c r="D207" s="50"/>
      <c r="E207" s="42"/>
      <c r="F207" s="42"/>
      <c r="G207" s="39"/>
      <c r="H207" s="320"/>
      <c r="I207" s="321"/>
      <c r="J207" s="322"/>
      <c r="K207" s="42"/>
      <c r="L207" s="99"/>
    </row>
    <row r="208" spans="1:14">
      <c r="A208" s="2983"/>
      <c r="B208" s="2253"/>
      <c r="C208" s="86">
        <v>2020</v>
      </c>
      <c r="D208" s="1706"/>
      <c r="E208" s="324"/>
      <c r="F208" s="324"/>
      <c r="G208" s="325"/>
      <c r="H208" s="326"/>
      <c r="I208" s="327"/>
      <c r="J208" s="328"/>
      <c r="K208" s="324"/>
      <c r="L208" s="329"/>
    </row>
    <row r="209" spans="1:12" ht="20.25" customHeight="1" thickBot="1">
      <c r="A209" s="2408"/>
      <c r="B209" s="2256"/>
      <c r="C209" s="148" t="s">
        <v>12</v>
      </c>
      <c r="D209" s="151">
        <f>SUM(D202:D208)</f>
        <v>7</v>
      </c>
      <c r="E209" s="151">
        <f t="shared" ref="E209:L209" si="23">SUM(E202:E208)</f>
        <v>148</v>
      </c>
      <c r="F209" s="151">
        <f t="shared" si="23"/>
        <v>10</v>
      </c>
      <c r="G209" s="151">
        <f t="shared" si="23"/>
        <v>1</v>
      </c>
      <c r="H209" s="151">
        <f t="shared" si="23"/>
        <v>468</v>
      </c>
      <c r="I209" s="151">
        <f t="shared" si="23"/>
        <v>0</v>
      </c>
      <c r="J209" s="151">
        <f t="shared" si="23"/>
        <v>2</v>
      </c>
      <c r="K209" s="151">
        <f t="shared" si="23"/>
        <v>56</v>
      </c>
      <c r="L209" s="151">
        <f t="shared" si="23"/>
        <v>0</v>
      </c>
    </row>
    <row r="211" spans="1:12" ht="15.75" thickBot="1"/>
    <row r="212" spans="1:12" ht="29.25">
      <c r="A212" s="597" t="s">
        <v>145</v>
      </c>
      <c r="B212" s="331" t="s">
        <v>146</v>
      </c>
      <c r="C212" s="332">
        <v>2014</v>
      </c>
      <c r="D212" s="333">
        <v>2015</v>
      </c>
      <c r="E212" s="333">
        <v>2016</v>
      </c>
      <c r="F212" s="333">
        <v>2017</v>
      </c>
      <c r="G212" s="333">
        <v>2018</v>
      </c>
      <c r="H212" s="333">
        <v>2019</v>
      </c>
      <c r="I212" s="334">
        <v>2020</v>
      </c>
    </row>
    <row r="213" spans="1:12" ht="15" customHeight="1">
      <c r="A213" t="s">
        <v>147</v>
      </c>
      <c r="B213" s="2984"/>
      <c r="C213" s="84"/>
      <c r="D213" s="403">
        <f>SUM(D214:D217)</f>
        <v>9487969.5899999999</v>
      </c>
      <c r="E213" s="403">
        <f>SUM(E214:E217)</f>
        <v>22926441.289999995</v>
      </c>
      <c r="F213" s="147"/>
      <c r="G213" s="147"/>
      <c r="H213" s="147"/>
      <c r="I213" s="335"/>
    </row>
    <row r="214" spans="1:12">
      <c r="A214" t="s">
        <v>149</v>
      </c>
      <c r="B214" s="2705"/>
      <c r="C214" s="84"/>
      <c r="D214" s="1986">
        <f>SUM('dolnośląskie:ODR woj. zachodniopomorskie'!D214)</f>
        <v>5270632.4400000004</v>
      </c>
      <c r="E214" s="1986">
        <f>SUM('dolnośląskie:ODR woj. zachodniopomorskie'!E214)</f>
        <v>13698689.109999998</v>
      </c>
      <c r="F214" s="147"/>
      <c r="G214" s="147"/>
      <c r="H214" s="147"/>
      <c r="I214" s="335"/>
    </row>
    <row r="215" spans="1:12">
      <c r="A215" t="s">
        <v>150</v>
      </c>
      <c r="B215" s="2705"/>
      <c r="C215" s="84"/>
      <c r="D215" s="1986">
        <f>SUM('dolnośląskie:ODR woj. zachodniopomorskie'!D215)</f>
        <v>28619.64</v>
      </c>
      <c r="E215" s="1986">
        <f>SUM('dolnośląskie:ODR woj. zachodniopomorskie'!E215)</f>
        <v>89868.17</v>
      </c>
      <c r="F215" s="147"/>
      <c r="G215" s="147"/>
      <c r="H215" s="147"/>
      <c r="I215" s="335"/>
    </row>
    <row r="216" spans="1:12">
      <c r="A216" t="s">
        <v>151</v>
      </c>
      <c r="B216" s="2705"/>
      <c r="C216" s="84"/>
      <c r="D216" s="1986">
        <f>SUM('dolnośląskie:ODR woj. zachodniopomorskie'!D216)</f>
        <v>2676540.2600000002</v>
      </c>
      <c r="E216" s="1986">
        <f>SUM('dolnośląskie:ODR woj. zachodniopomorskie'!E216)</f>
        <v>3995047.169999999</v>
      </c>
      <c r="F216" s="147"/>
      <c r="G216" s="147"/>
      <c r="H216" s="147"/>
      <c r="I216" s="335"/>
    </row>
    <row r="217" spans="1:12">
      <c r="A217" t="s">
        <v>152</v>
      </c>
      <c r="B217" s="2705"/>
      <c r="C217" s="84"/>
      <c r="D217" s="1986">
        <f>SUM('dolnośląskie:ODR woj. zachodniopomorskie'!D217)</f>
        <v>1512177.25</v>
      </c>
      <c r="E217" s="1986">
        <f>SUM('dolnośląskie:ODR woj. zachodniopomorskie'!E217)</f>
        <v>5142836.84</v>
      </c>
      <c r="F217" s="147"/>
      <c r="G217" s="147"/>
      <c r="H217" s="147"/>
      <c r="I217" s="335"/>
    </row>
    <row r="218" spans="1:12" ht="30">
      <c r="A218" s="31" t="s">
        <v>153</v>
      </c>
      <c r="B218" s="2705"/>
      <c r="C218" s="84"/>
      <c r="D218" s="1986">
        <f>SUM('dolnośląskie:ODR woj. zachodniopomorskie'!D218)</f>
        <v>6201436.25</v>
      </c>
      <c r="E218" s="1986">
        <f>SUM('dolnośląskie:ODR woj. zachodniopomorskie'!E218)</f>
        <v>9834337.0799999982</v>
      </c>
      <c r="F218" s="147"/>
      <c r="G218" s="147"/>
      <c r="H218" s="147"/>
      <c r="I218" s="335"/>
    </row>
    <row r="219" spans="1:12" ht="15.75" thickBot="1">
      <c r="A219" s="1705"/>
      <c r="B219" s="2706"/>
      <c r="C219" s="54" t="s">
        <v>12</v>
      </c>
      <c r="D219" s="405">
        <f>SUM(D214:D218)</f>
        <v>15689405.84</v>
      </c>
      <c r="E219" s="405">
        <f t="shared" ref="E219:I219" si="24">SUM(E214:E218)</f>
        <v>32760778.369999994</v>
      </c>
      <c r="F219" s="337">
        <f t="shared" si="24"/>
        <v>0</v>
      </c>
      <c r="G219" s="337">
        <f t="shared" si="24"/>
        <v>0</v>
      </c>
      <c r="H219" s="337">
        <f t="shared" si="24"/>
        <v>0</v>
      </c>
      <c r="I219" s="337">
        <f t="shared" si="24"/>
        <v>0</v>
      </c>
    </row>
    <row r="227" spans="1:1">
      <c r="A227" s="31"/>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19"/>
    <mergeCell ref="A187:A188"/>
    <mergeCell ref="B187:B188"/>
    <mergeCell ref="C187:C18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Y227"/>
  <sheetViews>
    <sheetView topLeftCell="A208" workbookViewId="0">
      <selection activeCell="D231" sqref="D231"/>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179</v>
      </c>
      <c r="C1" s="2077"/>
      <c r="D1" s="2077"/>
      <c r="E1" s="2077"/>
      <c r="F1" s="2077"/>
    </row>
    <row r="2" spans="1:25" s="2" customFormat="1" ht="20.100000000000001" customHeight="1" thickBot="1"/>
    <row r="3" spans="1:25" s="5" customFormat="1" ht="20.100000000000001" customHeight="1">
      <c r="A3" s="441" t="s">
        <v>1</v>
      </c>
      <c r="B3" s="442"/>
      <c r="C3" s="442"/>
      <c r="D3" s="442"/>
      <c r="E3" s="442"/>
      <c r="F3" s="2171"/>
      <c r="G3" s="2171"/>
      <c r="H3" s="2171"/>
      <c r="I3" s="2171"/>
      <c r="J3" s="2171"/>
      <c r="K3" s="2171"/>
      <c r="L3" s="2171"/>
      <c r="M3" s="2171"/>
      <c r="N3" s="2171"/>
      <c r="O3" s="2172"/>
    </row>
    <row r="4" spans="1:25" s="5" customFormat="1" ht="20.100000000000001" customHeight="1">
      <c r="A4" s="2080" t="s">
        <v>2</v>
      </c>
      <c r="B4" s="2081"/>
      <c r="C4" s="2081"/>
      <c r="D4" s="2081"/>
      <c r="E4" s="2081"/>
      <c r="F4" s="2081"/>
      <c r="G4" s="2081"/>
      <c r="H4" s="2081"/>
      <c r="I4" s="2081"/>
      <c r="J4" s="2081"/>
      <c r="K4" s="2081"/>
      <c r="L4" s="2081"/>
      <c r="M4" s="2081"/>
      <c r="N4" s="2081"/>
      <c r="O4" s="2082"/>
    </row>
    <row r="5" spans="1:25" s="5" customFormat="1" ht="20.100000000000001" customHeight="1">
      <c r="A5" s="2080"/>
      <c r="B5" s="2081"/>
      <c r="C5" s="2081"/>
      <c r="D5" s="2081"/>
      <c r="E5" s="2081"/>
      <c r="F5" s="2081"/>
      <c r="G5" s="2081"/>
      <c r="H5" s="2081"/>
      <c r="I5" s="2081"/>
      <c r="J5" s="2081"/>
      <c r="K5" s="2081"/>
      <c r="L5" s="2081"/>
      <c r="M5" s="2081"/>
      <c r="N5" s="2081"/>
      <c r="O5" s="2082"/>
    </row>
    <row r="6" spans="1:25" s="5" customFormat="1" ht="20.100000000000001" customHeight="1">
      <c r="A6" s="2080"/>
      <c r="B6" s="2081"/>
      <c r="C6" s="2081"/>
      <c r="D6" s="2081"/>
      <c r="E6" s="2081"/>
      <c r="F6" s="2081"/>
      <c r="G6" s="2081"/>
      <c r="H6" s="2081"/>
      <c r="I6" s="2081"/>
      <c r="J6" s="2081"/>
      <c r="K6" s="2081"/>
      <c r="L6" s="2081"/>
      <c r="M6" s="2081"/>
      <c r="N6" s="2081"/>
      <c r="O6" s="2082"/>
    </row>
    <row r="7" spans="1:25" s="5" customFormat="1" ht="20.100000000000001" customHeight="1">
      <c r="A7" s="2080"/>
      <c r="B7" s="2081"/>
      <c r="C7" s="2081"/>
      <c r="D7" s="2081"/>
      <c r="E7" s="2081"/>
      <c r="F7" s="2081"/>
      <c r="G7" s="2081"/>
      <c r="H7" s="2081"/>
      <c r="I7" s="2081"/>
      <c r="J7" s="2081"/>
      <c r="K7" s="2081"/>
      <c r="L7" s="2081"/>
      <c r="M7" s="2081"/>
      <c r="N7" s="2081"/>
      <c r="O7" s="2082"/>
    </row>
    <row r="8" spans="1:25" s="5" customFormat="1" ht="20.100000000000001" customHeight="1">
      <c r="A8" s="2080"/>
      <c r="B8" s="2081"/>
      <c r="C8" s="2081"/>
      <c r="D8" s="2081"/>
      <c r="E8" s="2081"/>
      <c r="F8" s="2081"/>
      <c r="G8" s="2081"/>
      <c r="H8" s="2081"/>
      <c r="I8" s="2081"/>
      <c r="J8" s="2081"/>
      <c r="K8" s="2081"/>
      <c r="L8" s="2081"/>
      <c r="M8" s="2081"/>
      <c r="N8" s="2081"/>
      <c r="O8" s="2082"/>
    </row>
    <row r="9" spans="1:25" s="5" customFormat="1" ht="20.100000000000001" customHeight="1">
      <c r="A9" s="2080"/>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36.75" customHeight="1">
      <c r="A15" s="413"/>
      <c r="B15" s="414"/>
      <c r="C15" s="11"/>
      <c r="D15" s="2142" t="s">
        <v>4</v>
      </c>
      <c r="E15" s="2173"/>
      <c r="F15" s="2173"/>
      <c r="G15" s="2173"/>
      <c r="H15" s="12"/>
      <c r="I15" s="13" t="s">
        <v>5</v>
      </c>
      <c r="J15" s="14"/>
      <c r="K15" s="14"/>
      <c r="L15" s="14"/>
      <c r="M15" s="14"/>
      <c r="N15" s="14"/>
      <c r="O15" s="15"/>
      <c r="P15" s="16"/>
      <c r="Q15" s="17"/>
      <c r="R15" s="18"/>
      <c r="S15" s="18"/>
      <c r="T15" s="18"/>
      <c r="U15" s="18"/>
      <c r="V15" s="18"/>
      <c r="W15" s="16"/>
      <c r="X15" s="16"/>
      <c r="Y15" s="17"/>
    </row>
    <row r="16" spans="1:25" s="31" customFormat="1" ht="129" customHeight="1">
      <c r="A16" s="20"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007" t="s">
        <v>180</v>
      </c>
      <c r="B17" s="19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987"/>
      <c r="B18" s="1988"/>
      <c r="C18" s="39">
        <v>2015</v>
      </c>
      <c r="D18" s="50">
        <v>16</v>
      </c>
      <c r="E18" s="42">
        <v>2</v>
      </c>
      <c r="F18" s="42"/>
      <c r="G18" s="35">
        <f>SUM(D18:F18)</f>
        <v>18</v>
      </c>
      <c r="H18" s="51"/>
      <c r="I18" s="42">
        <v>6</v>
      </c>
      <c r="J18" s="42"/>
      <c r="K18" s="42">
        <v>6</v>
      </c>
      <c r="L18" s="42">
        <v>1</v>
      </c>
      <c r="M18" s="42"/>
      <c r="N18" s="42"/>
      <c r="O18" s="52"/>
      <c r="P18" s="38"/>
      <c r="Q18" s="38"/>
      <c r="R18" s="38"/>
      <c r="S18" s="38"/>
      <c r="T18" s="38"/>
      <c r="U18" s="38"/>
      <c r="V18" s="38"/>
      <c r="W18" s="38"/>
      <c r="X18" s="38"/>
      <c r="Y18" s="38"/>
    </row>
    <row r="19" spans="1:25">
      <c r="A19" s="1987"/>
      <c r="B19" s="1988"/>
      <c r="C19" s="39">
        <v>2016</v>
      </c>
      <c r="D19" s="50">
        <v>45</v>
      </c>
      <c r="E19" s="42">
        <v>3</v>
      </c>
      <c r="F19" s="42">
        <v>2</v>
      </c>
      <c r="G19" s="35">
        <f t="shared" si="0"/>
        <v>50</v>
      </c>
      <c r="H19" s="51"/>
      <c r="I19" s="42">
        <v>18</v>
      </c>
      <c r="J19" s="42">
        <v>1</v>
      </c>
      <c r="K19" s="42">
        <v>20</v>
      </c>
      <c r="L19" s="42">
        <v>6</v>
      </c>
      <c r="M19" s="42"/>
      <c r="N19" s="42"/>
      <c r="O19" s="52">
        <v>3</v>
      </c>
      <c r="P19" s="38"/>
      <c r="Q19" s="38"/>
      <c r="R19" s="38"/>
      <c r="S19" s="38"/>
      <c r="T19" s="38"/>
      <c r="U19" s="38"/>
      <c r="V19" s="38"/>
      <c r="W19" s="38"/>
      <c r="X19" s="38"/>
      <c r="Y19" s="38"/>
    </row>
    <row r="20" spans="1:25">
      <c r="A20" s="1987"/>
      <c r="B20" s="1988"/>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1987"/>
      <c r="B21" s="1988"/>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1987"/>
      <c r="B22" s="1988"/>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1987"/>
      <c r="B23" s="1988"/>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19.5" customHeight="1" thickBot="1">
      <c r="A24" s="1989"/>
      <c r="B24" s="1990"/>
      <c r="C24" s="54" t="s">
        <v>12</v>
      </c>
      <c r="D24" s="55">
        <f>SUM(D17:D23)</f>
        <v>61</v>
      </c>
      <c r="E24" s="56">
        <f>SUM(E17:E23)</f>
        <v>5</v>
      </c>
      <c r="F24" s="56">
        <f>SUM(F17:F23)</f>
        <v>2</v>
      </c>
      <c r="G24" s="57">
        <f>SUM(D24:F24)</f>
        <v>68</v>
      </c>
      <c r="H24" s="58">
        <f>SUM(H17:H23)</f>
        <v>0</v>
      </c>
      <c r="I24" s="59">
        <f>SUM(I17:I23)</f>
        <v>24</v>
      </c>
      <c r="J24" s="59">
        <f t="shared" ref="J24:N24" si="1">SUM(J17:J23)</f>
        <v>1</v>
      </c>
      <c r="K24" s="59">
        <f t="shared" si="1"/>
        <v>26</v>
      </c>
      <c r="L24" s="59">
        <f t="shared" si="1"/>
        <v>7</v>
      </c>
      <c r="M24" s="59">
        <f t="shared" si="1"/>
        <v>0</v>
      </c>
      <c r="N24" s="59">
        <f t="shared" si="1"/>
        <v>0</v>
      </c>
      <c r="O24" s="60">
        <f>SUM(O17:O23)</f>
        <v>3</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413"/>
      <c r="B26" s="414"/>
      <c r="C26" s="63"/>
      <c r="D26" s="2146" t="s">
        <v>4</v>
      </c>
      <c r="E26" s="2174"/>
      <c r="F26" s="2174"/>
      <c r="G26" s="2175"/>
      <c r="H26" s="16"/>
      <c r="I26" s="17"/>
      <c r="J26" s="18"/>
      <c r="K26" s="18"/>
      <c r="L26" s="18"/>
      <c r="M26" s="18"/>
      <c r="N26" s="18"/>
      <c r="O26" s="16"/>
      <c r="P26" s="16"/>
    </row>
    <row r="27" spans="1:25" s="31" customFormat="1" ht="93" customHeight="1">
      <c r="A27" s="64"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007" t="s">
        <v>181</v>
      </c>
      <c r="B28" s="1988"/>
      <c r="C28" s="68">
        <v>2014</v>
      </c>
      <c r="D28" s="36"/>
      <c r="E28" s="34"/>
      <c r="F28" s="34"/>
      <c r="G28" s="69">
        <f>SUM(D28:F28)</f>
        <v>0</v>
      </c>
      <c r="H28" s="38"/>
      <c r="I28" s="38"/>
      <c r="J28" s="38"/>
      <c r="K28" s="38"/>
      <c r="L28" s="38"/>
      <c r="M28" s="38"/>
      <c r="N28" s="38"/>
      <c r="O28" s="38"/>
      <c r="P28" s="38"/>
      <c r="Q28" s="8"/>
    </row>
    <row r="29" spans="1:25">
      <c r="A29" s="1987"/>
      <c r="B29" s="1988"/>
      <c r="C29" s="70">
        <v>2015</v>
      </c>
      <c r="D29" s="51">
        <v>4604</v>
      </c>
      <c r="E29" s="42">
        <v>33</v>
      </c>
      <c r="F29" s="42"/>
      <c r="G29" s="69">
        <f t="shared" ref="G29:G35" si="2">SUM(D29:F29)</f>
        <v>4637</v>
      </c>
      <c r="H29" s="38"/>
      <c r="I29" s="38"/>
      <c r="J29" s="38"/>
      <c r="K29" s="38"/>
      <c r="L29" s="38"/>
      <c r="M29" s="38"/>
      <c r="N29" s="38"/>
      <c r="O29" s="38"/>
      <c r="P29" s="38"/>
      <c r="Q29" s="8"/>
    </row>
    <row r="30" spans="1:25">
      <c r="A30" s="1987"/>
      <c r="B30" s="1988"/>
      <c r="C30" s="70">
        <v>2016</v>
      </c>
      <c r="D30" s="51">
        <v>5431</v>
      </c>
      <c r="E30" s="42">
        <v>40</v>
      </c>
      <c r="F30" s="42">
        <v>400011</v>
      </c>
      <c r="G30" s="69">
        <f t="shared" si="2"/>
        <v>405482</v>
      </c>
      <c r="H30" s="38"/>
      <c r="I30" s="38"/>
      <c r="J30" s="38"/>
      <c r="K30" s="38"/>
      <c r="L30" s="38"/>
      <c r="M30" s="38"/>
      <c r="N30" s="38"/>
      <c r="O30" s="38"/>
      <c r="P30" s="38"/>
      <c r="Q30" s="8"/>
    </row>
    <row r="31" spans="1:25">
      <c r="A31" s="1987"/>
      <c r="B31" s="1988"/>
      <c r="C31" s="70">
        <v>2017</v>
      </c>
      <c r="D31" s="51"/>
      <c r="E31" s="42"/>
      <c r="F31" s="42"/>
      <c r="G31" s="69">
        <f t="shared" si="2"/>
        <v>0</v>
      </c>
      <c r="H31" s="38"/>
      <c r="I31" s="38"/>
      <c r="J31" s="38"/>
      <c r="K31" s="38"/>
      <c r="L31" s="38"/>
      <c r="M31" s="38"/>
      <c r="N31" s="38"/>
      <c r="O31" s="38"/>
      <c r="P31" s="38"/>
      <c r="Q31" s="8"/>
    </row>
    <row r="32" spans="1:25">
      <c r="A32" s="1987"/>
      <c r="B32" s="1988"/>
      <c r="C32" s="70">
        <v>2018</v>
      </c>
      <c r="D32" s="51"/>
      <c r="E32" s="42"/>
      <c r="F32" s="42"/>
      <c r="G32" s="69">
        <f>SUM(D32:F32)</f>
        <v>0</v>
      </c>
      <c r="H32" s="38"/>
      <c r="I32" s="38"/>
      <c r="J32" s="38"/>
      <c r="K32" s="38"/>
      <c r="L32" s="38"/>
      <c r="M32" s="38"/>
      <c r="N32" s="38"/>
      <c r="O32" s="38"/>
      <c r="P32" s="38"/>
      <c r="Q32" s="8"/>
    </row>
    <row r="33" spans="1:17">
      <c r="A33" s="1987"/>
      <c r="B33" s="1988"/>
      <c r="C33" s="72">
        <v>2019</v>
      </c>
      <c r="D33" s="51"/>
      <c r="E33" s="42"/>
      <c r="F33" s="42"/>
      <c r="G33" s="69">
        <f t="shared" si="2"/>
        <v>0</v>
      </c>
      <c r="H33" s="38"/>
      <c r="I33" s="38"/>
      <c r="J33" s="38"/>
      <c r="K33" s="38"/>
      <c r="L33" s="38"/>
      <c r="M33" s="38"/>
      <c r="N33" s="38"/>
      <c r="O33" s="38"/>
      <c r="P33" s="38"/>
      <c r="Q33" s="8"/>
    </row>
    <row r="34" spans="1:17">
      <c r="A34" s="1987"/>
      <c r="B34" s="1988"/>
      <c r="C34" s="70">
        <v>2020</v>
      </c>
      <c r="D34" s="51"/>
      <c r="E34" s="42"/>
      <c r="F34" s="42"/>
      <c r="G34" s="69">
        <f t="shared" si="2"/>
        <v>0</v>
      </c>
      <c r="H34" s="38"/>
      <c r="I34" s="38"/>
      <c r="J34" s="38"/>
      <c r="K34" s="38"/>
      <c r="L34" s="38"/>
      <c r="M34" s="38"/>
      <c r="N34" s="38"/>
      <c r="O34" s="38"/>
      <c r="P34" s="38"/>
      <c r="Q34" s="8"/>
    </row>
    <row r="35" spans="1:17" ht="20.25" customHeight="1" thickBot="1">
      <c r="A35" s="1989"/>
      <c r="B35" s="1990"/>
      <c r="C35" s="73" t="s">
        <v>12</v>
      </c>
      <c r="D35" s="58">
        <f>SUM(D28:D34)</f>
        <v>10035</v>
      </c>
      <c r="E35" s="56">
        <f>SUM(E28:E34)</f>
        <v>73</v>
      </c>
      <c r="F35" s="56">
        <f>SUM(F28:F34)</f>
        <v>400011</v>
      </c>
      <c r="G35" s="60">
        <f t="shared" si="2"/>
        <v>410119</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417" t="s">
        <v>25</v>
      </c>
      <c r="B39" s="363" t="s">
        <v>7</v>
      </c>
      <c r="C39" s="80" t="s">
        <v>8</v>
      </c>
      <c r="D39" s="418" t="s">
        <v>26</v>
      </c>
      <c r="E39" s="352" t="s">
        <v>27</v>
      </c>
      <c r="F39" s="353"/>
      <c r="G39" s="30"/>
      <c r="H39" s="30"/>
    </row>
    <row r="40" spans="1:17">
      <c r="A40" s="2007"/>
      <c r="B40" s="1988"/>
      <c r="C40" s="84">
        <v>2014</v>
      </c>
      <c r="D40" s="33"/>
      <c r="E40" s="32"/>
      <c r="F40" s="8"/>
      <c r="G40" s="38"/>
      <c r="H40" s="38"/>
    </row>
    <row r="41" spans="1:17">
      <c r="A41" s="1987"/>
      <c r="B41" s="1988"/>
      <c r="C41" s="86">
        <v>2015</v>
      </c>
      <c r="D41" s="50">
        <v>8868</v>
      </c>
      <c r="E41" s="39">
        <v>1076</v>
      </c>
      <c r="F41" s="8"/>
      <c r="G41" s="38"/>
      <c r="H41" s="38"/>
    </row>
    <row r="42" spans="1:17">
      <c r="A42" s="1987"/>
      <c r="B42" s="1988"/>
      <c r="C42" s="86">
        <v>2016</v>
      </c>
      <c r="D42" s="50">
        <v>5361</v>
      </c>
      <c r="E42" s="39">
        <v>2206</v>
      </c>
      <c r="F42" s="8"/>
      <c r="G42" s="38"/>
      <c r="H42" s="38"/>
    </row>
    <row r="43" spans="1:17">
      <c r="A43" s="1987"/>
      <c r="B43" s="1988"/>
      <c r="C43" s="86">
        <v>2017</v>
      </c>
      <c r="D43" s="50"/>
      <c r="E43" s="39"/>
      <c r="F43" s="8"/>
      <c r="G43" s="38"/>
      <c r="H43" s="38"/>
    </row>
    <row r="44" spans="1:17">
      <c r="A44" s="1987"/>
      <c r="B44" s="1988"/>
      <c r="C44" s="86">
        <v>2018</v>
      </c>
      <c r="D44" s="50"/>
      <c r="E44" s="39"/>
      <c r="F44" s="8"/>
      <c r="G44" s="38"/>
      <c r="H44" s="38"/>
    </row>
    <row r="45" spans="1:17">
      <c r="A45" s="1987"/>
      <c r="B45" s="1988"/>
      <c r="C45" s="86">
        <v>2019</v>
      </c>
      <c r="D45" s="50"/>
      <c r="E45" s="39"/>
      <c r="F45" s="8"/>
      <c r="G45" s="38"/>
      <c r="H45" s="38"/>
    </row>
    <row r="46" spans="1:17">
      <c r="A46" s="1987"/>
      <c r="B46" s="1988"/>
      <c r="C46" s="86">
        <v>2020</v>
      </c>
      <c r="D46" s="50"/>
      <c r="E46" s="39"/>
      <c r="F46" s="8"/>
      <c r="G46" s="38"/>
      <c r="H46" s="38"/>
    </row>
    <row r="47" spans="1:17" ht="15.75" thickBot="1">
      <c r="A47" s="1989"/>
      <c r="B47" s="1990"/>
      <c r="C47" s="54" t="s">
        <v>12</v>
      </c>
      <c r="D47" s="55">
        <f>SUM(D40:D46)</f>
        <v>14229</v>
      </c>
      <c r="E47" s="419">
        <f>SUM(E40:E46)</f>
        <v>3282</v>
      </c>
      <c r="F47" s="121"/>
      <c r="G47" s="38"/>
      <c r="H47" s="38"/>
    </row>
    <row r="48" spans="1:17" s="38" customFormat="1" ht="15.75" thickBot="1">
      <c r="A48" s="443"/>
      <c r="B48" s="92"/>
      <c r="C48" s="93"/>
    </row>
    <row r="49" spans="1:15" ht="83.25" customHeight="1">
      <c r="A49" s="94" t="s">
        <v>29</v>
      </c>
      <c r="B49" s="444" t="s">
        <v>7</v>
      </c>
      <c r="C49" s="95" t="s">
        <v>8</v>
      </c>
      <c r="D49" s="418" t="s">
        <v>30</v>
      </c>
      <c r="E49" s="96" t="s">
        <v>31</v>
      </c>
      <c r="F49" s="96" t="s">
        <v>32</v>
      </c>
      <c r="G49" s="96" t="s">
        <v>33</v>
      </c>
      <c r="H49" s="96" t="s">
        <v>34</v>
      </c>
      <c r="I49" s="96" t="s">
        <v>35</v>
      </c>
      <c r="J49" s="96" t="s">
        <v>36</v>
      </c>
      <c r="K49" s="97" t="s">
        <v>37</v>
      </c>
    </row>
    <row r="50" spans="1:15" ht="17.25" customHeight="1">
      <c r="A50" s="2005"/>
      <c r="B50" s="2012"/>
      <c r="C50" s="98" t="s">
        <v>38</v>
      </c>
      <c r="D50" s="33"/>
      <c r="E50" s="34"/>
      <c r="F50" s="34"/>
      <c r="G50" s="34"/>
      <c r="H50" s="34"/>
      <c r="I50" s="34"/>
      <c r="J50" s="34"/>
      <c r="K50" s="37"/>
    </row>
    <row r="51" spans="1:15" ht="15" customHeight="1">
      <c r="A51" s="2007"/>
      <c r="B51" s="2014"/>
      <c r="C51" s="86">
        <v>2014</v>
      </c>
      <c r="D51" s="50"/>
      <c r="E51" s="42"/>
      <c r="F51" s="42"/>
      <c r="G51" s="42"/>
      <c r="H51" s="42"/>
      <c r="I51" s="42"/>
      <c r="J51" s="42"/>
      <c r="K51" s="99"/>
    </row>
    <row r="52" spans="1:15">
      <c r="A52" s="2007"/>
      <c r="B52" s="2014"/>
      <c r="C52" s="86">
        <v>2015</v>
      </c>
      <c r="D52" s="50">
        <v>1</v>
      </c>
      <c r="E52" s="42"/>
      <c r="F52" s="42"/>
      <c r="G52" s="42">
        <v>156</v>
      </c>
      <c r="H52" s="42"/>
      <c r="I52" s="42"/>
      <c r="J52" s="42">
        <v>15</v>
      </c>
      <c r="K52" s="99">
        <v>695</v>
      </c>
    </row>
    <row r="53" spans="1:15">
      <c r="A53" s="2007"/>
      <c r="B53" s="2014"/>
      <c r="C53" s="86">
        <v>2016</v>
      </c>
      <c r="D53" s="50">
        <v>1</v>
      </c>
      <c r="E53" s="42"/>
      <c r="F53" s="42"/>
      <c r="G53" s="42">
        <v>183</v>
      </c>
      <c r="H53" s="42"/>
      <c r="I53" s="42"/>
      <c r="J53" s="42">
        <v>21</v>
      </c>
      <c r="K53" s="99">
        <v>5833</v>
      </c>
    </row>
    <row r="54" spans="1:15">
      <c r="A54" s="2007"/>
      <c r="B54" s="2014"/>
      <c r="C54" s="86">
        <v>2017</v>
      </c>
      <c r="D54" s="50"/>
      <c r="E54" s="42"/>
      <c r="F54" s="42"/>
      <c r="G54" s="42"/>
      <c r="H54" s="42"/>
      <c r="I54" s="42"/>
      <c r="J54" s="42"/>
      <c r="K54" s="99"/>
    </row>
    <row r="55" spans="1:15">
      <c r="A55" s="2007"/>
      <c r="B55" s="2014"/>
      <c r="C55" s="86">
        <v>2018</v>
      </c>
      <c r="D55" s="50"/>
      <c r="E55" s="42"/>
      <c r="F55" s="42"/>
      <c r="G55" s="42"/>
      <c r="H55" s="42"/>
      <c r="I55" s="42"/>
      <c r="J55" s="42"/>
      <c r="K55" s="99"/>
    </row>
    <row r="56" spans="1:15">
      <c r="A56" s="2007"/>
      <c r="B56" s="2014"/>
      <c r="C56" s="86">
        <v>2019</v>
      </c>
      <c r="D56" s="50"/>
      <c r="E56" s="42"/>
      <c r="F56" s="42"/>
      <c r="G56" s="42"/>
      <c r="H56" s="42"/>
      <c r="I56" s="42"/>
      <c r="J56" s="42"/>
      <c r="K56" s="99"/>
    </row>
    <row r="57" spans="1:15">
      <c r="A57" s="2007"/>
      <c r="B57" s="2014"/>
      <c r="C57" s="86">
        <v>2020</v>
      </c>
      <c r="D57" s="50"/>
      <c r="E57" s="42"/>
      <c r="F57" s="42"/>
      <c r="G57" s="42"/>
      <c r="H57" s="42"/>
      <c r="I57" s="42"/>
      <c r="J57" s="42"/>
      <c r="K57" s="100"/>
    </row>
    <row r="58" spans="1:15" ht="20.25" customHeight="1" thickBot="1">
      <c r="A58" s="2009"/>
      <c r="B58" s="2016"/>
      <c r="C58" s="54" t="s">
        <v>12</v>
      </c>
      <c r="D58" s="55">
        <f>SUM(D51:D57)</f>
        <v>2</v>
      </c>
      <c r="E58" s="56">
        <f>SUM(E51:E57)</f>
        <v>0</v>
      </c>
      <c r="F58" s="56">
        <f>SUM(F51:F57)</f>
        <v>0</v>
      </c>
      <c r="G58" s="56">
        <f>SUM(G51:G57)</f>
        <v>339</v>
      </c>
      <c r="H58" s="56">
        <f>SUM(H51:H57)</f>
        <v>0</v>
      </c>
      <c r="I58" s="56">
        <f t="shared" ref="I58" si="3">SUM(I51:I57)</f>
        <v>0</v>
      </c>
      <c r="J58" s="56">
        <f>SUM(J51:J57)</f>
        <v>36</v>
      </c>
      <c r="K58" s="60">
        <f>SUM(K50:K56)</f>
        <v>6528</v>
      </c>
    </row>
    <row r="59" spans="1:15" ht="15.75" thickBot="1"/>
    <row r="60" spans="1:15" ht="21" customHeight="1">
      <c r="A60" s="2176" t="s">
        <v>39</v>
      </c>
      <c r="B60" s="445"/>
      <c r="C60" s="2177" t="s">
        <v>8</v>
      </c>
      <c r="D60" s="2153" t="s">
        <v>40</v>
      </c>
      <c r="E60" s="102" t="s">
        <v>5</v>
      </c>
      <c r="F60" s="446"/>
      <c r="G60" s="446"/>
      <c r="H60" s="446"/>
      <c r="I60" s="446"/>
      <c r="J60" s="446"/>
      <c r="K60" s="446"/>
      <c r="L60" s="447"/>
    </row>
    <row r="61" spans="1:15" ht="115.5" customHeight="1">
      <c r="A61" s="2100"/>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031"/>
      <c r="B62" s="2025"/>
      <c r="C62" s="112">
        <v>2014</v>
      </c>
      <c r="D62" s="113"/>
      <c r="E62" s="114"/>
      <c r="F62" s="115"/>
      <c r="G62" s="115"/>
      <c r="H62" s="115"/>
      <c r="I62" s="115"/>
      <c r="J62" s="115"/>
      <c r="K62" s="115"/>
      <c r="L62" s="37"/>
      <c r="M62" s="8"/>
      <c r="N62" s="8"/>
      <c r="O62" s="8"/>
    </row>
    <row r="63" spans="1:15">
      <c r="A63" s="2024"/>
      <c r="B63" s="2025"/>
      <c r="C63" s="116">
        <v>2015</v>
      </c>
      <c r="D63" s="117">
        <v>10</v>
      </c>
      <c r="E63" s="118"/>
      <c r="F63" s="42">
        <v>8</v>
      </c>
      <c r="G63" s="42"/>
      <c r="H63" s="42"/>
      <c r="I63" s="42">
        <v>2</v>
      </c>
      <c r="J63" s="42"/>
      <c r="K63" s="42"/>
      <c r="L63" s="99"/>
      <c r="M63" s="8"/>
      <c r="N63" s="8"/>
      <c r="O63" s="8"/>
    </row>
    <row r="64" spans="1:15">
      <c r="A64" s="2024"/>
      <c r="B64" s="2025"/>
      <c r="C64" s="116">
        <v>2016</v>
      </c>
      <c r="D64" s="117">
        <v>8</v>
      </c>
      <c r="E64" s="118"/>
      <c r="F64" s="42">
        <v>8</v>
      </c>
      <c r="G64" s="42"/>
      <c r="H64" s="42"/>
      <c r="I64" s="42"/>
      <c r="J64" s="42"/>
      <c r="K64" s="42"/>
      <c r="L64" s="99"/>
      <c r="M64" s="8"/>
      <c r="N64" s="8"/>
      <c r="O64" s="8"/>
    </row>
    <row r="65" spans="1:20">
      <c r="A65" s="2024"/>
      <c r="B65" s="2025"/>
      <c r="C65" s="116">
        <v>2017</v>
      </c>
      <c r="D65" s="117"/>
      <c r="E65" s="118"/>
      <c r="F65" s="42"/>
      <c r="G65" s="42"/>
      <c r="H65" s="42"/>
      <c r="I65" s="42"/>
      <c r="J65" s="42"/>
      <c r="K65" s="42"/>
      <c r="L65" s="99"/>
      <c r="M65" s="8"/>
      <c r="N65" s="8"/>
      <c r="O65" s="8"/>
    </row>
    <row r="66" spans="1:20">
      <c r="A66" s="2024"/>
      <c r="B66" s="2025"/>
      <c r="C66" s="116">
        <v>2018</v>
      </c>
      <c r="D66" s="117"/>
      <c r="E66" s="118"/>
      <c r="F66" s="42"/>
      <c r="G66" s="42"/>
      <c r="H66" s="42"/>
      <c r="I66" s="42"/>
      <c r="J66" s="42"/>
      <c r="K66" s="42"/>
      <c r="L66" s="99"/>
      <c r="M66" s="8"/>
      <c r="N66" s="8"/>
      <c r="O66" s="8"/>
    </row>
    <row r="67" spans="1:20" ht="17.25" customHeight="1">
      <c r="A67" s="2024"/>
      <c r="B67" s="2025"/>
      <c r="C67" s="116">
        <v>2019</v>
      </c>
      <c r="D67" s="117"/>
      <c r="E67" s="118"/>
      <c r="F67" s="42"/>
      <c r="G67" s="42"/>
      <c r="H67" s="42"/>
      <c r="I67" s="42"/>
      <c r="J67" s="42"/>
      <c r="K67" s="42"/>
      <c r="L67" s="99"/>
      <c r="M67" s="8"/>
      <c r="N67" s="8"/>
      <c r="O67" s="8"/>
    </row>
    <row r="68" spans="1:20" ht="16.5" customHeight="1">
      <c r="A68" s="2024"/>
      <c r="B68" s="2025"/>
      <c r="C68" s="116">
        <v>2020</v>
      </c>
      <c r="D68" s="117"/>
      <c r="E68" s="118"/>
      <c r="F68" s="42"/>
      <c r="G68" s="42"/>
      <c r="H68" s="42"/>
      <c r="I68" s="42"/>
      <c r="J68" s="42"/>
      <c r="K68" s="42"/>
      <c r="L68" s="99"/>
      <c r="M68" s="121"/>
      <c r="N68" s="121"/>
      <c r="O68" s="121"/>
    </row>
    <row r="69" spans="1:20" ht="18" customHeight="1" thickBot="1">
      <c r="A69" s="2134"/>
      <c r="B69" s="2027"/>
      <c r="C69" s="122" t="s">
        <v>12</v>
      </c>
      <c r="D69" s="123">
        <f>SUM(D62:D68)</f>
        <v>18</v>
      </c>
      <c r="E69" s="124">
        <f>SUM(E62:E68)</f>
        <v>0</v>
      </c>
      <c r="F69" s="125">
        <f t="shared" ref="F69:I69" si="4">SUM(F62:F68)</f>
        <v>16</v>
      </c>
      <c r="G69" s="125">
        <f t="shared" si="4"/>
        <v>0</v>
      </c>
      <c r="H69" s="125">
        <f t="shared" si="4"/>
        <v>0</v>
      </c>
      <c r="I69" s="125">
        <f t="shared" si="4"/>
        <v>2</v>
      </c>
      <c r="J69" s="125"/>
      <c r="K69" s="125">
        <f>SUM(K62:K68)</f>
        <v>0</v>
      </c>
      <c r="L69" s="126">
        <f>SUM(L62:L68)</f>
        <v>0</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448" t="s">
        <v>42</v>
      </c>
      <c r="B71" s="444" t="s">
        <v>7</v>
      </c>
      <c r="C71" s="80" t="s">
        <v>8</v>
      </c>
      <c r="D71" s="132" t="s">
        <v>43</v>
      </c>
      <c r="E71" s="132" t="s">
        <v>44</v>
      </c>
      <c r="F71" s="133" t="s">
        <v>45</v>
      </c>
      <c r="G71" s="364" t="s">
        <v>46</v>
      </c>
      <c r="H71" s="135" t="s">
        <v>13</v>
      </c>
      <c r="I71" s="136" t="s">
        <v>14</v>
      </c>
      <c r="J71" s="137" t="s">
        <v>15</v>
      </c>
      <c r="K71" s="136" t="s">
        <v>16</v>
      </c>
      <c r="L71" s="136" t="s">
        <v>17</v>
      </c>
      <c r="M71" s="138" t="s">
        <v>18</v>
      </c>
      <c r="N71" s="137" t="s">
        <v>19</v>
      </c>
      <c r="O71" s="139" t="s">
        <v>20</v>
      </c>
    </row>
    <row r="72" spans="1:20" ht="15" customHeight="1">
      <c r="A72" s="2007"/>
      <c r="B72" s="2025"/>
      <c r="C72" s="84">
        <v>2014</v>
      </c>
      <c r="D72" s="140"/>
      <c r="E72" s="140"/>
      <c r="F72" s="140"/>
      <c r="G72" s="141">
        <f>SUM(D72:F72)</f>
        <v>0</v>
      </c>
      <c r="H72" s="33"/>
      <c r="I72" s="142"/>
      <c r="J72" s="115"/>
      <c r="K72" s="115"/>
      <c r="L72" s="115"/>
      <c r="M72" s="115"/>
      <c r="N72" s="115"/>
      <c r="O72" s="143"/>
    </row>
    <row r="73" spans="1:20">
      <c r="A73" s="1987"/>
      <c r="B73" s="2025"/>
      <c r="C73" s="86">
        <v>2015</v>
      </c>
      <c r="D73" s="147">
        <v>12</v>
      </c>
      <c r="E73" s="147"/>
      <c r="F73" s="147"/>
      <c r="G73" s="141">
        <f t="shared" ref="G73:G78" si="5">SUM(D73:F73)</f>
        <v>12</v>
      </c>
      <c r="H73" s="50"/>
      <c r="I73" s="50">
        <v>12</v>
      </c>
      <c r="J73" s="42"/>
      <c r="K73" s="42"/>
      <c r="L73" s="42"/>
      <c r="M73" s="42"/>
      <c r="N73" s="42"/>
      <c r="O73" s="99"/>
    </row>
    <row r="74" spans="1:20">
      <c r="A74" s="1987"/>
      <c r="B74" s="2025"/>
      <c r="C74" s="86">
        <v>2016</v>
      </c>
      <c r="D74" s="147"/>
      <c r="E74" s="147"/>
      <c r="F74" s="147"/>
      <c r="G74" s="141">
        <f t="shared" si="5"/>
        <v>0</v>
      </c>
      <c r="H74" s="50"/>
      <c r="I74" s="50"/>
      <c r="J74" s="42"/>
      <c r="K74" s="42"/>
      <c r="L74" s="42"/>
      <c r="M74" s="42"/>
      <c r="N74" s="42"/>
      <c r="O74" s="99"/>
    </row>
    <row r="75" spans="1:20">
      <c r="A75" s="1987"/>
      <c r="B75" s="2025"/>
      <c r="C75" s="86">
        <v>2017</v>
      </c>
      <c r="D75" s="147"/>
      <c r="E75" s="147"/>
      <c r="F75" s="147"/>
      <c r="G75" s="141">
        <f t="shared" si="5"/>
        <v>0</v>
      </c>
      <c r="H75" s="50"/>
      <c r="I75" s="50"/>
      <c r="J75" s="42"/>
      <c r="K75" s="42"/>
      <c r="L75" s="42"/>
      <c r="M75" s="42"/>
      <c r="N75" s="42"/>
      <c r="O75" s="99"/>
    </row>
    <row r="76" spans="1:20">
      <c r="A76" s="1987"/>
      <c r="B76" s="2025"/>
      <c r="C76" s="86">
        <v>2018</v>
      </c>
      <c r="D76" s="147"/>
      <c r="E76" s="147"/>
      <c r="F76" s="147"/>
      <c r="G76" s="141">
        <f t="shared" si="5"/>
        <v>0</v>
      </c>
      <c r="H76" s="50"/>
      <c r="I76" s="50"/>
      <c r="J76" s="42"/>
      <c r="K76" s="42"/>
      <c r="L76" s="42"/>
      <c r="M76" s="42"/>
      <c r="N76" s="42"/>
      <c r="O76" s="99"/>
    </row>
    <row r="77" spans="1:20" ht="15.75" customHeight="1">
      <c r="A77" s="1987"/>
      <c r="B77" s="2025"/>
      <c r="C77" s="86">
        <v>2019</v>
      </c>
      <c r="D77" s="147"/>
      <c r="E77" s="147"/>
      <c r="F77" s="147"/>
      <c r="G77" s="141">
        <f t="shared" si="5"/>
        <v>0</v>
      </c>
      <c r="H77" s="50"/>
      <c r="I77" s="50"/>
      <c r="J77" s="42"/>
      <c r="K77" s="42"/>
      <c r="L77" s="42"/>
      <c r="M77" s="42"/>
      <c r="N77" s="42"/>
      <c r="O77" s="99"/>
    </row>
    <row r="78" spans="1:20" ht="17.25" customHeight="1">
      <c r="A78" s="1987"/>
      <c r="B78" s="2025"/>
      <c r="C78" s="86">
        <v>2020</v>
      </c>
      <c r="D78" s="147"/>
      <c r="E78" s="147"/>
      <c r="F78" s="147"/>
      <c r="G78" s="141">
        <f t="shared" si="5"/>
        <v>0</v>
      </c>
      <c r="H78" s="50"/>
      <c r="I78" s="50"/>
      <c r="J78" s="42"/>
      <c r="K78" s="42"/>
      <c r="L78" s="42"/>
      <c r="M78" s="42"/>
      <c r="N78" s="42"/>
      <c r="O78" s="99"/>
    </row>
    <row r="79" spans="1:20" ht="20.25" customHeight="1" thickBot="1">
      <c r="A79" s="2134"/>
      <c r="B79" s="2027"/>
      <c r="C79" s="148" t="s">
        <v>12</v>
      </c>
      <c r="D79" s="123">
        <f>SUM(D72:D78)</f>
        <v>12</v>
      </c>
      <c r="E79" s="123">
        <f>SUM(E72:E78)</f>
        <v>0</v>
      </c>
      <c r="F79" s="123">
        <f>SUM(F72:F78)</f>
        <v>0</v>
      </c>
      <c r="G79" s="149">
        <f>SUM(G72:G78)</f>
        <v>12</v>
      </c>
      <c r="H79" s="150">
        <v>0</v>
      </c>
      <c r="I79" s="151">
        <f t="shared" ref="I79:O79" si="6">SUM(I72:I78)</f>
        <v>12</v>
      </c>
      <c r="J79" s="125">
        <f t="shared" si="6"/>
        <v>0</v>
      </c>
      <c r="K79" s="125">
        <f t="shared" si="6"/>
        <v>0</v>
      </c>
      <c r="L79" s="125">
        <f t="shared" si="6"/>
        <v>0</v>
      </c>
      <c r="M79" s="125">
        <f t="shared" si="6"/>
        <v>0</v>
      </c>
      <c r="N79" s="125">
        <f t="shared" si="6"/>
        <v>0</v>
      </c>
      <c r="O79" s="126">
        <f t="shared" si="6"/>
        <v>0</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449" t="s">
        <v>49</v>
      </c>
      <c r="B84" s="450" t="s">
        <v>50</v>
      </c>
      <c r="C84" s="161" t="s">
        <v>8</v>
      </c>
      <c r="D84" s="368" t="s">
        <v>51</v>
      </c>
      <c r="E84" s="163" t="s">
        <v>52</v>
      </c>
      <c r="F84" s="164" t="s">
        <v>53</v>
      </c>
      <c r="G84" s="164" t="s">
        <v>54</v>
      </c>
      <c r="H84" s="164" t="s">
        <v>55</v>
      </c>
      <c r="I84" s="164" t="s">
        <v>56</v>
      </c>
      <c r="J84" s="164" t="s">
        <v>57</v>
      </c>
      <c r="K84" s="165" t="s">
        <v>58</v>
      </c>
    </row>
    <row r="85" spans="1:16" ht="15" customHeight="1">
      <c r="A85" s="2178" t="s">
        <v>182</v>
      </c>
      <c r="B85" s="2025"/>
      <c r="C85" s="84">
        <v>2014</v>
      </c>
      <c r="D85" s="166"/>
      <c r="E85" s="167"/>
      <c r="F85" s="34"/>
      <c r="G85" s="34"/>
      <c r="H85" s="34"/>
      <c r="I85" s="34"/>
      <c r="J85" s="34"/>
      <c r="K85" s="37"/>
    </row>
    <row r="86" spans="1:16">
      <c r="A86" s="2072"/>
      <c r="B86" s="2025"/>
      <c r="C86" s="86">
        <v>2015</v>
      </c>
      <c r="D86" s="168"/>
      <c r="E86" s="118"/>
      <c r="F86" s="42"/>
      <c r="G86" s="42"/>
      <c r="H86" s="42"/>
      <c r="I86" s="42"/>
      <c r="J86" s="42"/>
      <c r="K86" s="99"/>
    </row>
    <row r="87" spans="1:16">
      <c r="A87" s="2072"/>
      <c r="B87" s="2025"/>
      <c r="C87" s="86">
        <v>2016</v>
      </c>
      <c r="D87" s="168">
        <v>3</v>
      </c>
      <c r="E87" s="118">
        <v>1</v>
      </c>
      <c r="F87" s="42"/>
      <c r="G87" s="42"/>
      <c r="H87" s="42">
        <v>2</v>
      </c>
      <c r="I87" s="42"/>
      <c r="J87" s="42"/>
      <c r="K87" s="99"/>
    </row>
    <row r="88" spans="1:16">
      <c r="A88" s="2072"/>
      <c r="B88" s="2025"/>
      <c r="C88" s="86">
        <v>2017</v>
      </c>
      <c r="D88" s="168"/>
      <c r="E88" s="118"/>
      <c r="F88" s="42"/>
      <c r="G88" s="42"/>
      <c r="H88" s="42"/>
      <c r="I88" s="42"/>
      <c r="J88" s="42"/>
      <c r="K88" s="99"/>
    </row>
    <row r="89" spans="1:16">
      <c r="A89" s="2072"/>
      <c r="B89" s="2025"/>
      <c r="C89" s="86">
        <v>2018</v>
      </c>
      <c r="D89" s="168"/>
      <c r="E89" s="118"/>
      <c r="F89" s="42"/>
      <c r="G89" s="42"/>
      <c r="H89" s="42"/>
      <c r="I89" s="42"/>
      <c r="J89" s="42"/>
      <c r="K89" s="99"/>
    </row>
    <row r="90" spans="1:16">
      <c r="A90" s="2072"/>
      <c r="B90" s="2025"/>
      <c r="C90" s="86">
        <v>2019</v>
      </c>
      <c r="D90" s="168"/>
      <c r="E90" s="118"/>
      <c r="F90" s="42"/>
      <c r="G90" s="42"/>
      <c r="H90" s="42"/>
      <c r="I90" s="42"/>
      <c r="J90" s="42"/>
      <c r="K90" s="99"/>
    </row>
    <row r="91" spans="1:16">
      <c r="A91" s="2072"/>
      <c r="B91" s="2025"/>
      <c r="C91" s="86">
        <v>2020</v>
      </c>
      <c r="D91" s="168"/>
      <c r="E91" s="118"/>
      <c r="F91" s="42"/>
      <c r="G91" s="42"/>
      <c r="H91" s="42"/>
      <c r="I91" s="42"/>
      <c r="J91" s="42"/>
      <c r="K91" s="99"/>
    </row>
    <row r="92" spans="1:16" ht="29.25" customHeight="1" thickBot="1">
      <c r="A92" s="2073"/>
      <c r="B92" s="2027"/>
      <c r="C92" s="148" t="s">
        <v>12</v>
      </c>
      <c r="D92" s="169">
        <f t="shared" ref="D92:I92" si="7">SUM(D85:D91)</f>
        <v>3</v>
      </c>
      <c r="E92" s="124">
        <f t="shared" si="7"/>
        <v>1</v>
      </c>
      <c r="F92" s="125">
        <f t="shared" si="7"/>
        <v>0</v>
      </c>
      <c r="G92" s="125">
        <f t="shared" si="7"/>
        <v>0</v>
      </c>
      <c r="H92" s="125">
        <f t="shared" si="7"/>
        <v>2</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179" t="s">
        <v>60</v>
      </c>
      <c r="B96" s="2180" t="s">
        <v>61</v>
      </c>
      <c r="C96" s="2181" t="s">
        <v>8</v>
      </c>
      <c r="D96" s="2130" t="s">
        <v>62</v>
      </c>
      <c r="E96" s="2131"/>
      <c r="F96" s="174" t="s">
        <v>63</v>
      </c>
      <c r="G96" s="451"/>
      <c r="H96" s="451"/>
      <c r="I96" s="451"/>
      <c r="J96" s="451"/>
      <c r="K96" s="451"/>
      <c r="L96" s="451"/>
      <c r="M96" s="452"/>
      <c r="N96" s="177"/>
      <c r="O96" s="177"/>
      <c r="P96" s="177"/>
    </row>
    <row r="97" spans="1:16" ht="100.5" customHeight="1">
      <c r="A97" s="2041"/>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031" t="s">
        <v>183</v>
      </c>
      <c r="B98" s="2025"/>
      <c r="C98" s="112">
        <v>2014</v>
      </c>
      <c r="D98" s="33"/>
      <c r="E98" s="34"/>
      <c r="F98" s="186"/>
      <c r="G98" s="187"/>
      <c r="H98" s="187"/>
      <c r="I98" s="187"/>
      <c r="J98" s="187"/>
      <c r="K98" s="187"/>
      <c r="L98" s="187"/>
      <c r="M98" s="188"/>
      <c r="N98" s="177"/>
      <c r="O98" s="177"/>
      <c r="P98" s="177"/>
    </row>
    <row r="99" spans="1:16" ht="16.5" customHeight="1">
      <c r="A99" s="2024"/>
      <c r="B99" s="2025"/>
      <c r="C99" s="116">
        <v>2015</v>
      </c>
      <c r="D99" s="50">
        <v>1</v>
      </c>
      <c r="E99" s="42">
        <v>4</v>
      </c>
      <c r="F99" s="189"/>
      <c r="G99" s="190"/>
      <c r="H99" s="190"/>
      <c r="I99" s="190"/>
      <c r="J99" s="190"/>
      <c r="K99" s="190"/>
      <c r="L99" s="190"/>
      <c r="M99" s="193">
        <v>1</v>
      </c>
      <c r="N99" s="177"/>
      <c r="O99" s="177"/>
      <c r="P99" s="177"/>
    </row>
    <row r="100" spans="1:16" ht="16.5" customHeight="1">
      <c r="A100" s="2024"/>
      <c r="B100" s="2025"/>
      <c r="C100" s="116">
        <v>2016</v>
      </c>
      <c r="D100" s="50">
        <v>1</v>
      </c>
      <c r="E100" s="42">
        <v>7</v>
      </c>
      <c r="F100" s="189"/>
      <c r="G100" s="190"/>
      <c r="H100" s="190"/>
      <c r="I100" s="190"/>
      <c r="J100" s="190"/>
      <c r="K100" s="190"/>
      <c r="L100" s="190"/>
      <c r="M100" s="193">
        <v>1</v>
      </c>
      <c r="N100" s="177"/>
      <c r="O100" s="177"/>
      <c r="P100" s="177"/>
    </row>
    <row r="101" spans="1:16" ht="16.5" customHeight="1">
      <c r="A101" s="2024"/>
      <c r="B101" s="2025"/>
      <c r="C101" s="116">
        <v>2017</v>
      </c>
      <c r="D101" s="50"/>
      <c r="E101" s="42"/>
      <c r="F101" s="189"/>
      <c r="G101" s="190"/>
      <c r="H101" s="190"/>
      <c r="I101" s="190"/>
      <c r="J101" s="190"/>
      <c r="K101" s="190"/>
      <c r="L101" s="190"/>
      <c r="M101" s="193"/>
      <c r="N101" s="177"/>
      <c r="O101" s="177"/>
      <c r="P101" s="177"/>
    </row>
    <row r="102" spans="1:16" ht="15.75" customHeight="1">
      <c r="A102" s="2024"/>
      <c r="B102" s="2025"/>
      <c r="C102" s="116">
        <v>2018</v>
      </c>
      <c r="D102" s="50"/>
      <c r="E102" s="42"/>
      <c r="F102" s="189"/>
      <c r="G102" s="190"/>
      <c r="H102" s="190"/>
      <c r="I102" s="190"/>
      <c r="J102" s="190"/>
      <c r="K102" s="190"/>
      <c r="L102" s="190"/>
      <c r="M102" s="193"/>
      <c r="N102" s="177"/>
      <c r="O102" s="177"/>
      <c r="P102" s="177"/>
    </row>
    <row r="103" spans="1:16" ht="14.25" customHeight="1">
      <c r="A103" s="2024"/>
      <c r="B103" s="2025"/>
      <c r="C103" s="116">
        <v>2019</v>
      </c>
      <c r="D103" s="50"/>
      <c r="E103" s="42"/>
      <c r="F103" s="189"/>
      <c r="G103" s="190"/>
      <c r="H103" s="190"/>
      <c r="I103" s="190"/>
      <c r="J103" s="190"/>
      <c r="K103" s="190"/>
      <c r="L103" s="190"/>
      <c r="M103" s="193"/>
      <c r="N103" s="177"/>
      <c r="O103" s="177"/>
      <c r="P103" s="177"/>
    </row>
    <row r="104" spans="1:16" ht="14.25" customHeight="1">
      <c r="A104" s="2024"/>
      <c r="B104" s="2025"/>
      <c r="C104" s="116">
        <v>2020</v>
      </c>
      <c r="D104" s="50"/>
      <c r="E104" s="42"/>
      <c r="F104" s="189"/>
      <c r="G104" s="190"/>
      <c r="H104" s="190"/>
      <c r="I104" s="190"/>
      <c r="J104" s="190"/>
      <c r="K104" s="190"/>
      <c r="L104" s="190"/>
      <c r="M104" s="193"/>
      <c r="N104" s="177"/>
      <c r="O104" s="177"/>
      <c r="P104" s="177"/>
    </row>
    <row r="105" spans="1:16" ht="19.5" customHeight="1" thickBot="1">
      <c r="A105" s="2046"/>
      <c r="B105" s="2027"/>
      <c r="C105" s="122" t="s">
        <v>12</v>
      </c>
      <c r="D105" s="151">
        <f>SUM(D98:D104)</f>
        <v>2</v>
      </c>
      <c r="E105" s="125">
        <f t="shared" ref="E105:K105" si="8">SUM(E98:E104)</f>
        <v>11</v>
      </c>
      <c r="F105" s="194">
        <f t="shared" si="8"/>
        <v>0</v>
      </c>
      <c r="G105" s="195">
        <f t="shared" si="8"/>
        <v>0</v>
      </c>
      <c r="H105" s="195">
        <f t="shared" si="8"/>
        <v>0</v>
      </c>
      <c r="I105" s="195">
        <f>SUM(I98:I104)</f>
        <v>0</v>
      </c>
      <c r="J105" s="195">
        <f t="shared" si="8"/>
        <v>0</v>
      </c>
      <c r="K105" s="195">
        <f t="shared" si="8"/>
        <v>0</v>
      </c>
      <c r="L105" s="195">
        <f>SUM(L98:L104)</f>
        <v>0</v>
      </c>
      <c r="M105" s="196">
        <f>SUM(M98:M104)</f>
        <v>2</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179" t="s">
        <v>69</v>
      </c>
      <c r="B107" s="2180" t="s">
        <v>61</v>
      </c>
      <c r="C107" s="2181" t="s">
        <v>8</v>
      </c>
      <c r="D107" s="2155" t="s">
        <v>70</v>
      </c>
      <c r="E107" s="174" t="s">
        <v>71</v>
      </c>
      <c r="F107" s="451"/>
      <c r="G107" s="451"/>
      <c r="H107" s="451"/>
      <c r="I107" s="451"/>
      <c r="J107" s="451"/>
      <c r="K107" s="451"/>
      <c r="L107" s="452"/>
      <c r="M107" s="199"/>
      <c r="N107" s="199"/>
    </row>
    <row r="108" spans="1:16" ht="103.5" customHeight="1">
      <c r="A108" s="2041"/>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031"/>
      <c r="B109" s="2025"/>
      <c r="C109" s="112">
        <v>2014</v>
      </c>
      <c r="D109" s="34"/>
      <c r="E109" s="186"/>
      <c r="F109" s="187"/>
      <c r="G109" s="187"/>
      <c r="H109" s="187"/>
      <c r="I109" s="187"/>
      <c r="J109" s="187"/>
      <c r="K109" s="187"/>
      <c r="L109" s="188"/>
      <c r="M109" s="199"/>
      <c r="N109" s="199"/>
    </row>
    <row r="110" spans="1:16">
      <c r="A110" s="2024"/>
      <c r="B110" s="2025"/>
      <c r="C110" s="116">
        <v>2015</v>
      </c>
      <c r="D110" s="42"/>
      <c r="E110" s="189"/>
      <c r="F110" s="190"/>
      <c r="G110" s="190"/>
      <c r="H110" s="190"/>
      <c r="I110" s="190"/>
      <c r="J110" s="190"/>
      <c r="K110" s="190"/>
      <c r="L110" s="193"/>
      <c r="M110" s="199"/>
      <c r="N110" s="199"/>
    </row>
    <row r="111" spans="1:16">
      <c r="A111" s="2024"/>
      <c r="B111" s="2025"/>
      <c r="C111" s="116">
        <v>2016</v>
      </c>
      <c r="D111" s="42"/>
      <c r="E111" s="189"/>
      <c r="F111" s="190"/>
      <c r="G111" s="190"/>
      <c r="H111" s="190"/>
      <c r="I111" s="190"/>
      <c r="J111" s="190"/>
      <c r="K111" s="190"/>
      <c r="L111" s="193"/>
      <c r="M111" s="199"/>
      <c r="N111" s="199"/>
    </row>
    <row r="112" spans="1:16">
      <c r="A112" s="2024"/>
      <c r="B112" s="2025"/>
      <c r="C112" s="116">
        <v>2017</v>
      </c>
      <c r="D112" s="42"/>
      <c r="E112" s="189"/>
      <c r="F112" s="190"/>
      <c r="G112" s="190"/>
      <c r="H112" s="190"/>
      <c r="I112" s="190"/>
      <c r="J112" s="190"/>
      <c r="K112" s="190"/>
      <c r="L112" s="193"/>
      <c r="M112" s="199"/>
      <c r="N112" s="199"/>
    </row>
    <row r="113" spans="1:14">
      <c r="A113" s="2024"/>
      <c r="B113" s="2025"/>
      <c r="C113" s="116">
        <v>2018</v>
      </c>
      <c r="D113" s="42"/>
      <c r="E113" s="189"/>
      <c r="F113" s="190"/>
      <c r="G113" s="190"/>
      <c r="H113" s="190"/>
      <c r="I113" s="190"/>
      <c r="J113" s="190"/>
      <c r="K113" s="190"/>
      <c r="L113" s="193"/>
      <c r="M113" s="199"/>
      <c r="N113" s="199"/>
    </row>
    <row r="114" spans="1:14">
      <c r="A114" s="2024"/>
      <c r="B114" s="2025"/>
      <c r="C114" s="116">
        <v>2019</v>
      </c>
      <c r="D114" s="42"/>
      <c r="E114" s="189"/>
      <c r="F114" s="190"/>
      <c r="G114" s="190"/>
      <c r="H114" s="190"/>
      <c r="I114" s="190"/>
      <c r="J114" s="190"/>
      <c r="K114" s="190"/>
      <c r="L114" s="193"/>
      <c r="M114" s="199"/>
      <c r="N114" s="199"/>
    </row>
    <row r="115" spans="1:14">
      <c r="A115" s="2024"/>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179" t="s">
        <v>72</v>
      </c>
      <c r="B118" s="2180" t="s">
        <v>61</v>
      </c>
      <c r="C118" s="2181" t="s">
        <v>8</v>
      </c>
      <c r="D118" s="2155" t="s">
        <v>73</v>
      </c>
      <c r="E118" s="174" t="s">
        <v>71</v>
      </c>
      <c r="F118" s="451"/>
      <c r="G118" s="451"/>
      <c r="H118" s="451"/>
      <c r="I118" s="451"/>
      <c r="J118" s="451"/>
      <c r="K118" s="451"/>
      <c r="L118" s="452"/>
      <c r="M118" s="199"/>
      <c r="N118" s="199"/>
    </row>
    <row r="119" spans="1:14" ht="120.75" customHeight="1">
      <c r="A119" s="2041"/>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031"/>
      <c r="B120" s="2025"/>
      <c r="C120" s="112">
        <v>2014</v>
      </c>
      <c r="D120" s="34"/>
      <c r="E120" s="186"/>
      <c r="F120" s="187"/>
      <c r="G120" s="187"/>
      <c r="H120" s="187"/>
      <c r="I120" s="187"/>
      <c r="J120" s="187"/>
      <c r="K120" s="187"/>
      <c r="L120" s="188"/>
      <c r="M120" s="199"/>
      <c r="N120" s="199"/>
    </row>
    <row r="121" spans="1:14">
      <c r="A121" s="2024"/>
      <c r="B121" s="2025"/>
      <c r="C121" s="116">
        <v>2015</v>
      </c>
      <c r="D121" s="42"/>
      <c r="E121" s="189"/>
      <c r="F121" s="190"/>
      <c r="G121" s="190"/>
      <c r="H121" s="190"/>
      <c r="I121" s="190"/>
      <c r="J121" s="190"/>
      <c r="K121" s="190"/>
      <c r="L121" s="193"/>
      <c r="M121" s="199"/>
      <c r="N121" s="199"/>
    </row>
    <row r="122" spans="1:14">
      <c r="A122" s="2024"/>
      <c r="B122" s="2025"/>
      <c r="C122" s="116">
        <v>2016</v>
      </c>
      <c r="D122" s="42"/>
      <c r="E122" s="189"/>
      <c r="F122" s="190"/>
      <c r="G122" s="190"/>
      <c r="H122" s="190"/>
      <c r="I122" s="190"/>
      <c r="J122" s="190"/>
      <c r="K122" s="190"/>
      <c r="L122" s="193"/>
      <c r="M122" s="199"/>
      <c r="N122" s="199"/>
    </row>
    <row r="123" spans="1:14">
      <c r="A123" s="2024"/>
      <c r="B123" s="2025"/>
      <c r="C123" s="116">
        <v>2017</v>
      </c>
      <c r="D123" s="42"/>
      <c r="E123" s="189"/>
      <c r="F123" s="190"/>
      <c r="G123" s="190"/>
      <c r="H123" s="190"/>
      <c r="I123" s="190"/>
      <c r="J123" s="190"/>
      <c r="K123" s="190"/>
      <c r="L123" s="193"/>
      <c r="M123" s="199"/>
      <c r="N123" s="199"/>
    </row>
    <row r="124" spans="1:14">
      <c r="A124" s="2024"/>
      <c r="B124" s="2025"/>
      <c r="C124" s="116">
        <v>2018</v>
      </c>
      <c r="D124" s="42"/>
      <c r="E124" s="189"/>
      <c r="F124" s="190"/>
      <c r="G124" s="190"/>
      <c r="H124" s="190"/>
      <c r="I124" s="190"/>
      <c r="J124" s="190"/>
      <c r="K124" s="190"/>
      <c r="L124" s="193"/>
      <c r="M124" s="199"/>
      <c r="N124" s="199"/>
    </row>
    <row r="125" spans="1:14">
      <c r="A125" s="2024"/>
      <c r="B125" s="2025"/>
      <c r="C125" s="116">
        <v>2019</v>
      </c>
      <c r="D125" s="42"/>
      <c r="E125" s="189"/>
      <c r="F125" s="190"/>
      <c r="G125" s="190"/>
      <c r="H125" s="190"/>
      <c r="I125" s="190"/>
      <c r="J125" s="190"/>
      <c r="K125" s="190"/>
      <c r="L125" s="193"/>
      <c r="M125" s="199"/>
      <c r="N125" s="199"/>
    </row>
    <row r="126" spans="1:14">
      <c r="A126" s="2024"/>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179" t="s">
        <v>74</v>
      </c>
      <c r="B129" s="2180" t="s">
        <v>61</v>
      </c>
      <c r="C129" s="453" t="s">
        <v>8</v>
      </c>
      <c r="D129" s="373" t="s">
        <v>75</v>
      </c>
      <c r="E129" s="454"/>
      <c r="F129" s="454"/>
      <c r="G129" s="375"/>
      <c r="H129" s="199"/>
      <c r="I129" s="199"/>
      <c r="J129" s="199"/>
      <c r="K129" s="199"/>
      <c r="L129" s="199"/>
      <c r="M129" s="199"/>
      <c r="N129" s="199"/>
    </row>
    <row r="130" spans="1:16" ht="77.25" customHeight="1">
      <c r="A130" s="2041"/>
      <c r="B130" s="2043"/>
      <c r="C130" s="343"/>
      <c r="D130" s="178" t="s">
        <v>76</v>
      </c>
      <c r="E130" s="207" t="s">
        <v>77</v>
      </c>
      <c r="F130" s="179" t="s">
        <v>78</v>
      </c>
      <c r="G130" s="208" t="s">
        <v>12</v>
      </c>
      <c r="H130" s="199"/>
      <c r="I130" s="199"/>
      <c r="J130" s="199"/>
      <c r="K130" s="199"/>
      <c r="L130" s="199"/>
      <c r="M130" s="199"/>
      <c r="N130" s="199"/>
    </row>
    <row r="131" spans="1:16" ht="15" customHeight="1">
      <c r="A131" s="2007"/>
      <c r="B131" s="1988"/>
      <c r="C131" s="340">
        <v>2015</v>
      </c>
      <c r="D131" s="557">
        <v>33</v>
      </c>
      <c r="E131" s="342"/>
      <c r="F131" s="342"/>
      <c r="G131" s="209">
        <f t="shared" ref="G131:G136" si="11">SUM(D131:F131)</f>
        <v>33</v>
      </c>
      <c r="H131" s="199"/>
      <c r="I131" s="199"/>
      <c r="J131" s="199"/>
      <c r="K131" s="199"/>
      <c r="L131" s="199"/>
      <c r="M131" s="199"/>
      <c r="N131" s="199"/>
    </row>
    <row r="132" spans="1:16">
      <c r="A132" s="1987"/>
      <c r="B132" s="1988"/>
      <c r="C132" s="116">
        <v>2016</v>
      </c>
      <c r="D132" s="50">
        <v>77</v>
      </c>
      <c r="E132" s="42"/>
      <c r="F132" s="42"/>
      <c r="G132" s="209">
        <f t="shared" si="11"/>
        <v>77</v>
      </c>
      <c r="H132" s="199"/>
      <c r="I132" s="199"/>
      <c r="J132" s="199"/>
      <c r="K132" s="199"/>
      <c r="L132" s="199"/>
      <c r="M132" s="199"/>
      <c r="N132" s="199"/>
    </row>
    <row r="133" spans="1:16">
      <c r="A133" s="1987"/>
      <c r="B133" s="1988"/>
      <c r="C133" s="116">
        <v>2017</v>
      </c>
      <c r="D133" s="50"/>
      <c r="E133" s="42"/>
      <c r="F133" s="42"/>
      <c r="G133" s="209">
        <f t="shared" si="11"/>
        <v>0</v>
      </c>
      <c r="H133" s="199"/>
      <c r="I133" s="199"/>
      <c r="J133" s="199"/>
      <c r="K133" s="199"/>
      <c r="L133" s="199"/>
      <c r="M133" s="199"/>
      <c r="N133" s="199"/>
    </row>
    <row r="134" spans="1:16">
      <c r="A134" s="1987"/>
      <c r="B134" s="1988"/>
      <c r="C134" s="116">
        <v>2018</v>
      </c>
      <c r="D134" s="50"/>
      <c r="E134" s="42"/>
      <c r="F134" s="42"/>
      <c r="G134" s="209">
        <f t="shared" si="11"/>
        <v>0</v>
      </c>
      <c r="H134" s="199"/>
      <c r="I134" s="199"/>
      <c r="J134" s="199"/>
      <c r="K134" s="199"/>
      <c r="L134" s="199"/>
      <c r="M134" s="199"/>
      <c r="N134" s="199"/>
    </row>
    <row r="135" spans="1:16">
      <c r="A135" s="1987"/>
      <c r="B135" s="1988"/>
      <c r="C135" s="116">
        <v>2019</v>
      </c>
      <c r="D135" s="50"/>
      <c r="E135" s="42"/>
      <c r="F135" s="42"/>
      <c r="G135" s="209">
        <f t="shared" si="11"/>
        <v>0</v>
      </c>
      <c r="H135" s="199"/>
      <c r="I135" s="199"/>
      <c r="J135" s="199"/>
      <c r="K135" s="199"/>
      <c r="L135" s="199"/>
      <c r="M135" s="199"/>
      <c r="N135" s="199"/>
    </row>
    <row r="136" spans="1:16">
      <c r="A136" s="1987"/>
      <c r="B136" s="1988"/>
      <c r="C136" s="116">
        <v>2020</v>
      </c>
      <c r="D136" s="50"/>
      <c r="E136" s="42"/>
      <c r="F136" s="42"/>
      <c r="G136" s="209">
        <f t="shared" si="11"/>
        <v>0</v>
      </c>
      <c r="H136" s="199"/>
      <c r="I136" s="199"/>
      <c r="J136" s="199"/>
      <c r="K136" s="199"/>
      <c r="L136" s="199"/>
      <c r="M136" s="199"/>
      <c r="N136" s="199"/>
    </row>
    <row r="137" spans="1:16" ht="17.25" customHeight="1" thickBot="1">
      <c r="A137" s="1989"/>
      <c r="B137" s="1990"/>
      <c r="C137" s="122" t="s">
        <v>12</v>
      </c>
      <c r="D137" s="151">
        <f>SUM(D131:D136)</f>
        <v>110</v>
      </c>
      <c r="E137" s="151">
        <f t="shared" ref="E137:F137" si="12">SUM(E131:E136)</f>
        <v>0</v>
      </c>
      <c r="F137" s="151">
        <f t="shared" si="12"/>
        <v>0</v>
      </c>
      <c r="G137" s="210">
        <f>SUM(G131:G136)</f>
        <v>110</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182" t="s">
        <v>80</v>
      </c>
      <c r="B142" s="2183" t="s">
        <v>61</v>
      </c>
      <c r="C142" s="2189" t="s">
        <v>8</v>
      </c>
      <c r="D142" s="455" t="s">
        <v>81</v>
      </c>
      <c r="E142" s="456"/>
      <c r="F142" s="456"/>
      <c r="G142" s="456"/>
      <c r="H142" s="456"/>
      <c r="I142" s="457"/>
      <c r="J142" s="2184" t="s">
        <v>82</v>
      </c>
      <c r="K142" s="2185"/>
      <c r="L142" s="2185"/>
      <c r="M142" s="2185"/>
      <c r="N142" s="2186"/>
      <c r="O142" s="177"/>
      <c r="P142" s="177"/>
    </row>
    <row r="143" spans="1:16" ht="113.25" customHeight="1">
      <c r="A143" s="2045"/>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031"/>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024"/>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024"/>
      <c r="B146" s="2025"/>
      <c r="C146" s="116">
        <v>2016</v>
      </c>
      <c r="D146" s="50"/>
      <c r="E146" s="50"/>
      <c r="F146" s="42"/>
      <c r="G146" s="190"/>
      <c r="H146" s="190"/>
      <c r="I146" s="227">
        <f t="shared" si="13"/>
        <v>0</v>
      </c>
      <c r="J146" s="231"/>
      <c r="K146" s="232"/>
      <c r="L146" s="231"/>
      <c r="M146" s="232"/>
      <c r="N146" s="233"/>
      <c r="O146" s="177"/>
      <c r="P146" s="177"/>
    </row>
    <row r="147" spans="1:16" ht="17.25" customHeight="1">
      <c r="A147" s="2024"/>
      <c r="B147" s="2025"/>
      <c r="C147" s="116">
        <v>2017</v>
      </c>
      <c r="D147" s="50"/>
      <c r="E147" s="50"/>
      <c r="F147" s="42"/>
      <c r="G147" s="190"/>
      <c r="H147" s="190"/>
      <c r="I147" s="227">
        <f t="shared" si="13"/>
        <v>0</v>
      </c>
      <c r="J147" s="231"/>
      <c r="K147" s="232"/>
      <c r="L147" s="231"/>
      <c r="M147" s="232"/>
      <c r="N147" s="233"/>
      <c r="O147" s="177"/>
      <c r="P147" s="177"/>
    </row>
    <row r="148" spans="1:16" ht="19.5" customHeight="1">
      <c r="A148" s="2024"/>
      <c r="B148" s="2025"/>
      <c r="C148" s="116">
        <v>2018</v>
      </c>
      <c r="D148" s="50"/>
      <c r="E148" s="50"/>
      <c r="F148" s="42"/>
      <c r="G148" s="190"/>
      <c r="H148" s="190"/>
      <c r="I148" s="227">
        <f t="shared" si="13"/>
        <v>0</v>
      </c>
      <c r="J148" s="231"/>
      <c r="K148" s="232"/>
      <c r="L148" s="231"/>
      <c r="M148" s="232"/>
      <c r="N148" s="233"/>
      <c r="O148" s="177"/>
      <c r="P148" s="177"/>
    </row>
    <row r="149" spans="1:16" ht="19.5" customHeight="1">
      <c r="A149" s="2024"/>
      <c r="B149" s="2025"/>
      <c r="C149" s="116">
        <v>2019</v>
      </c>
      <c r="D149" s="50"/>
      <c r="E149" s="50"/>
      <c r="F149" s="42"/>
      <c r="G149" s="190"/>
      <c r="H149" s="190"/>
      <c r="I149" s="227">
        <f t="shared" si="13"/>
        <v>0</v>
      </c>
      <c r="J149" s="231"/>
      <c r="K149" s="232"/>
      <c r="L149" s="231"/>
      <c r="M149" s="232"/>
      <c r="N149" s="233"/>
      <c r="O149" s="177"/>
      <c r="P149" s="177"/>
    </row>
    <row r="150" spans="1:16" ht="18.75" customHeight="1">
      <c r="A150" s="2024"/>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187" t="s">
        <v>93</v>
      </c>
      <c r="B153" s="2183" t="s">
        <v>61</v>
      </c>
      <c r="C153" s="2188" t="s">
        <v>8</v>
      </c>
      <c r="D153" s="458" t="s">
        <v>94</v>
      </c>
      <c r="E153" s="458"/>
      <c r="F153" s="459"/>
      <c r="G153" s="459"/>
      <c r="H153" s="458" t="s">
        <v>95</v>
      </c>
      <c r="I153" s="458"/>
      <c r="J153" s="460"/>
      <c r="K153" s="31"/>
      <c r="L153" s="31"/>
      <c r="M153" s="31"/>
      <c r="N153" s="31"/>
      <c r="O153" s="177"/>
      <c r="P153" s="177"/>
    </row>
    <row r="154" spans="1:16" ht="49.5" customHeight="1">
      <c r="A154" s="2033"/>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031"/>
      <c r="B155" s="2025"/>
      <c r="C155" s="247">
        <v>2014</v>
      </c>
      <c r="D155" s="228"/>
      <c r="E155" s="187"/>
      <c r="F155" s="229"/>
      <c r="G155" s="227">
        <f>SUM(D155:F155)</f>
        <v>0</v>
      </c>
      <c r="H155" s="228"/>
      <c r="I155" s="187"/>
      <c r="J155" s="188"/>
      <c r="O155" s="177"/>
      <c r="P155" s="177"/>
    </row>
    <row r="156" spans="1:16" ht="19.5" customHeight="1">
      <c r="A156" s="2024"/>
      <c r="B156" s="2025"/>
      <c r="C156" s="248">
        <v>2015</v>
      </c>
      <c r="D156" s="231"/>
      <c r="E156" s="190"/>
      <c r="F156" s="232"/>
      <c r="G156" s="227">
        <f t="shared" ref="G156:G161" si="15">SUM(D156:F156)</f>
        <v>0</v>
      </c>
      <c r="H156" s="231"/>
      <c r="I156" s="190"/>
      <c r="J156" s="193"/>
      <c r="O156" s="177"/>
      <c r="P156" s="177"/>
    </row>
    <row r="157" spans="1:16" ht="17.25" customHeight="1">
      <c r="A157" s="2024"/>
      <c r="B157" s="2025"/>
      <c r="C157" s="248">
        <v>2016</v>
      </c>
      <c r="D157" s="231"/>
      <c r="E157" s="190"/>
      <c r="F157" s="232"/>
      <c r="G157" s="227">
        <f t="shared" si="15"/>
        <v>0</v>
      </c>
      <c r="H157" s="231"/>
      <c r="I157" s="190"/>
      <c r="J157" s="193"/>
      <c r="O157" s="177"/>
      <c r="P157" s="177"/>
    </row>
    <row r="158" spans="1:16" ht="15" customHeight="1">
      <c r="A158" s="2024"/>
      <c r="B158" s="2025"/>
      <c r="C158" s="248">
        <v>2017</v>
      </c>
      <c r="D158" s="231"/>
      <c r="E158" s="190"/>
      <c r="F158" s="232"/>
      <c r="G158" s="227">
        <f t="shared" si="15"/>
        <v>0</v>
      </c>
      <c r="H158" s="231"/>
      <c r="I158" s="190"/>
      <c r="J158" s="193"/>
      <c r="O158" s="177"/>
      <c r="P158" s="177"/>
    </row>
    <row r="159" spans="1:16" ht="19.5" customHeight="1">
      <c r="A159" s="2024"/>
      <c r="B159" s="2025"/>
      <c r="C159" s="248">
        <v>2018</v>
      </c>
      <c r="D159" s="231"/>
      <c r="E159" s="190"/>
      <c r="F159" s="232"/>
      <c r="G159" s="227">
        <f t="shared" si="15"/>
        <v>0</v>
      </c>
      <c r="H159" s="231"/>
      <c r="I159" s="190"/>
      <c r="J159" s="193"/>
      <c r="O159" s="177"/>
      <c r="P159" s="177"/>
    </row>
    <row r="160" spans="1:16" ht="15" customHeight="1">
      <c r="A160" s="2024"/>
      <c r="B160" s="2025"/>
      <c r="C160" s="248">
        <v>2019</v>
      </c>
      <c r="D160" s="231"/>
      <c r="E160" s="190"/>
      <c r="F160" s="232"/>
      <c r="G160" s="227">
        <f t="shared" si="15"/>
        <v>0</v>
      </c>
      <c r="H160" s="231"/>
      <c r="I160" s="190"/>
      <c r="J160" s="193"/>
      <c r="O160" s="177"/>
      <c r="P160" s="177"/>
    </row>
    <row r="161" spans="1:18" ht="17.25" customHeight="1">
      <c r="A161" s="2024"/>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461"/>
      <c r="F163" s="177"/>
      <c r="G163" s="177"/>
      <c r="H163" s="177"/>
      <c r="I163" s="177"/>
      <c r="J163" s="255"/>
      <c r="K163" s="256"/>
    </row>
    <row r="164" spans="1:18" ht="95.25" customHeight="1">
      <c r="A164" s="383" t="s">
        <v>102</v>
      </c>
      <c r="B164" s="258" t="s">
        <v>103</v>
      </c>
      <c r="C164" s="430" t="s">
        <v>8</v>
      </c>
      <c r="D164" s="260" t="s">
        <v>104</v>
      </c>
      <c r="E164" s="260" t="s">
        <v>105</v>
      </c>
      <c r="F164" s="462" t="s">
        <v>106</v>
      </c>
      <c r="G164" s="260" t="s">
        <v>107</v>
      </c>
      <c r="H164" s="260" t="s">
        <v>108</v>
      </c>
      <c r="I164" s="262" t="s">
        <v>109</v>
      </c>
      <c r="J164" s="386" t="s">
        <v>110</v>
      </c>
      <c r="K164" s="386" t="s">
        <v>111</v>
      </c>
      <c r="L164" s="264"/>
    </row>
    <row r="165" spans="1:18" ht="15.75" customHeight="1">
      <c r="A165" s="2011"/>
      <c r="B165" s="2012"/>
      <c r="C165" s="265">
        <v>2014</v>
      </c>
      <c r="D165" s="187"/>
      <c r="E165" s="187"/>
      <c r="F165" s="187"/>
      <c r="G165" s="187"/>
      <c r="H165" s="187"/>
      <c r="I165" s="188"/>
      <c r="J165" s="266">
        <f>SUM(D165,F165,H165)</f>
        <v>0</v>
      </c>
      <c r="K165" s="267">
        <f>SUM(E165,G165,I165)</f>
        <v>0</v>
      </c>
      <c r="L165" s="264"/>
    </row>
    <row r="166" spans="1:18">
      <c r="A166" s="2013"/>
      <c r="B166" s="2014"/>
      <c r="C166" s="268">
        <v>2015</v>
      </c>
      <c r="D166" s="269"/>
      <c r="E166" s="269"/>
      <c r="F166" s="269"/>
      <c r="G166" s="269"/>
      <c r="H166" s="269"/>
      <c r="I166" s="270"/>
      <c r="J166" s="271">
        <f t="shared" ref="J166:K171" si="17">SUM(D166,F166,H166)</f>
        <v>0</v>
      </c>
      <c r="K166" s="272">
        <f t="shared" si="17"/>
        <v>0</v>
      </c>
      <c r="L166" s="264"/>
    </row>
    <row r="167" spans="1:18">
      <c r="A167" s="2013"/>
      <c r="B167" s="2014"/>
      <c r="C167" s="268">
        <v>2016</v>
      </c>
      <c r="D167" s="269"/>
      <c r="E167" s="269"/>
      <c r="F167" s="269"/>
      <c r="G167" s="269"/>
      <c r="H167" s="269"/>
      <c r="I167" s="270"/>
      <c r="J167" s="271">
        <f t="shared" si="17"/>
        <v>0</v>
      </c>
      <c r="K167" s="272">
        <f t="shared" si="17"/>
        <v>0</v>
      </c>
    </row>
    <row r="168" spans="1:18">
      <c r="A168" s="2013"/>
      <c r="B168" s="2014"/>
      <c r="C168" s="268">
        <v>2017</v>
      </c>
      <c r="D168" s="269"/>
      <c r="E168" s="177"/>
      <c r="F168" s="269"/>
      <c r="G168" s="269"/>
      <c r="H168" s="269"/>
      <c r="I168" s="270"/>
      <c r="J168" s="271">
        <f t="shared" si="17"/>
        <v>0</v>
      </c>
      <c r="K168" s="272">
        <f t="shared" si="17"/>
        <v>0</v>
      </c>
    </row>
    <row r="169" spans="1:18">
      <c r="A169" s="2013"/>
      <c r="B169" s="2014"/>
      <c r="C169" s="273">
        <v>2018</v>
      </c>
      <c r="D169" s="269"/>
      <c r="E169" s="269"/>
      <c r="F169" s="269"/>
      <c r="G169" s="274"/>
      <c r="H169" s="269"/>
      <c r="I169" s="270"/>
      <c r="J169" s="271">
        <f t="shared" si="17"/>
        <v>0</v>
      </c>
      <c r="K169" s="272">
        <f t="shared" si="17"/>
        <v>0</v>
      </c>
      <c r="L169" s="264"/>
    </row>
    <row r="170" spans="1:18">
      <c r="A170" s="2013"/>
      <c r="B170" s="2014"/>
      <c r="C170" s="268">
        <v>2019</v>
      </c>
      <c r="D170" s="177"/>
      <c r="E170" s="269"/>
      <c r="F170" s="269"/>
      <c r="G170" s="269"/>
      <c r="H170" s="274"/>
      <c r="I170" s="270"/>
      <c r="J170" s="271">
        <f t="shared" si="17"/>
        <v>0</v>
      </c>
      <c r="K170" s="272">
        <f t="shared" si="17"/>
        <v>0</v>
      </c>
      <c r="L170" s="264"/>
    </row>
    <row r="171" spans="1:18">
      <c r="A171" s="2013"/>
      <c r="B171" s="2014"/>
      <c r="C171" s="273">
        <v>2020</v>
      </c>
      <c r="D171" s="269"/>
      <c r="E171" s="269"/>
      <c r="F171" s="269"/>
      <c r="G171" s="269"/>
      <c r="H171" s="269"/>
      <c r="I171" s="270"/>
      <c r="J171" s="271">
        <f t="shared" si="17"/>
        <v>0</v>
      </c>
      <c r="K171" s="272">
        <f t="shared" si="17"/>
        <v>0</v>
      </c>
      <c r="L171" s="264"/>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264"/>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191" t="s">
        <v>113</v>
      </c>
      <c r="B176" s="2192" t="s">
        <v>114</v>
      </c>
      <c r="C176" s="2193" t="s">
        <v>8</v>
      </c>
      <c r="D176" s="387" t="s">
        <v>115</v>
      </c>
      <c r="E176" s="463"/>
      <c r="F176" s="463"/>
      <c r="G176" s="464"/>
      <c r="H176" s="390"/>
      <c r="I176" s="2021" t="s">
        <v>116</v>
      </c>
      <c r="J176" s="2194"/>
      <c r="K176" s="2194"/>
      <c r="L176" s="2194"/>
      <c r="M176" s="2194"/>
      <c r="N176" s="2194"/>
      <c r="O176" s="2195"/>
    </row>
    <row r="177" spans="1:15" s="31" customFormat="1" ht="129.75" customHeight="1">
      <c r="A177" s="2018"/>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024" t="s">
        <v>184</v>
      </c>
      <c r="B178" s="2025"/>
      <c r="C178" s="112">
        <v>2014</v>
      </c>
      <c r="D178" s="33"/>
      <c r="E178" s="34"/>
      <c r="F178" s="34"/>
      <c r="G178" s="293">
        <f>SUM(D178:F178)</f>
        <v>0</v>
      </c>
      <c r="H178" s="167"/>
      <c r="I178" s="167"/>
      <c r="J178" s="34"/>
      <c r="K178" s="34"/>
      <c r="L178" s="34"/>
      <c r="M178" s="34"/>
      <c r="N178" s="34"/>
      <c r="O178" s="37"/>
    </row>
    <row r="179" spans="1:15">
      <c r="A179" s="2024"/>
      <c r="B179" s="2025"/>
      <c r="C179" s="116">
        <v>2015</v>
      </c>
      <c r="D179" s="50">
        <v>1</v>
      </c>
      <c r="E179" s="42">
        <v>2</v>
      </c>
      <c r="F179" s="42"/>
      <c r="G179" s="293">
        <f t="shared" ref="G179:G184" si="19">SUM(D179:F179)</f>
        <v>3</v>
      </c>
      <c r="H179" s="294">
        <v>1</v>
      </c>
      <c r="I179" s="118"/>
      <c r="J179" s="42">
        <v>1</v>
      </c>
      <c r="K179" s="42"/>
      <c r="L179" s="42"/>
      <c r="M179" s="42">
        <v>2</v>
      </c>
      <c r="N179" s="42"/>
      <c r="O179" s="99"/>
    </row>
    <row r="180" spans="1:15">
      <c r="A180" s="2024"/>
      <c r="B180" s="2025"/>
      <c r="C180" s="116">
        <v>2016</v>
      </c>
      <c r="D180" s="50">
        <v>9</v>
      </c>
      <c r="E180" s="42">
        <v>4</v>
      </c>
      <c r="F180" s="42">
        <v>2</v>
      </c>
      <c r="G180" s="293">
        <f t="shared" si="19"/>
        <v>15</v>
      </c>
      <c r="H180" s="294">
        <v>13</v>
      </c>
      <c r="I180" s="118"/>
      <c r="J180" s="42">
        <v>9</v>
      </c>
      <c r="K180" s="42"/>
      <c r="L180" s="42">
        <v>4</v>
      </c>
      <c r="M180" s="42">
        <v>2</v>
      </c>
      <c r="N180" s="42"/>
      <c r="O180" s="99"/>
    </row>
    <row r="181" spans="1:15">
      <c r="A181" s="2024"/>
      <c r="B181" s="2025"/>
      <c r="C181" s="116">
        <v>2017</v>
      </c>
      <c r="D181" s="50"/>
      <c r="E181" s="42"/>
      <c r="F181" s="42"/>
      <c r="G181" s="293">
        <f t="shared" si="19"/>
        <v>0</v>
      </c>
      <c r="H181" s="294"/>
      <c r="I181" s="118"/>
      <c r="J181" s="42"/>
      <c r="K181" s="42"/>
      <c r="L181" s="42"/>
      <c r="M181" s="42"/>
      <c r="N181" s="42"/>
      <c r="O181" s="99"/>
    </row>
    <row r="182" spans="1:15">
      <c r="A182" s="2024"/>
      <c r="B182" s="2025"/>
      <c r="C182" s="116">
        <v>2018</v>
      </c>
      <c r="D182" s="50"/>
      <c r="E182" s="42"/>
      <c r="F182" s="42"/>
      <c r="G182" s="293">
        <f t="shared" si="19"/>
        <v>0</v>
      </c>
      <c r="H182" s="294"/>
      <c r="I182" s="118"/>
      <c r="J182" s="42"/>
      <c r="K182" s="42"/>
      <c r="L182" s="42"/>
      <c r="M182" s="42"/>
      <c r="N182" s="42"/>
      <c r="O182" s="99"/>
    </row>
    <row r="183" spans="1:15">
      <c r="A183" s="2024"/>
      <c r="B183" s="2025"/>
      <c r="C183" s="116">
        <v>2019</v>
      </c>
      <c r="D183" s="50"/>
      <c r="E183" s="42"/>
      <c r="F183" s="42"/>
      <c r="G183" s="293">
        <f t="shared" si="19"/>
        <v>0</v>
      </c>
      <c r="H183" s="294"/>
      <c r="I183" s="118"/>
      <c r="J183" s="42"/>
      <c r="K183" s="42"/>
      <c r="L183" s="42"/>
      <c r="M183" s="42"/>
      <c r="N183" s="42"/>
      <c r="O183" s="99"/>
    </row>
    <row r="184" spans="1:15">
      <c r="A184" s="2024"/>
      <c r="B184" s="2025"/>
      <c r="C184" s="116">
        <v>2020</v>
      </c>
      <c r="D184" s="50"/>
      <c r="E184" s="42"/>
      <c r="F184" s="42"/>
      <c r="G184" s="293">
        <f t="shared" si="19"/>
        <v>0</v>
      </c>
      <c r="H184" s="294"/>
      <c r="I184" s="118"/>
      <c r="J184" s="42"/>
      <c r="K184" s="42"/>
      <c r="L184" s="42"/>
      <c r="M184" s="42"/>
      <c r="N184" s="42"/>
      <c r="O184" s="99"/>
    </row>
    <row r="185" spans="1:15" ht="45" customHeight="1" thickBot="1">
      <c r="A185" s="2026"/>
      <c r="B185" s="2027"/>
      <c r="C185" s="122" t="s">
        <v>12</v>
      </c>
      <c r="D185" s="151">
        <f>SUM(D178:D184)</f>
        <v>10</v>
      </c>
      <c r="E185" s="125">
        <f>SUM(E178:E184)</f>
        <v>6</v>
      </c>
      <c r="F185" s="125">
        <f>SUM(F178:F184)</f>
        <v>2</v>
      </c>
      <c r="G185" s="234">
        <f t="shared" ref="G185:O185" si="20">SUM(G178:G184)</f>
        <v>18</v>
      </c>
      <c r="H185" s="295">
        <f t="shared" si="20"/>
        <v>14</v>
      </c>
      <c r="I185" s="124">
        <f t="shared" si="20"/>
        <v>0</v>
      </c>
      <c r="J185" s="125">
        <f t="shared" si="20"/>
        <v>10</v>
      </c>
      <c r="K185" s="125">
        <f t="shared" si="20"/>
        <v>0</v>
      </c>
      <c r="L185" s="125">
        <f t="shared" si="20"/>
        <v>4</v>
      </c>
      <c r="M185" s="125">
        <f t="shared" si="20"/>
        <v>4</v>
      </c>
      <c r="N185" s="125">
        <f t="shared" si="20"/>
        <v>0</v>
      </c>
      <c r="O185" s="126">
        <f t="shared" si="20"/>
        <v>0</v>
      </c>
    </row>
    <row r="186" spans="1:15" ht="33" customHeight="1" thickBot="1"/>
    <row r="187" spans="1:15" ht="19.5" customHeight="1">
      <c r="A187" s="1994" t="s">
        <v>122</v>
      </c>
      <c r="B187" s="2192" t="s">
        <v>114</v>
      </c>
      <c r="C187" s="1998" t="s">
        <v>8</v>
      </c>
      <c r="D187" s="2000" t="s">
        <v>123</v>
      </c>
      <c r="E187" s="2190"/>
      <c r="F187" s="2190"/>
      <c r="G187" s="2109"/>
      <c r="H187" s="2110"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111" t="s">
        <v>185</v>
      </c>
      <c r="B189" s="2112"/>
      <c r="C189" s="392">
        <v>2014</v>
      </c>
      <c r="D189" s="142"/>
      <c r="E189" s="115"/>
      <c r="F189" s="115"/>
      <c r="G189" s="301">
        <f>SUM(D189:F189)</f>
        <v>0</v>
      </c>
      <c r="H189" s="114"/>
      <c r="I189" s="115"/>
      <c r="J189" s="115"/>
      <c r="K189" s="115"/>
      <c r="L189" s="143"/>
    </row>
    <row r="190" spans="1:15">
      <c r="A190" s="2113"/>
      <c r="B190" s="1988"/>
      <c r="C190" s="86">
        <v>2015</v>
      </c>
      <c r="D190" s="50">
        <v>2</v>
      </c>
      <c r="E190" s="42">
        <v>10</v>
      </c>
      <c r="F190" s="42"/>
      <c r="G190" s="301">
        <f t="shared" ref="G190:G195" si="21">SUM(D190:F190)</f>
        <v>12</v>
      </c>
      <c r="H190" s="118"/>
      <c r="I190" s="42"/>
      <c r="J190" s="42"/>
      <c r="K190" s="42">
        <v>12</v>
      </c>
      <c r="L190" s="99"/>
    </row>
    <row r="191" spans="1:15">
      <c r="A191" s="2113"/>
      <c r="B191" s="1988"/>
      <c r="C191" s="86">
        <v>2016</v>
      </c>
      <c r="D191" s="50">
        <v>390</v>
      </c>
      <c r="E191" s="42">
        <v>140</v>
      </c>
      <c r="F191" s="42">
        <v>25</v>
      </c>
      <c r="G191" s="301">
        <f t="shared" si="21"/>
        <v>555</v>
      </c>
      <c r="H191" s="118"/>
      <c r="I191" s="42">
        <v>55</v>
      </c>
      <c r="J191" s="42">
        <v>25</v>
      </c>
      <c r="K191" s="42">
        <v>487</v>
      </c>
      <c r="L191" s="99"/>
    </row>
    <row r="192" spans="1:15">
      <c r="A192" s="2113"/>
      <c r="B192" s="1988"/>
      <c r="C192" s="86">
        <v>2017</v>
      </c>
      <c r="D192" s="50"/>
      <c r="E192" s="42"/>
      <c r="F192" s="42"/>
      <c r="G192" s="301">
        <f t="shared" si="21"/>
        <v>0</v>
      </c>
      <c r="H192" s="118"/>
      <c r="I192" s="42"/>
      <c r="J192" s="42"/>
      <c r="K192" s="42"/>
      <c r="L192" s="99"/>
    </row>
    <row r="193" spans="1:14">
      <c r="A193" s="2113"/>
      <c r="B193" s="1988"/>
      <c r="C193" s="86">
        <v>2018</v>
      </c>
      <c r="D193" s="50"/>
      <c r="E193" s="42"/>
      <c r="F193" s="42"/>
      <c r="G193" s="301">
        <f t="shared" si="21"/>
        <v>0</v>
      </c>
      <c r="H193" s="118"/>
      <c r="I193" s="42"/>
      <c r="J193" s="42"/>
      <c r="K193" s="42"/>
      <c r="L193" s="99"/>
    </row>
    <row r="194" spans="1:14">
      <c r="A194" s="2113"/>
      <c r="B194" s="1988"/>
      <c r="C194" s="86">
        <v>2019</v>
      </c>
      <c r="D194" s="50"/>
      <c r="E194" s="42"/>
      <c r="F194" s="42"/>
      <c r="G194" s="301">
        <f t="shared" si="21"/>
        <v>0</v>
      </c>
      <c r="H194" s="118"/>
      <c r="I194" s="42"/>
      <c r="J194" s="42"/>
      <c r="K194" s="42"/>
      <c r="L194" s="99"/>
    </row>
    <row r="195" spans="1:14">
      <c r="A195" s="2113"/>
      <c r="B195" s="1988"/>
      <c r="C195" s="86">
        <v>2020</v>
      </c>
      <c r="D195" s="50"/>
      <c r="E195" s="42"/>
      <c r="F195" s="42"/>
      <c r="G195" s="301">
        <f t="shared" si="21"/>
        <v>0</v>
      </c>
      <c r="H195" s="118"/>
      <c r="I195" s="42"/>
      <c r="J195" s="42"/>
      <c r="K195" s="42"/>
      <c r="L195" s="99"/>
    </row>
    <row r="196" spans="1:14" ht="15.75" thickBot="1">
      <c r="A196" s="2114"/>
      <c r="B196" s="1990"/>
      <c r="C196" s="148" t="s">
        <v>12</v>
      </c>
      <c r="D196" s="151">
        <f t="shared" ref="D196:L196" si="22">SUM(D189:D195)</f>
        <v>392</v>
      </c>
      <c r="E196" s="125">
        <f t="shared" si="22"/>
        <v>150</v>
      </c>
      <c r="F196" s="125">
        <f t="shared" si="22"/>
        <v>25</v>
      </c>
      <c r="G196" s="304">
        <f t="shared" si="22"/>
        <v>567</v>
      </c>
      <c r="H196" s="124">
        <f t="shared" si="22"/>
        <v>0</v>
      </c>
      <c r="I196" s="125">
        <f t="shared" si="22"/>
        <v>55</v>
      </c>
      <c r="J196" s="125">
        <f t="shared" si="22"/>
        <v>25</v>
      </c>
      <c r="K196" s="125">
        <f t="shared" si="22"/>
        <v>499</v>
      </c>
      <c r="L196" s="126">
        <f t="shared" si="22"/>
        <v>0</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465" t="s">
        <v>135</v>
      </c>
      <c r="B201" s="309" t="s">
        <v>114</v>
      </c>
      <c r="C201" s="310" t="s">
        <v>8</v>
      </c>
      <c r="D201" s="398" t="s">
        <v>136</v>
      </c>
      <c r="E201" s="312" t="s">
        <v>137</v>
      </c>
      <c r="F201" s="312" t="s">
        <v>138</v>
      </c>
      <c r="G201" s="310" t="s">
        <v>139</v>
      </c>
      <c r="H201" s="466" t="s">
        <v>140</v>
      </c>
      <c r="I201" s="400" t="s">
        <v>141</v>
      </c>
      <c r="J201" s="401" t="s">
        <v>142</v>
      </c>
      <c r="K201" s="312" t="s">
        <v>143</v>
      </c>
      <c r="L201" s="316" t="s">
        <v>144</v>
      </c>
    </row>
    <row r="202" spans="1:14" ht="15" customHeight="1">
      <c r="A202" s="1987"/>
      <c r="B202" s="1988"/>
      <c r="C202" s="84">
        <v>2014</v>
      </c>
      <c r="D202" s="33"/>
      <c r="E202" s="34"/>
      <c r="F202" s="34"/>
      <c r="G202" s="32"/>
      <c r="H202" s="317"/>
      <c r="I202" s="318"/>
      <c r="J202" s="319"/>
      <c r="K202" s="34"/>
      <c r="L202" s="37"/>
    </row>
    <row r="203" spans="1:14">
      <c r="A203" s="1987"/>
      <c r="B203" s="1988"/>
      <c r="C203" s="86">
        <v>2015</v>
      </c>
      <c r="D203" s="50"/>
      <c r="E203" s="42"/>
      <c r="F203" s="42"/>
      <c r="G203" s="39"/>
      <c r="H203" s="320"/>
      <c r="I203" s="321"/>
      <c r="J203" s="322"/>
      <c r="K203" s="42"/>
      <c r="L203" s="99"/>
    </row>
    <row r="204" spans="1:14">
      <c r="A204" s="1987"/>
      <c r="B204" s="1988"/>
      <c r="C204" s="86">
        <v>2016</v>
      </c>
      <c r="D204" s="50"/>
      <c r="E204" s="42"/>
      <c r="F204" s="42"/>
      <c r="G204" s="39"/>
      <c r="H204" s="320"/>
      <c r="I204" s="321"/>
      <c r="J204" s="322"/>
      <c r="K204" s="42"/>
      <c r="L204" s="99"/>
    </row>
    <row r="205" spans="1:14">
      <c r="A205" s="1987"/>
      <c r="B205" s="1988"/>
      <c r="C205" s="86">
        <v>2017</v>
      </c>
      <c r="D205" s="50"/>
      <c r="E205" s="42"/>
      <c r="F205" s="42"/>
      <c r="G205" s="39"/>
      <c r="H205" s="320"/>
      <c r="I205" s="321"/>
      <c r="J205" s="322"/>
      <c r="K205" s="42"/>
      <c r="L205" s="99"/>
    </row>
    <row r="206" spans="1:14">
      <c r="A206" s="1987"/>
      <c r="B206" s="1988"/>
      <c r="C206" s="86">
        <v>2018</v>
      </c>
      <c r="D206" s="50"/>
      <c r="E206" s="42"/>
      <c r="F206" s="42"/>
      <c r="G206" s="39"/>
      <c r="H206" s="320"/>
      <c r="I206" s="321"/>
      <c r="J206" s="322"/>
      <c r="K206" s="42"/>
      <c r="L206" s="99"/>
    </row>
    <row r="207" spans="1:14">
      <c r="A207" s="1987"/>
      <c r="B207" s="1988"/>
      <c r="C207" s="86">
        <v>2019</v>
      </c>
      <c r="D207" s="50"/>
      <c r="E207" s="42"/>
      <c r="F207" s="42"/>
      <c r="G207" s="39"/>
      <c r="H207" s="320"/>
      <c r="I207" s="321"/>
      <c r="J207" s="322"/>
      <c r="K207" s="42"/>
      <c r="L207" s="99"/>
    </row>
    <row r="208" spans="1:14">
      <c r="A208" s="1987"/>
      <c r="B208" s="1988"/>
      <c r="C208" s="86">
        <v>2020</v>
      </c>
      <c r="D208" s="323"/>
      <c r="E208" s="324"/>
      <c r="F208" s="324"/>
      <c r="G208" s="325"/>
      <c r="H208" s="326"/>
      <c r="I208" s="327"/>
      <c r="J208" s="328"/>
      <c r="K208" s="324"/>
      <c r="L208" s="329"/>
    </row>
    <row r="209" spans="1:12" ht="20.25" customHeight="1" thickBot="1">
      <c r="A209" s="1989"/>
      <c r="B209" s="1990"/>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467" t="s">
        <v>145</v>
      </c>
      <c r="B212" s="331" t="s">
        <v>146</v>
      </c>
      <c r="C212" s="332">
        <v>2014</v>
      </c>
      <c r="D212" s="333">
        <v>2015</v>
      </c>
      <c r="E212" s="333">
        <v>2016</v>
      </c>
      <c r="F212" s="333">
        <v>2017</v>
      </c>
      <c r="G212" s="333">
        <v>2018</v>
      </c>
      <c r="H212" s="333">
        <v>2019</v>
      </c>
      <c r="I212" s="334">
        <v>2020</v>
      </c>
    </row>
    <row r="213" spans="1:12" ht="15" customHeight="1">
      <c r="A213" t="s">
        <v>147</v>
      </c>
      <c r="B213" s="2196"/>
      <c r="C213" s="84"/>
      <c r="D213" s="468">
        <v>368208.49</v>
      </c>
      <c r="E213" s="3023">
        <v>678805.6</v>
      </c>
      <c r="F213" s="147"/>
      <c r="G213" s="147"/>
      <c r="H213" s="147"/>
      <c r="I213" s="335"/>
    </row>
    <row r="214" spans="1:12">
      <c r="A214" t="s">
        <v>149</v>
      </c>
      <c r="B214" s="2168"/>
      <c r="C214" s="84"/>
      <c r="D214" s="468">
        <v>324695.67</v>
      </c>
      <c r="E214" s="147">
        <v>598978.98</v>
      </c>
      <c r="F214" s="147"/>
      <c r="G214" s="147"/>
      <c r="H214" s="147"/>
      <c r="I214" s="335"/>
    </row>
    <row r="215" spans="1:12">
      <c r="A215" t="s">
        <v>150</v>
      </c>
      <c r="B215" s="2168"/>
      <c r="C215" s="84"/>
      <c r="D215" s="468">
        <v>0</v>
      </c>
      <c r="E215" s="147">
        <v>10000.01</v>
      </c>
      <c r="F215" s="147"/>
      <c r="G215" s="147"/>
      <c r="H215" s="147"/>
      <c r="I215" s="335"/>
    </row>
    <row r="216" spans="1:12">
      <c r="A216" t="s">
        <v>151</v>
      </c>
      <c r="B216" s="2168"/>
      <c r="C216" s="84"/>
      <c r="D216" s="468">
        <v>43512.82</v>
      </c>
      <c r="E216" s="147">
        <v>15215.41</v>
      </c>
      <c r="F216" s="147"/>
      <c r="G216" s="147"/>
      <c r="H216" s="147"/>
      <c r="I216" s="335"/>
    </row>
    <row r="217" spans="1:12">
      <c r="A217" t="s">
        <v>152</v>
      </c>
      <c r="B217" s="2168"/>
      <c r="C217" s="84"/>
      <c r="D217" s="468">
        <v>0</v>
      </c>
      <c r="E217" s="147">
        <v>54611.11</v>
      </c>
      <c r="F217" s="147"/>
      <c r="G217" s="147"/>
      <c r="H217" s="147"/>
      <c r="I217" s="335"/>
    </row>
    <row r="218" spans="1:12" ht="30">
      <c r="A218" s="31" t="s">
        <v>153</v>
      </c>
      <c r="B218" s="2168"/>
      <c r="C218" s="84"/>
      <c r="D218" s="468">
        <v>111668.18</v>
      </c>
      <c r="E218" s="147">
        <v>219038.59</v>
      </c>
      <c r="F218" s="147"/>
      <c r="G218" s="147"/>
      <c r="H218" s="147"/>
      <c r="I218" s="335"/>
    </row>
    <row r="219" spans="1:12" ht="15.75" thickBot="1">
      <c r="A219" s="336"/>
      <c r="B219" s="2169"/>
      <c r="C219" s="54" t="s">
        <v>12</v>
      </c>
      <c r="D219" s="337">
        <f>SUM(D214:D218)</f>
        <v>479876.67</v>
      </c>
      <c r="E219" s="337">
        <f t="shared" ref="E219:I219" si="24">SUM(E214:E218)</f>
        <v>897844.1</v>
      </c>
      <c r="F219" s="337">
        <f t="shared" si="24"/>
        <v>0</v>
      </c>
      <c r="G219" s="337">
        <f t="shared" si="24"/>
        <v>0</v>
      </c>
      <c r="H219" s="337">
        <f t="shared" si="24"/>
        <v>0</v>
      </c>
      <c r="I219" s="337">
        <f t="shared" si="24"/>
        <v>0</v>
      </c>
    </row>
    <row r="227" spans="1:1">
      <c r="A227"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Y228"/>
  <sheetViews>
    <sheetView topLeftCell="A205" workbookViewId="0">
      <selection activeCell="E226" sqref="E226"/>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209</v>
      </c>
      <c r="C1" s="2077"/>
      <c r="D1" s="2077"/>
      <c r="E1" s="2077"/>
      <c r="F1" s="2077"/>
    </row>
    <row r="2" spans="1:25" s="2" customFormat="1" ht="20.100000000000001" customHeight="1" thickBot="1"/>
    <row r="3" spans="1:25" s="5" customFormat="1" ht="20.100000000000001" customHeight="1">
      <c r="A3" s="474" t="s">
        <v>1</v>
      </c>
      <c r="B3" s="475"/>
      <c r="C3" s="475"/>
      <c r="D3" s="475"/>
      <c r="E3" s="475"/>
      <c r="F3" s="2198"/>
      <c r="G3" s="2198"/>
      <c r="H3" s="2198"/>
      <c r="I3" s="2198"/>
      <c r="J3" s="2198"/>
      <c r="K3" s="2198"/>
      <c r="L3" s="2198"/>
      <c r="M3" s="2198"/>
      <c r="N3" s="2198"/>
      <c r="O3" s="2199"/>
    </row>
    <row r="4" spans="1:25" s="5" customFormat="1" ht="20.100000000000001" customHeight="1">
      <c r="A4" s="2080" t="s">
        <v>189</v>
      </c>
      <c r="B4" s="2081"/>
      <c r="C4" s="2081"/>
      <c r="D4" s="2081"/>
      <c r="E4" s="2081"/>
      <c r="F4" s="2081"/>
      <c r="G4" s="2081"/>
      <c r="H4" s="2081"/>
      <c r="I4" s="2081"/>
      <c r="J4" s="2081"/>
      <c r="K4" s="2081"/>
      <c r="L4" s="2081"/>
      <c r="M4" s="2081"/>
      <c r="N4" s="2081"/>
      <c r="O4" s="2082"/>
    </row>
    <row r="5" spans="1:25" s="5" customFormat="1" ht="20.100000000000001" customHeight="1">
      <c r="A5" s="2080"/>
      <c r="B5" s="2081"/>
      <c r="C5" s="2081"/>
      <c r="D5" s="2081"/>
      <c r="E5" s="2081"/>
      <c r="F5" s="2081"/>
      <c r="G5" s="2081"/>
      <c r="H5" s="2081"/>
      <c r="I5" s="2081"/>
      <c r="J5" s="2081"/>
      <c r="K5" s="2081"/>
      <c r="L5" s="2081"/>
      <c r="M5" s="2081"/>
      <c r="N5" s="2081"/>
      <c r="O5" s="2082"/>
    </row>
    <row r="6" spans="1:25" s="5" customFormat="1" ht="20.100000000000001" customHeight="1">
      <c r="A6" s="2080"/>
      <c r="B6" s="2081"/>
      <c r="C6" s="2081"/>
      <c r="D6" s="2081"/>
      <c r="E6" s="2081"/>
      <c r="F6" s="2081"/>
      <c r="G6" s="2081"/>
      <c r="H6" s="2081"/>
      <c r="I6" s="2081"/>
      <c r="J6" s="2081"/>
      <c r="K6" s="2081"/>
      <c r="L6" s="2081"/>
      <c r="M6" s="2081"/>
      <c r="N6" s="2081"/>
      <c r="O6" s="2082"/>
    </row>
    <row r="7" spans="1:25" s="5" customFormat="1" ht="20.100000000000001" customHeight="1">
      <c r="A7" s="2080"/>
      <c r="B7" s="2081"/>
      <c r="C7" s="2081"/>
      <c r="D7" s="2081"/>
      <c r="E7" s="2081"/>
      <c r="F7" s="2081"/>
      <c r="G7" s="2081"/>
      <c r="H7" s="2081"/>
      <c r="I7" s="2081"/>
      <c r="J7" s="2081"/>
      <c r="K7" s="2081"/>
      <c r="L7" s="2081"/>
      <c r="M7" s="2081"/>
      <c r="N7" s="2081"/>
      <c r="O7" s="2082"/>
    </row>
    <row r="8" spans="1:25" s="5" customFormat="1" ht="20.100000000000001" customHeight="1">
      <c r="A8" s="2080"/>
      <c r="B8" s="2081"/>
      <c r="C8" s="2081"/>
      <c r="D8" s="2081"/>
      <c r="E8" s="2081"/>
      <c r="F8" s="2081"/>
      <c r="G8" s="2081"/>
      <c r="H8" s="2081"/>
      <c r="I8" s="2081"/>
      <c r="J8" s="2081"/>
      <c r="K8" s="2081"/>
      <c r="L8" s="2081"/>
      <c r="M8" s="2081"/>
      <c r="N8" s="2081"/>
      <c r="O8" s="2082"/>
    </row>
    <row r="9" spans="1:25" s="5" customFormat="1" ht="20.100000000000001" customHeight="1">
      <c r="A9" s="2080"/>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476"/>
      <c r="B15" s="477"/>
      <c r="C15" s="11"/>
      <c r="D15" s="2142" t="s">
        <v>4</v>
      </c>
      <c r="E15" s="2200"/>
      <c r="F15" s="2200"/>
      <c r="G15" s="2200"/>
      <c r="H15" s="12"/>
      <c r="I15" s="13" t="s">
        <v>5</v>
      </c>
      <c r="J15" s="14"/>
      <c r="K15" s="14"/>
      <c r="L15" s="14"/>
      <c r="M15" s="14"/>
      <c r="N15" s="14"/>
      <c r="O15" s="15"/>
      <c r="P15" s="16"/>
      <c r="Q15" s="17"/>
      <c r="R15" s="18"/>
      <c r="S15" s="18"/>
      <c r="T15" s="18"/>
      <c r="U15" s="18"/>
      <c r="V15" s="18"/>
      <c r="W15" s="16"/>
      <c r="X15" s="16"/>
      <c r="Y15" s="17"/>
    </row>
    <row r="16" spans="1:25" s="31" customFormat="1" ht="129" customHeight="1">
      <c r="A16" s="20"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007" t="s">
        <v>190</v>
      </c>
      <c r="B17" s="19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987"/>
      <c r="B18" s="1988"/>
      <c r="C18" s="39">
        <v>2015</v>
      </c>
      <c r="D18" s="50">
        <v>16</v>
      </c>
      <c r="E18" s="42"/>
      <c r="F18" s="42"/>
      <c r="G18" s="35">
        <f>SUM(D18:F18)</f>
        <v>16</v>
      </c>
      <c r="H18" s="51"/>
      <c r="I18" s="42"/>
      <c r="J18" s="42"/>
      <c r="K18" s="42">
        <v>1</v>
      </c>
      <c r="L18" s="42"/>
      <c r="M18" s="42"/>
      <c r="N18" s="42"/>
      <c r="O18" s="52">
        <v>15</v>
      </c>
      <c r="P18" s="38"/>
      <c r="Q18" s="38"/>
      <c r="R18" s="38"/>
      <c r="S18" s="38"/>
      <c r="T18" s="38"/>
      <c r="U18" s="38"/>
      <c r="V18" s="38"/>
      <c r="W18" s="38"/>
      <c r="X18" s="38"/>
      <c r="Y18" s="38"/>
    </row>
    <row r="19" spans="1:25">
      <c r="A19" s="1987"/>
      <c r="B19" s="1988"/>
      <c r="C19" s="39">
        <v>2016</v>
      </c>
      <c r="D19" s="40">
        <v>40</v>
      </c>
      <c r="E19" s="41">
        <v>1</v>
      </c>
      <c r="F19" s="41"/>
      <c r="G19" s="35">
        <f t="shared" si="0"/>
        <v>41</v>
      </c>
      <c r="H19" s="43"/>
      <c r="I19" s="41">
        <v>2</v>
      </c>
      <c r="J19" s="41">
        <v>1</v>
      </c>
      <c r="K19" s="41">
        <v>2</v>
      </c>
      <c r="L19" s="41"/>
      <c r="M19" s="41"/>
      <c r="N19" s="41"/>
      <c r="O19" s="44">
        <v>36</v>
      </c>
      <c r="P19" s="38"/>
      <c r="Q19" s="38"/>
      <c r="R19" s="38"/>
      <c r="S19" s="38"/>
      <c r="T19" s="38"/>
      <c r="U19" s="38"/>
      <c r="V19" s="38"/>
      <c r="W19" s="38"/>
      <c r="X19" s="38"/>
      <c r="Y19" s="38"/>
    </row>
    <row r="20" spans="1:25">
      <c r="A20" s="1987"/>
      <c r="B20" s="1988"/>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1987"/>
      <c r="B21" s="1988"/>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1987"/>
      <c r="B22" s="1988"/>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1987"/>
      <c r="B23" s="1988"/>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19.5" customHeight="1" thickBot="1">
      <c r="A24" s="1989"/>
      <c r="B24" s="1990"/>
      <c r="C24" s="54" t="s">
        <v>12</v>
      </c>
      <c r="D24" s="55">
        <f>SUM(D18:D23)</f>
        <v>56</v>
      </c>
      <c r="E24" s="56">
        <f>SUM(E17:E23)</f>
        <v>1</v>
      </c>
      <c r="F24" s="56">
        <f>SUM(F17:F23)</f>
        <v>0</v>
      </c>
      <c r="G24" s="57">
        <f>SUM(D24:F24)</f>
        <v>57</v>
      </c>
      <c r="H24" s="58">
        <f>SUM(H17:H23)</f>
        <v>0</v>
      </c>
      <c r="I24" s="59">
        <f>SUM(I17:I23)</f>
        <v>2</v>
      </c>
      <c r="J24" s="59">
        <f t="shared" ref="J24:N24" si="1">SUM(J17:J23)</f>
        <v>1</v>
      </c>
      <c r="K24" s="59">
        <f t="shared" si="1"/>
        <v>3</v>
      </c>
      <c r="L24" s="59">
        <f t="shared" si="1"/>
        <v>0</v>
      </c>
      <c r="M24" s="59">
        <f t="shared" si="1"/>
        <v>0</v>
      </c>
      <c r="N24" s="59">
        <f t="shared" si="1"/>
        <v>0</v>
      </c>
      <c r="O24" s="60">
        <f>SUM(O17:O23)</f>
        <v>51</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476"/>
      <c r="B26" s="477"/>
      <c r="C26" s="63"/>
      <c r="D26" s="2146" t="s">
        <v>4</v>
      </c>
      <c r="E26" s="2201"/>
      <c r="F26" s="2201"/>
      <c r="G26" s="2202"/>
      <c r="H26" s="16"/>
      <c r="I26" s="17"/>
      <c r="J26" s="18"/>
      <c r="K26" s="18"/>
      <c r="L26" s="18"/>
      <c r="M26" s="18"/>
      <c r="N26" s="18"/>
      <c r="O26" s="16"/>
      <c r="P26" s="16"/>
    </row>
    <row r="27" spans="1:25" s="31" customFormat="1" ht="93" customHeight="1">
      <c r="A27" s="64"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007" t="s">
        <v>191</v>
      </c>
      <c r="B28" s="1988"/>
      <c r="C28" s="68">
        <v>2014</v>
      </c>
      <c r="D28" s="36"/>
      <c r="E28" s="34"/>
      <c r="F28" s="34"/>
      <c r="G28" s="69">
        <f>SUM(D28:F28)</f>
        <v>0</v>
      </c>
      <c r="H28" s="38"/>
      <c r="I28" s="38"/>
      <c r="J28" s="38"/>
      <c r="K28" s="38"/>
      <c r="L28" s="38"/>
      <c r="M28" s="38"/>
      <c r="N28" s="38"/>
      <c r="O28" s="38"/>
      <c r="P28" s="38"/>
      <c r="Q28" s="8"/>
    </row>
    <row r="29" spans="1:25">
      <c r="A29" s="1987"/>
      <c r="B29" s="1988"/>
      <c r="C29" s="70">
        <v>2015</v>
      </c>
      <c r="D29" s="51">
        <v>5450</v>
      </c>
      <c r="E29" s="42"/>
      <c r="F29" s="42"/>
      <c r="G29" s="69">
        <f t="shared" ref="G29:G35" si="2">SUM(D29:F29)</f>
        <v>5450</v>
      </c>
      <c r="H29" s="38"/>
      <c r="I29" s="38"/>
      <c r="J29" s="38"/>
      <c r="K29" s="38"/>
      <c r="L29" s="38"/>
      <c r="M29" s="38"/>
      <c r="N29" s="38"/>
      <c r="O29" s="38"/>
      <c r="P29" s="38"/>
      <c r="Q29" s="8"/>
    </row>
    <row r="30" spans="1:25">
      <c r="A30" s="1987"/>
      <c r="B30" s="1988"/>
      <c r="C30" s="70">
        <v>2016</v>
      </c>
      <c r="D30" s="43">
        <v>14345</v>
      </c>
      <c r="E30" s="41">
        <v>20040</v>
      </c>
      <c r="F30" s="41"/>
      <c r="G30" s="69">
        <f t="shared" si="2"/>
        <v>34385</v>
      </c>
      <c r="H30" s="38"/>
      <c r="I30" s="38"/>
      <c r="J30" s="38"/>
      <c r="K30" s="38"/>
      <c r="L30" s="38"/>
      <c r="M30" s="38"/>
      <c r="N30" s="38"/>
      <c r="O30" s="38"/>
      <c r="P30" s="38"/>
      <c r="Q30" s="8"/>
    </row>
    <row r="31" spans="1:25">
      <c r="A31" s="1987"/>
      <c r="B31" s="1988"/>
      <c r="C31" s="70">
        <v>2017</v>
      </c>
      <c r="D31" s="51"/>
      <c r="E31" s="42"/>
      <c r="F31" s="42"/>
      <c r="G31" s="69">
        <f t="shared" si="2"/>
        <v>0</v>
      </c>
      <c r="H31" s="38"/>
      <c r="I31" s="38"/>
      <c r="J31" s="38"/>
      <c r="K31" s="38"/>
      <c r="L31" s="38"/>
      <c r="M31" s="38"/>
      <c r="N31" s="38"/>
      <c r="O31" s="38"/>
      <c r="P31" s="38"/>
      <c r="Q31" s="8"/>
    </row>
    <row r="32" spans="1:25">
      <c r="A32" s="1987"/>
      <c r="B32" s="1988"/>
      <c r="C32" s="70">
        <v>2018</v>
      </c>
      <c r="D32" s="51"/>
      <c r="E32" s="42"/>
      <c r="F32" s="42"/>
      <c r="G32" s="69">
        <f>SUM(D32:F32)</f>
        <v>0</v>
      </c>
      <c r="H32" s="38"/>
      <c r="I32" s="38"/>
      <c r="J32" s="38"/>
      <c r="K32" s="38"/>
      <c r="L32" s="38"/>
      <c r="M32" s="38"/>
      <c r="N32" s="38"/>
      <c r="O32" s="38"/>
      <c r="P32" s="38"/>
      <c r="Q32" s="8"/>
    </row>
    <row r="33" spans="1:17">
      <c r="A33" s="1987"/>
      <c r="B33" s="1988"/>
      <c r="C33" s="72">
        <v>2019</v>
      </c>
      <c r="D33" s="51"/>
      <c r="E33" s="42"/>
      <c r="F33" s="42"/>
      <c r="G33" s="69">
        <f t="shared" si="2"/>
        <v>0</v>
      </c>
      <c r="H33" s="38"/>
      <c r="I33" s="38"/>
      <c r="J33" s="38"/>
      <c r="K33" s="38"/>
      <c r="L33" s="38"/>
      <c r="M33" s="38"/>
      <c r="N33" s="38"/>
      <c r="O33" s="38"/>
      <c r="P33" s="38"/>
      <c r="Q33" s="8"/>
    </row>
    <row r="34" spans="1:17">
      <c r="A34" s="1987"/>
      <c r="B34" s="1988"/>
      <c r="C34" s="70">
        <v>2020</v>
      </c>
      <c r="D34" s="51"/>
      <c r="E34" s="42"/>
      <c r="F34" s="42"/>
      <c r="G34" s="69">
        <f t="shared" si="2"/>
        <v>0</v>
      </c>
      <c r="H34" s="38"/>
      <c r="I34" s="38"/>
      <c r="J34" s="38"/>
      <c r="K34" s="38"/>
      <c r="L34" s="38"/>
      <c r="M34" s="38"/>
      <c r="N34" s="38"/>
      <c r="O34" s="38"/>
      <c r="P34" s="38"/>
      <c r="Q34" s="8"/>
    </row>
    <row r="35" spans="1:17" ht="20.25" customHeight="1" thickBot="1">
      <c r="A35" s="1989"/>
      <c r="B35" s="1990"/>
      <c r="C35" s="73" t="s">
        <v>12</v>
      </c>
      <c r="D35" s="58">
        <f>SUM(D28:D34)</f>
        <v>19795</v>
      </c>
      <c r="E35" s="56">
        <f>SUM(E28:E34)</f>
        <v>20040</v>
      </c>
      <c r="F35" s="56">
        <f>SUM(F28:F34)</f>
        <v>0</v>
      </c>
      <c r="G35" s="60">
        <f t="shared" si="2"/>
        <v>39835</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478" t="s">
        <v>25</v>
      </c>
      <c r="B39" s="479" t="s">
        <v>7</v>
      </c>
      <c r="C39" s="80" t="s">
        <v>8</v>
      </c>
      <c r="D39" s="418" t="s">
        <v>26</v>
      </c>
      <c r="E39" s="352" t="s">
        <v>27</v>
      </c>
      <c r="F39" s="353"/>
      <c r="G39" s="30"/>
      <c r="H39" s="30"/>
    </row>
    <row r="40" spans="1:17">
      <c r="A40" s="2007"/>
      <c r="B40" s="1988"/>
      <c r="C40" s="84">
        <v>2014</v>
      </c>
      <c r="D40" s="33"/>
      <c r="E40" s="32"/>
      <c r="F40" s="8"/>
      <c r="G40" s="38"/>
      <c r="H40" s="38"/>
    </row>
    <row r="41" spans="1:17">
      <c r="A41" s="1987"/>
      <c r="B41" s="1988"/>
      <c r="C41" s="86">
        <v>2015</v>
      </c>
      <c r="D41" s="50">
        <v>48116</v>
      </c>
      <c r="E41" s="39">
        <v>31649</v>
      </c>
      <c r="F41" s="8"/>
      <c r="G41" s="38"/>
      <c r="H41" s="38"/>
    </row>
    <row r="42" spans="1:17">
      <c r="A42" s="1987"/>
      <c r="B42" s="1988"/>
      <c r="C42" s="86">
        <v>2016</v>
      </c>
      <c r="D42" s="40">
        <v>66322</v>
      </c>
      <c r="E42" s="480">
        <v>29167</v>
      </c>
      <c r="F42" s="8"/>
      <c r="G42" s="38"/>
      <c r="H42" s="38"/>
    </row>
    <row r="43" spans="1:17">
      <c r="A43" s="1987"/>
      <c r="B43" s="1988"/>
      <c r="C43" s="86">
        <v>2017</v>
      </c>
      <c r="D43" s="50"/>
      <c r="E43" s="39"/>
      <c r="F43" s="8"/>
      <c r="G43" s="38"/>
      <c r="H43" s="38"/>
    </row>
    <row r="44" spans="1:17">
      <c r="A44" s="1987"/>
      <c r="B44" s="1988"/>
      <c r="C44" s="86">
        <v>2018</v>
      </c>
      <c r="D44" s="50"/>
      <c r="E44" s="39"/>
      <c r="F44" s="8"/>
      <c r="G44" s="38"/>
      <c r="H44" s="38"/>
    </row>
    <row r="45" spans="1:17">
      <c r="A45" s="1987"/>
      <c r="B45" s="1988"/>
      <c r="C45" s="86">
        <v>2019</v>
      </c>
      <c r="D45" s="50"/>
      <c r="E45" s="39"/>
      <c r="F45" s="8"/>
      <c r="G45" s="38"/>
      <c r="H45" s="38"/>
    </row>
    <row r="46" spans="1:17">
      <c r="A46" s="1987"/>
      <c r="B46" s="1988"/>
      <c r="C46" s="86">
        <v>2020</v>
      </c>
      <c r="D46" s="50"/>
      <c r="E46" s="39"/>
      <c r="F46" s="8"/>
      <c r="G46" s="38"/>
      <c r="H46" s="38"/>
    </row>
    <row r="47" spans="1:17" ht="15.75" thickBot="1">
      <c r="A47" s="1989"/>
      <c r="B47" s="1990"/>
      <c r="C47" s="54" t="s">
        <v>12</v>
      </c>
      <c r="D47" s="55">
        <f>SUM(D40:D46)</f>
        <v>114438</v>
      </c>
      <c r="E47" s="419">
        <f>SUM(E40:E46)</f>
        <v>60816</v>
      </c>
      <c r="F47" s="121"/>
      <c r="G47" s="38"/>
      <c r="H47" s="38"/>
    </row>
    <row r="48" spans="1:17" s="38" customFormat="1" ht="15.75" thickBot="1">
      <c r="A48" s="481"/>
      <c r="B48" s="92"/>
      <c r="C48" s="93"/>
    </row>
    <row r="49" spans="1:15" ht="83.25" customHeight="1">
      <c r="A49" s="94" t="s">
        <v>29</v>
      </c>
      <c r="B49" s="479" t="s">
        <v>7</v>
      </c>
      <c r="C49" s="95" t="s">
        <v>8</v>
      </c>
      <c r="D49" s="418" t="s">
        <v>30</v>
      </c>
      <c r="E49" s="96" t="s">
        <v>31</v>
      </c>
      <c r="F49" s="96" t="s">
        <v>32</v>
      </c>
      <c r="G49" s="96" t="s">
        <v>33</v>
      </c>
      <c r="H49" s="96" t="s">
        <v>34</v>
      </c>
      <c r="I49" s="96" t="s">
        <v>35</v>
      </c>
      <c r="J49" s="96" t="s">
        <v>36</v>
      </c>
      <c r="K49" s="97" t="s">
        <v>37</v>
      </c>
    </row>
    <row r="50" spans="1:15" ht="17.25" customHeight="1">
      <c r="A50" s="2005"/>
      <c r="B50" s="2012"/>
      <c r="C50" s="98" t="s">
        <v>38</v>
      </c>
      <c r="D50" s="33"/>
      <c r="E50" s="34"/>
      <c r="F50" s="34"/>
      <c r="G50" s="34"/>
      <c r="H50" s="34"/>
      <c r="I50" s="34"/>
      <c r="J50" s="34"/>
      <c r="K50" s="37"/>
    </row>
    <row r="51" spans="1:15" ht="15" customHeight="1">
      <c r="A51" s="2007"/>
      <c r="B51" s="2014"/>
      <c r="C51" s="86">
        <v>2014</v>
      </c>
      <c r="D51" s="50"/>
      <c r="E51" s="42"/>
      <c r="F51" s="42"/>
      <c r="G51" s="42"/>
      <c r="H51" s="42"/>
      <c r="I51" s="42"/>
      <c r="J51" s="42"/>
      <c r="K51" s="99"/>
    </row>
    <row r="52" spans="1:15">
      <c r="A52" s="2007"/>
      <c r="B52" s="2014"/>
      <c r="C52" s="86">
        <v>2015</v>
      </c>
      <c r="D52" s="50"/>
      <c r="E52" s="42"/>
      <c r="F52" s="42"/>
      <c r="G52" s="42"/>
      <c r="H52" s="42"/>
      <c r="I52" s="42"/>
      <c r="J52" s="42"/>
      <c r="K52" s="99"/>
    </row>
    <row r="53" spans="1:15">
      <c r="A53" s="2007"/>
      <c r="B53" s="2014"/>
      <c r="C53" s="86">
        <v>2016</v>
      </c>
      <c r="D53" s="50"/>
      <c r="E53" s="42"/>
      <c r="F53" s="42"/>
      <c r="G53" s="42"/>
      <c r="H53" s="42"/>
      <c r="I53" s="42"/>
      <c r="J53" s="42"/>
      <c r="K53" s="99"/>
    </row>
    <row r="54" spans="1:15">
      <c r="A54" s="2007"/>
      <c r="B54" s="2014"/>
      <c r="C54" s="86">
        <v>2017</v>
      </c>
      <c r="D54" s="50"/>
      <c r="E54" s="42"/>
      <c r="F54" s="42"/>
      <c r="G54" s="42"/>
      <c r="H54" s="42"/>
      <c r="I54" s="42"/>
      <c r="J54" s="42"/>
      <c r="K54" s="99"/>
    </row>
    <row r="55" spans="1:15">
      <c r="A55" s="2007"/>
      <c r="B55" s="2014"/>
      <c r="C55" s="86">
        <v>2018</v>
      </c>
      <c r="D55" s="50"/>
      <c r="E55" s="42"/>
      <c r="F55" s="42"/>
      <c r="G55" s="42"/>
      <c r="H55" s="42"/>
      <c r="I55" s="42"/>
      <c r="J55" s="42"/>
      <c r="K55" s="99"/>
    </row>
    <row r="56" spans="1:15">
      <c r="A56" s="2007"/>
      <c r="B56" s="2014"/>
      <c r="C56" s="86">
        <v>2019</v>
      </c>
      <c r="D56" s="50"/>
      <c r="E56" s="42"/>
      <c r="F56" s="42"/>
      <c r="G56" s="42"/>
      <c r="H56" s="42"/>
      <c r="I56" s="42"/>
      <c r="J56" s="42"/>
      <c r="K56" s="99"/>
    </row>
    <row r="57" spans="1:15">
      <c r="A57" s="2007"/>
      <c r="B57" s="2014"/>
      <c r="C57" s="86">
        <v>2020</v>
      </c>
      <c r="D57" s="50"/>
      <c r="E57" s="42"/>
      <c r="F57" s="42"/>
      <c r="G57" s="42"/>
      <c r="H57" s="42"/>
      <c r="I57" s="42"/>
      <c r="J57" s="42"/>
      <c r="K57" s="100"/>
    </row>
    <row r="58" spans="1:15" ht="20.25" customHeight="1" thickBot="1">
      <c r="A58" s="2009"/>
      <c r="B58" s="2016"/>
      <c r="C58" s="54" t="s">
        <v>12</v>
      </c>
      <c r="D58" s="55">
        <f>SUM(D51:D57)</f>
        <v>0</v>
      </c>
      <c r="E58" s="56">
        <f>SUM(E51:E57)</f>
        <v>0</v>
      </c>
      <c r="F58" s="56">
        <f>SUM(F51:F57)</f>
        <v>0</v>
      </c>
      <c r="G58" s="56">
        <f>SUM(G51:G57)</f>
        <v>0</v>
      </c>
      <c r="H58" s="56">
        <f>SUM(H51:H57)</f>
        <v>0</v>
      </c>
      <c r="I58" s="56">
        <f t="shared" ref="I58" si="3">SUM(I51:I57)</f>
        <v>0</v>
      </c>
      <c r="J58" s="56">
        <f>SUM(J51:J57)</f>
        <v>0</v>
      </c>
      <c r="K58" s="60">
        <f>SUM(K50:K56)</f>
        <v>0</v>
      </c>
    </row>
    <row r="59" spans="1:15" ht="15.75" thickBot="1"/>
    <row r="60" spans="1:15" ht="21" customHeight="1">
      <c r="A60" s="2203" t="s">
        <v>39</v>
      </c>
      <c r="B60" s="482"/>
      <c r="C60" s="2204" t="s">
        <v>8</v>
      </c>
      <c r="D60" s="2197" t="s">
        <v>40</v>
      </c>
      <c r="E60" s="483" t="s">
        <v>5</v>
      </c>
      <c r="F60" s="484"/>
      <c r="G60" s="484"/>
      <c r="H60" s="484"/>
      <c r="I60" s="484"/>
      <c r="J60" s="484"/>
      <c r="K60" s="484"/>
      <c r="L60" s="485"/>
    </row>
    <row r="61" spans="1:15" ht="115.5" customHeight="1">
      <c r="A61" s="2100"/>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064" t="s">
        <v>192</v>
      </c>
      <c r="B62" s="2065"/>
      <c r="C62" s="112">
        <v>2014</v>
      </c>
      <c r="D62" s="113"/>
      <c r="E62" s="114"/>
      <c r="F62" s="115"/>
      <c r="G62" s="115"/>
      <c r="H62" s="115"/>
      <c r="I62" s="115"/>
      <c r="J62" s="115"/>
      <c r="K62" s="115"/>
      <c r="L62" s="37"/>
      <c r="M62" s="8"/>
      <c r="N62" s="8"/>
      <c r="O62" s="8"/>
    </row>
    <row r="63" spans="1:15">
      <c r="A63" s="2066"/>
      <c r="B63" s="2065"/>
      <c r="C63" s="116">
        <v>2015</v>
      </c>
      <c r="D63" s="117"/>
      <c r="E63" s="118"/>
      <c r="F63" s="42"/>
      <c r="G63" s="42"/>
      <c r="H63" s="42"/>
      <c r="I63" s="42"/>
      <c r="J63" s="42"/>
      <c r="K63" s="42"/>
      <c r="L63" s="99"/>
      <c r="M63" s="8"/>
      <c r="N63" s="8"/>
      <c r="O63" s="8"/>
    </row>
    <row r="64" spans="1:15">
      <c r="A64" s="2066"/>
      <c r="B64" s="2065"/>
      <c r="C64" s="116">
        <v>2016</v>
      </c>
      <c r="D64" s="119">
        <v>12</v>
      </c>
      <c r="E64" s="120"/>
      <c r="F64" s="41">
        <v>2</v>
      </c>
      <c r="G64" s="41"/>
      <c r="H64" s="41"/>
      <c r="I64" s="41"/>
      <c r="J64" s="41"/>
      <c r="K64" s="41"/>
      <c r="L64" s="44">
        <v>10</v>
      </c>
      <c r="M64" s="8"/>
      <c r="N64" s="8"/>
      <c r="O64" s="8"/>
    </row>
    <row r="65" spans="1:20">
      <c r="A65" s="2066"/>
      <c r="B65" s="2065"/>
      <c r="C65" s="116">
        <v>2017</v>
      </c>
      <c r="D65" s="117"/>
      <c r="E65" s="118"/>
      <c r="F65" s="42"/>
      <c r="G65" s="42"/>
      <c r="H65" s="42"/>
      <c r="I65" s="42"/>
      <c r="J65" s="42"/>
      <c r="K65" s="42"/>
      <c r="L65" s="99"/>
      <c r="M65" s="8"/>
      <c r="N65" s="8"/>
      <c r="O65" s="8"/>
    </row>
    <row r="66" spans="1:20">
      <c r="A66" s="2066"/>
      <c r="B66" s="2065"/>
      <c r="C66" s="116">
        <v>2018</v>
      </c>
      <c r="D66" s="117"/>
      <c r="E66" s="118"/>
      <c r="F66" s="42"/>
      <c r="G66" s="42"/>
      <c r="H66" s="42"/>
      <c r="I66" s="42"/>
      <c r="J66" s="42"/>
      <c r="K66" s="42"/>
      <c r="L66" s="99"/>
      <c r="M66" s="8"/>
      <c r="N66" s="8"/>
      <c r="O66" s="8"/>
    </row>
    <row r="67" spans="1:20" ht="17.25" customHeight="1">
      <c r="A67" s="2066"/>
      <c r="B67" s="2065"/>
      <c r="C67" s="116">
        <v>2019</v>
      </c>
      <c r="D67" s="117"/>
      <c r="E67" s="118"/>
      <c r="F67" s="42"/>
      <c r="G67" s="42"/>
      <c r="H67" s="42"/>
      <c r="I67" s="42"/>
      <c r="J67" s="42"/>
      <c r="K67" s="42"/>
      <c r="L67" s="99"/>
      <c r="M67" s="8"/>
      <c r="N67" s="8"/>
      <c r="O67" s="8"/>
    </row>
    <row r="68" spans="1:20" ht="16.5" customHeight="1">
      <c r="A68" s="2066"/>
      <c r="B68" s="2065"/>
      <c r="C68" s="116">
        <v>2020</v>
      </c>
      <c r="D68" s="117"/>
      <c r="E68" s="118"/>
      <c r="F68" s="42"/>
      <c r="G68" s="42"/>
      <c r="H68" s="42"/>
      <c r="I68" s="42"/>
      <c r="J68" s="42"/>
      <c r="K68" s="42"/>
      <c r="L68" s="99"/>
      <c r="M68" s="121"/>
      <c r="N68" s="121"/>
      <c r="O68" s="121"/>
    </row>
    <row r="69" spans="1:20" ht="18" customHeight="1" thickBot="1">
      <c r="A69" s="2067"/>
      <c r="B69" s="2068"/>
      <c r="C69" s="122" t="s">
        <v>12</v>
      </c>
      <c r="D69" s="123">
        <f>SUM(D62:D68)</f>
        <v>12</v>
      </c>
      <c r="E69" s="124">
        <f>SUM(E62:E68)</f>
        <v>0</v>
      </c>
      <c r="F69" s="125">
        <f t="shared" ref="F69:I69" si="4">SUM(F62:F68)</f>
        <v>2</v>
      </c>
      <c r="G69" s="125">
        <f t="shared" si="4"/>
        <v>0</v>
      </c>
      <c r="H69" s="125">
        <f t="shared" si="4"/>
        <v>0</v>
      </c>
      <c r="I69" s="125">
        <f t="shared" si="4"/>
        <v>0</v>
      </c>
      <c r="J69" s="125"/>
      <c r="K69" s="125">
        <f>SUM(K62:K68)</f>
        <v>0</v>
      </c>
      <c r="L69" s="126">
        <f>SUM(L62:L68)</f>
        <v>10</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486" t="s">
        <v>42</v>
      </c>
      <c r="B71" s="487" t="s">
        <v>7</v>
      </c>
      <c r="C71" s="80" t="s">
        <v>8</v>
      </c>
      <c r="D71" s="132" t="s">
        <v>43</v>
      </c>
      <c r="E71" s="132" t="s">
        <v>44</v>
      </c>
      <c r="F71" s="133" t="s">
        <v>45</v>
      </c>
      <c r="G71" s="488" t="s">
        <v>46</v>
      </c>
      <c r="H71" s="135" t="s">
        <v>13</v>
      </c>
      <c r="I71" s="136" t="s">
        <v>14</v>
      </c>
      <c r="J71" s="137" t="s">
        <v>15</v>
      </c>
      <c r="K71" s="136" t="s">
        <v>16</v>
      </c>
      <c r="L71" s="136" t="s">
        <v>17</v>
      </c>
      <c r="M71" s="138" t="s">
        <v>18</v>
      </c>
      <c r="N71" s="137" t="s">
        <v>19</v>
      </c>
      <c r="O71" s="139" t="s">
        <v>20</v>
      </c>
    </row>
    <row r="72" spans="1:20" ht="15" customHeight="1">
      <c r="A72" s="2069" t="s">
        <v>193</v>
      </c>
      <c r="B72" s="2065"/>
      <c r="C72" s="84">
        <v>2014</v>
      </c>
      <c r="D72" s="140"/>
      <c r="E72" s="140"/>
      <c r="F72" s="140"/>
      <c r="G72" s="141">
        <f>SUM(D72:F72)</f>
        <v>0</v>
      </c>
      <c r="H72" s="33"/>
      <c r="I72" s="142"/>
      <c r="J72" s="115"/>
      <c r="K72" s="115"/>
      <c r="L72" s="115"/>
      <c r="M72" s="115"/>
      <c r="N72" s="115"/>
      <c r="O72" s="143"/>
    </row>
    <row r="73" spans="1:20">
      <c r="A73" s="2070"/>
      <c r="B73" s="2065"/>
      <c r="C73" s="86">
        <v>2015</v>
      </c>
      <c r="D73" s="144"/>
      <c r="E73" s="144"/>
      <c r="F73" s="144">
        <v>6</v>
      </c>
      <c r="G73" s="141">
        <f t="shared" ref="G73:G78" si="5">SUM(D73:F73)</f>
        <v>6</v>
      </c>
      <c r="H73" s="50"/>
      <c r="I73" s="50"/>
      <c r="J73" s="42"/>
      <c r="K73" s="42"/>
      <c r="L73" s="42"/>
      <c r="M73" s="42"/>
      <c r="N73" s="42"/>
      <c r="O73" s="99">
        <v>6</v>
      </c>
    </row>
    <row r="74" spans="1:20">
      <c r="A74" s="2070"/>
      <c r="B74" s="2065"/>
      <c r="C74" s="86">
        <v>2016</v>
      </c>
      <c r="D74" s="145">
        <v>1</v>
      </c>
      <c r="E74" s="145">
        <v>7</v>
      </c>
      <c r="F74" s="145">
        <v>2</v>
      </c>
      <c r="G74" s="141">
        <f t="shared" si="5"/>
        <v>10</v>
      </c>
      <c r="H74" s="45"/>
      <c r="I74" s="45">
        <v>4</v>
      </c>
      <c r="J74" s="46">
        <v>4</v>
      </c>
      <c r="K74" s="46"/>
      <c r="L74" s="46"/>
      <c r="M74" s="46"/>
      <c r="N74" s="46"/>
      <c r="O74" s="49">
        <v>2</v>
      </c>
    </row>
    <row r="75" spans="1:20">
      <c r="A75" s="2070"/>
      <c r="B75" s="2065"/>
      <c r="C75" s="86">
        <v>2017</v>
      </c>
      <c r="D75" s="147"/>
      <c r="E75" s="147"/>
      <c r="F75" s="147"/>
      <c r="G75" s="141">
        <f t="shared" si="5"/>
        <v>0</v>
      </c>
      <c r="H75" s="50"/>
      <c r="I75" s="50"/>
      <c r="J75" s="42"/>
      <c r="K75" s="42"/>
      <c r="L75" s="42"/>
      <c r="M75" s="42"/>
      <c r="N75" s="42"/>
      <c r="O75" s="99"/>
    </row>
    <row r="76" spans="1:20">
      <c r="A76" s="2070"/>
      <c r="B76" s="2065"/>
      <c r="C76" s="86">
        <v>2018</v>
      </c>
      <c r="D76" s="147"/>
      <c r="E76" s="147"/>
      <c r="F76" s="147"/>
      <c r="G76" s="141">
        <f t="shared" si="5"/>
        <v>0</v>
      </c>
      <c r="H76" s="50"/>
      <c r="I76" s="50"/>
      <c r="J76" s="42"/>
      <c r="K76" s="42"/>
      <c r="L76" s="42"/>
      <c r="M76" s="42"/>
      <c r="N76" s="42"/>
      <c r="O76" s="99"/>
    </row>
    <row r="77" spans="1:20" ht="15.75" customHeight="1">
      <c r="A77" s="2070"/>
      <c r="B77" s="2065"/>
      <c r="C77" s="86">
        <v>2019</v>
      </c>
      <c r="D77" s="147"/>
      <c r="E77" s="147"/>
      <c r="F77" s="147"/>
      <c r="G77" s="141">
        <f t="shared" si="5"/>
        <v>0</v>
      </c>
      <c r="H77" s="50"/>
      <c r="I77" s="50"/>
      <c r="J77" s="42"/>
      <c r="K77" s="42"/>
      <c r="L77" s="42"/>
      <c r="M77" s="42"/>
      <c r="N77" s="42"/>
      <c r="O77" s="99"/>
    </row>
    <row r="78" spans="1:20" ht="17.25" customHeight="1">
      <c r="A78" s="2070"/>
      <c r="B78" s="2065"/>
      <c r="C78" s="86">
        <v>2020</v>
      </c>
      <c r="D78" s="147"/>
      <c r="E78" s="147"/>
      <c r="F78" s="147"/>
      <c r="G78" s="141">
        <f t="shared" si="5"/>
        <v>0</v>
      </c>
      <c r="H78" s="50"/>
      <c r="I78" s="50"/>
      <c r="J78" s="42"/>
      <c r="K78" s="42"/>
      <c r="L78" s="42"/>
      <c r="M78" s="42"/>
      <c r="N78" s="42"/>
      <c r="O78" s="99"/>
    </row>
    <row r="79" spans="1:20" ht="20.25" customHeight="1" thickBot="1">
      <c r="A79" s="2067"/>
      <c r="B79" s="2068"/>
      <c r="C79" s="148" t="s">
        <v>12</v>
      </c>
      <c r="D79" s="123">
        <f>SUM(D72:D78)</f>
        <v>1</v>
      </c>
      <c r="E79" s="123">
        <f>SUM(E72:E78)</f>
        <v>7</v>
      </c>
      <c r="F79" s="123">
        <f>SUM(F72:F78)</f>
        <v>8</v>
      </c>
      <c r="G79" s="149">
        <f>SUM(G72:G78)</f>
        <v>16</v>
      </c>
      <c r="H79" s="150">
        <v>0</v>
      </c>
      <c r="I79" s="151">
        <f t="shared" ref="I79:O79" si="6">SUM(I72:I78)</f>
        <v>4</v>
      </c>
      <c r="J79" s="125">
        <f t="shared" si="6"/>
        <v>4</v>
      </c>
      <c r="K79" s="125">
        <f t="shared" si="6"/>
        <v>0</v>
      </c>
      <c r="L79" s="125">
        <f t="shared" si="6"/>
        <v>0</v>
      </c>
      <c r="M79" s="125">
        <f t="shared" si="6"/>
        <v>0</v>
      </c>
      <c r="N79" s="125">
        <f t="shared" si="6"/>
        <v>0</v>
      </c>
      <c r="O79" s="126">
        <f t="shared" si="6"/>
        <v>8</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489" t="s">
        <v>49</v>
      </c>
      <c r="B84" s="490" t="s">
        <v>50</v>
      </c>
      <c r="C84" s="161" t="s">
        <v>8</v>
      </c>
      <c r="D84" s="491" t="s">
        <v>51</v>
      </c>
      <c r="E84" s="163" t="s">
        <v>52</v>
      </c>
      <c r="F84" s="164" t="s">
        <v>53</v>
      </c>
      <c r="G84" s="164" t="s">
        <v>54</v>
      </c>
      <c r="H84" s="164" t="s">
        <v>55</v>
      </c>
      <c r="I84" s="164" t="s">
        <v>56</v>
      </c>
      <c r="J84" s="164" t="s">
        <v>57</v>
      </c>
      <c r="K84" s="165" t="s">
        <v>58</v>
      </c>
    </row>
    <row r="85" spans="1:16" ht="15" customHeight="1">
      <c r="A85" s="2071"/>
      <c r="B85" s="2025"/>
      <c r="C85" s="84">
        <v>2014</v>
      </c>
      <c r="D85" s="166"/>
      <c r="E85" s="167"/>
      <c r="F85" s="34"/>
      <c r="G85" s="34"/>
      <c r="H85" s="34"/>
      <c r="I85" s="34"/>
      <c r="J85" s="34"/>
      <c r="K85" s="37"/>
    </row>
    <row r="86" spans="1:16">
      <c r="A86" s="2072"/>
      <c r="B86" s="2025"/>
      <c r="C86" s="86">
        <v>2015</v>
      </c>
      <c r="D86" s="168"/>
      <c r="E86" s="118"/>
      <c r="F86" s="42"/>
      <c r="G86" s="42"/>
      <c r="H86" s="42"/>
      <c r="I86" s="42"/>
      <c r="J86" s="42"/>
      <c r="K86" s="99"/>
    </row>
    <row r="87" spans="1:16">
      <c r="A87" s="2072"/>
      <c r="B87" s="2025"/>
      <c r="C87" s="86">
        <v>2016</v>
      </c>
      <c r="D87" s="168"/>
      <c r="E87" s="118"/>
      <c r="F87" s="42"/>
      <c r="G87" s="42"/>
      <c r="H87" s="42"/>
      <c r="I87" s="42"/>
      <c r="J87" s="42"/>
      <c r="K87" s="99"/>
    </row>
    <row r="88" spans="1:16">
      <c r="A88" s="2072"/>
      <c r="B88" s="2025"/>
      <c r="C88" s="86">
        <v>2017</v>
      </c>
      <c r="D88" s="168"/>
      <c r="E88" s="118"/>
      <c r="F88" s="42"/>
      <c r="G88" s="42"/>
      <c r="H88" s="42"/>
      <c r="I88" s="42"/>
      <c r="J88" s="42"/>
      <c r="K88" s="99"/>
    </row>
    <row r="89" spans="1:16">
      <c r="A89" s="2072"/>
      <c r="B89" s="2025"/>
      <c r="C89" s="86">
        <v>2018</v>
      </c>
      <c r="D89" s="168"/>
      <c r="E89" s="118"/>
      <c r="F89" s="42"/>
      <c r="G89" s="42"/>
      <c r="H89" s="42"/>
      <c r="I89" s="42"/>
      <c r="J89" s="42"/>
      <c r="K89" s="99"/>
    </row>
    <row r="90" spans="1:16">
      <c r="A90" s="2072"/>
      <c r="B90" s="2025"/>
      <c r="C90" s="86">
        <v>2019</v>
      </c>
      <c r="D90" s="168"/>
      <c r="E90" s="118"/>
      <c r="F90" s="42"/>
      <c r="G90" s="42"/>
      <c r="H90" s="42"/>
      <c r="I90" s="42"/>
      <c r="J90" s="42"/>
      <c r="K90" s="99"/>
    </row>
    <row r="91" spans="1:16">
      <c r="A91" s="2072"/>
      <c r="B91" s="2025"/>
      <c r="C91" s="86">
        <v>2020</v>
      </c>
      <c r="D91" s="168"/>
      <c r="E91" s="118"/>
      <c r="F91" s="42"/>
      <c r="G91" s="42"/>
      <c r="H91" s="42"/>
      <c r="I91" s="42"/>
      <c r="J91" s="42"/>
      <c r="K91" s="99"/>
    </row>
    <row r="92" spans="1:16" ht="18" customHeight="1" thickBot="1">
      <c r="A92" s="2073"/>
      <c r="B92" s="2027"/>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205" t="s">
        <v>60</v>
      </c>
      <c r="B96" s="2206" t="s">
        <v>61</v>
      </c>
      <c r="C96" s="2209" t="s">
        <v>8</v>
      </c>
      <c r="D96" s="2207" t="s">
        <v>62</v>
      </c>
      <c r="E96" s="2208"/>
      <c r="F96" s="492" t="s">
        <v>63</v>
      </c>
      <c r="G96" s="493"/>
      <c r="H96" s="493"/>
      <c r="I96" s="493"/>
      <c r="J96" s="493"/>
      <c r="K96" s="493"/>
      <c r="L96" s="493"/>
      <c r="M96" s="494"/>
      <c r="N96" s="177"/>
      <c r="O96" s="177"/>
      <c r="P96" s="177"/>
    </row>
    <row r="97" spans="1:16" ht="100.5" customHeight="1">
      <c r="A97" s="2041"/>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031" t="s">
        <v>194</v>
      </c>
      <c r="B98" s="2025"/>
      <c r="C98" s="112">
        <v>2014</v>
      </c>
      <c r="D98" s="33"/>
      <c r="E98" s="34"/>
      <c r="F98" s="186"/>
      <c r="G98" s="187"/>
      <c r="H98" s="187"/>
      <c r="I98" s="187"/>
      <c r="J98" s="187"/>
      <c r="K98" s="187"/>
      <c r="L98" s="187"/>
      <c r="M98" s="188"/>
      <c r="N98" s="177"/>
      <c r="O98" s="177"/>
      <c r="P98" s="177"/>
    </row>
    <row r="99" spans="1:16" ht="16.5" customHeight="1">
      <c r="A99" s="2024"/>
      <c r="B99" s="2025"/>
      <c r="C99" s="116">
        <v>2015</v>
      </c>
      <c r="D99" s="50">
        <v>1</v>
      </c>
      <c r="E99" s="42">
        <v>1</v>
      </c>
      <c r="F99" s="189"/>
      <c r="G99" s="190"/>
      <c r="H99" s="190"/>
      <c r="I99" s="190"/>
      <c r="J99" s="190"/>
      <c r="K99" s="190"/>
      <c r="L99" s="190"/>
      <c r="M99" s="193">
        <v>1</v>
      </c>
      <c r="N99" s="177"/>
      <c r="O99" s="177"/>
      <c r="P99" s="177"/>
    </row>
    <row r="100" spans="1:16" ht="16.5" customHeight="1">
      <c r="A100" s="2024"/>
      <c r="B100" s="2025"/>
      <c r="C100" s="116">
        <v>2016</v>
      </c>
      <c r="D100" s="50">
        <v>1</v>
      </c>
      <c r="E100" s="42">
        <v>6</v>
      </c>
      <c r="F100" s="189"/>
      <c r="G100" s="190"/>
      <c r="H100" s="190"/>
      <c r="I100" s="190"/>
      <c r="J100" s="190"/>
      <c r="K100" s="190"/>
      <c r="L100" s="190"/>
      <c r="M100" s="193">
        <v>1</v>
      </c>
      <c r="N100" s="177"/>
      <c r="O100" s="177"/>
      <c r="P100" s="177"/>
    </row>
    <row r="101" spans="1:16" ht="16.5" customHeight="1">
      <c r="A101" s="2024"/>
      <c r="B101" s="2025"/>
      <c r="C101" s="116">
        <v>2017</v>
      </c>
      <c r="D101" s="50"/>
      <c r="E101" s="42"/>
      <c r="F101" s="189"/>
      <c r="G101" s="190"/>
      <c r="H101" s="190"/>
      <c r="I101" s="190"/>
      <c r="J101" s="190"/>
      <c r="K101" s="190"/>
      <c r="L101" s="190"/>
      <c r="M101" s="193"/>
      <c r="N101" s="177"/>
      <c r="O101" s="177"/>
      <c r="P101" s="177"/>
    </row>
    <row r="102" spans="1:16" ht="15.75" customHeight="1">
      <c r="A102" s="2024"/>
      <c r="B102" s="2025"/>
      <c r="C102" s="116">
        <v>2018</v>
      </c>
      <c r="D102" s="50"/>
      <c r="E102" s="42"/>
      <c r="F102" s="189"/>
      <c r="G102" s="190"/>
      <c r="H102" s="190"/>
      <c r="I102" s="190"/>
      <c r="J102" s="190"/>
      <c r="K102" s="190"/>
      <c r="L102" s="190"/>
      <c r="M102" s="193"/>
      <c r="N102" s="177"/>
      <c r="O102" s="177"/>
      <c r="P102" s="177"/>
    </row>
    <row r="103" spans="1:16" ht="14.25" customHeight="1">
      <c r="A103" s="2024"/>
      <c r="B103" s="2025"/>
      <c r="C103" s="116">
        <v>2019</v>
      </c>
      <c r="D103" s="50"/>
      <c r="E103" s="42"/>
      <c r="F103" s="189"/>
      <c r="G103" s="190"/>
      <c r="H103" s="190"/>
      <c r="I103" s="190"/>
      <c r="J103" s="190"/>
      <c r="K103" s="190"/>
      <c r="L103" s="190"/>
      <c r="M103" s="193"/>
      <c r="N103" s="177"/>
      <c r="O103" s="177"/>
      <c r="P103" s="177"/>
    </row>
    <row r="104" spans="1:16" ht="14.25" customHeight="1">
      <c r="A104" s="2024"/>
      <c r="B104" s="2025"/>
      <c r="C104" s="116">
        <v>2020</v>
      </c>
      <c r="D104" s="50"/>
      <c r="E104" s="42"/>
      <c r="F104" s="189"/>
      <c r="G104" s="190"/>
      <c r="H104" s="190"/>
      <c r="I104" s="190"/>
      <c r="J104" s="190"/>
      <c r="K104" s="190"/>
      <c r="L104" s="190"/>
      <c r="M104" s="193"/>
      <c r="N104" s="177"/>
      <c r="O104" s="177"/>
      <c r="P104" s="177"/>
    </row>
    <row r="105" spans="1:16" ht="19.5" customHeight="1" thickBot="1">
      <c r="A105" s="2046"/>
      <c r="B105" s="2027"/>
      <c r="C105" s="122" t="s">
        <v>12</v>
      </c>
      <c r="D105" s="151">
        <f>SUM(D98:D104)</f>
        <v>2</v>
      </c>
      <c r="E105" s="125">
        <f t="shared" ref="E105:K105" si="8">SUM(E98:E104)</f>
        <v>7</v>
      </c>
      <c r="F105" s="194">
        <f t="shared" si="8"/>
        <v>0</v>
      </c>
      <c r="G105" s="195">
        <f t="shared" si="8"/>
        <v>0</v>
      </c>
      <c r="H105" s="195">
        <f t="shared" si="8"/>
        <v>0</v>
      </c>
      <c r="I105" s="195">
        <f>SUM(I98:I104)</f>
        <v>0</v>
      </c>
      <c r="J105" s="195">
        <f t="shared" si="8"/>
        <v>0</v>
      </c>
      <c r="K105" s="195">
        <f t="shared" si="8"/>
        <v>0</v>
      </c>
      <c r="L105" s="195">
        <f>SUM(L98:L104)</f>
        <v>0</v>
      </c>
      <c r="M105" s="196">
        <f>SUM(M98:M104)</f>
        <v>2</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205" t="s">
        <v>69</v>
      </c>
      <c r="B107" s="2206" t="s">
        <v>61</v>
      </c>
      <c r="C107" s="2209" t="s">
        <v>8</v>
      </c>
      <c r="D107" s="2210" t="s">
        <v>70</v>
      </c>
      <c r="E107" s="492" t="s">
        <v>71</v>
      </c>
      <c r="F107" s="493"/>
      <c r="G107" s="493"/>
      <c r="H107" s="493"/>
      <c r="I107" s="493"/>
      <c r="J107" s="493"/>
      <c r="K107" s="493"/>
      <c r="L107" s="494"/>
      <c r="M107" s="199"/>
      <c r="N107" s="199"/>
    </row>
    <row r="108" spans="1:16" ht="103.5" customHeight="1">
      <c r="A108" s="2041"/>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031"/>
      <c r="B109" s="2025"/>
      <c r="C109" s="112">
        <v>2014</v>
      </c>
      <c r="D109" s="34"/>
      <c r="E109" s="186"/>
      <c r="F109" s="187"/>
      <c r="G109" s="187"/>
      <c r="H109" s="187"/>
      <c r="I109" s="187"/>
      <c r="J109" s="187"/>
      <c r="K109" s="187"/>
      <c r="L109" s="188"/>
      <c r="M109" s="199"/>
      <c r="N109" s="199"/>
    </row>
    <row r="110" spans="1:16">
      <c r="A110" s="2024"/>
      <c r="B110" s="2025"/>
      <c r="C110" s="116">
        <v>2015</v>
      </c>
      <c r="D110" s="42"/>
      <c r="E110" s="189"/>
      <c r="F110" s="190"/>
      <c r="G110" s="190"/>
      <c r="H110" s="190"/>
      <c r="I110" s="190"/>
      <c r="J110" s="190"/>
      <c r="K110" s="190"/>
      <c r="L110" s="193"/>
      <c r="M110" s="199"/>
      <c r="N110" s="199"/>
    </row>
    <row r="111" spans="1:16">
      <c r="A111" s="2024"/>
      <c r="B111" s="2025"/>
      <c r="C111" s="116">
        <v>2016</v>
      </c>
      <c r="D111" s="42"/>
      <c r="E111" s="189"/>
      <c r="F111" s="190"/>
      <c r="G111" s="190"/>
      <c r="H111" s="190"/>
      <c r="I111" s="190"/>
      <c r="J111" s="190"/>
      <c r="K111" s="190"/>
      <c r="L111" s="193"/>
      <c r="M111" s="199"/>
      <c r="N111" s="199"/>
    </row>
    <row r="112" spans="1:16">
      <c r="A112" s="2024"/>
      <c r="B112" s="2025"/>
      <c r="C112" s="116">
        <v>2017</v>
      </c>
      <c r="D112" s="42"/>
      <c r="E112" s="189"/>
      <c r="F112" s="190"/>
      <c r="G112" s="190"/>
      <c r="H112" s="190"/>
      <c r="I112" s="190"/>
      <c r="J112" s="190"/>
      <c r="K112" s="190"/>
      <c r="L112" s="193"/>
      <c r="M112" s="199"/>
      <c r="N112" s="199"/>
    </row>
    <row r="113" spans="1:14">
      <c r="A113" s="2024"/>
      <c r="B113" s="2025"/>
      <c r="C113" s="116">
        <v>2018</v>
      </c>
      <c r="D113" s="42"/>
      <c r="E113" s="189"/>
      <c r="F113" s="190"/>
      <c r="G113" s="190"/>
      <c r="H113" s="190"/>
      <c r="I113" s="190"/>
      <c r="J113" s="190"/>
      <c r="K113" s="190"/>
      <c r="L113" s="193"/>
      <c r="M113" s="199"/>
      <c r="N113" s="199"/>
    </row>
    <row r="114" spans="1:14">
      <c r="A114" s="2024"/>
      <c r="B114" s="2025"/>
      <c r="C114" s="116">
        <v>2019</v>
      </c>
      <c r="D114" s="42"/>
      <c r="E114" s="189"/>
      <c r="F114" s="190"/>
      <c r="G114" s="190"/>
      <c r="H114" s="190"/>
      <c r="I114" s="190"/>
      <c r="J114" s="190"/>
      <c r="K114" s="190"/>
      <c r="L114" s="193"/>
      <c r="M114" s="199"/>
      <c r="N114" s="199"/>
    </row>
    <row r="115" spans="1:14">
      <c r="A115" s="2024"/>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205" t="s">
        <v>72</v>
      </c>
      <c r="B118" s="2206" t="s">
        <v>61</v>
      </c>
      <c r="C118" s="2209" t="s">
        <v>8</v>
      </c>
      <c r="D118" s="2210" t="s">
        <v>73</v>
      </c>
      <c r="E118" s="492" t="s">
        <v>71</v>
      </c>
      <c r="F118" s="493"/>
      <c r="G118" s="493"/>
      <c r="H118" s="493"/>
      <c r="I118" s="493"/>
      <c r="J118" s="493"/>
      <c r="K118" s="493"/>
      <c r="L118" s="494"/>
      <c r="M118" s="199"/>
      <c r="N118" s="199"/>
    </row>
    <row r="119" spans="1:14" ht="120.75" customHeight="1">
      <c r="A119" s="2041"/>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031"/>
      <c r="B120" s="2025"/>
      <c r="C120" s="112">
        <v>2014</v>
      </c>
      <c r="D120" s="34"/>
      <c r="E120" s="186"/>
      <c r="F120" s="187"/>
      <c r="G120" s="187"/>
      <c r="H120" s="187"/>
      <c r="I120" s="187"/>
      <c r="J120" s="187"/>
      <c r="K120" s="187"/>
      <c r="L120" s="188"/>
      <c r="M120" s="199"/>
      <c r="N120" s="199"/>
    </row>
    <row r="121" spans="1:14">
      <c r="A121" s="2024"/>
      <c r="B121" s="2025"/>
      <c r="C121" s="116">
        <v>2015</v>
      </c>
      <c r="D121" s="42"/>
      <c r="E121" s="189"/>
      <c r="F121" s="190"/>
      <c r="G121" s="190"/>
      <c r="H121" s="190"/>
      <c r="I121" s="190"/>
      <c r="J121" s="190"/>
      <c r="K121" s="190"/>
      <c r="L121" s="193"/>
      <c r="M121" s="199"/>
      <c r="N121" s="199"/>
    </row>
    <row r="122" spans="1:14">
      <c r="A122" s="2024"/>
      <c r="B122" s="2025"/>
      <c r="C122" s="116">
        <v>2016</v>
      </c>
      <c r="D122" s="42"/>
      <c r="E122" s="189"/>
      <c r="F122" s="190"/>
      <c r="G122" s="190"/>
      <c r="H122" s="190"/>
      <c r="I122" s="190"/>
      <c r="J122" s="190"/>
      <c r="K122" s="190"/>
      <c r="L122" s="193"/>
      <c r="M122" s="199"/>
      <c r="N122" s="199"/>
    </row>
    <row r="123" spans="1:14">
      <c r="A123" s="2024"/>
      <c r="B123" s="2025"/>
      <c r="C123" s="116">
        <v>2017</v>
      </c>
      <c r="D123" s="42"/>
      <c r="E123" s="189"/>
      <c r="F123" s="190"/>
      <c r="G123" s="190"/>
      <c r="H123" s="190"/>
      <c r="I123" s="190"/>
      <c r="J123" s="190"/>
      <c r="K123" s="190"/>
      <c r="L123" s="193"/>
      <c r="M123" s="199"/>
      <c r="N123" s="199"/>
    </row>
    <row r="124" spans="1:14">
      <c r="A124" s="2024"/>
      <c r="B124" s="2025"/>
      <c r="C124" s="116">
        <v>2018</v>
      </c>
      <c r="D124" s="42"/>
      <c r="E124" s="189"/>
      <c r="F124" s="190"/>
      <c r="G124" s="190"/>
      <c r="H124" s="190"/>
      <c r="I124" s="190"/>
      <c r="J124" s="190"/>
      <c r="K124" s="190"/>
      <c r="L124" s="193"/>
      <c r="M124" s="199"/>
      <c r="N124" s="199"/>
    </row>
    <row r="125" spans="1:14">
      <c r="A125" s="2024"/>
      <c r="B125" s="2025"/>
      <c r="C125" s="116">
        <v>2019</v>
      </c>
      <c r="D125" s="42"/>
      <c r="E125" s="189"/>
      <c r="F125" s="190"/>
      <c r="G125" s="190"/>
      <c r="H125" s="190"/>
      <c r="I125" s="190"/>
      <c r="J125" s="190"/>
      <c r="K125" s="190"/>
      <c r="L125" s="193"/>
      <c r="M125" s="199"/>
      <c r="N125" s="199"/>
    </row>
    <row r="126" spans="1:14">
      <c r="A126" s="2024"/>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205" t="s">
        <v>74</v>
      </c>
      <c r="B129" s="2206" t="s">
        <v>61</v>
      </c>
      <c r="C129" s="495" t="s">
        <v>8</v>
      </c>
      <c r="D129" s="496" t="s">
        <v>75</v>
      </c>
      <c r="E129" s="497"/>
      <c r="F129" s="497"/>
      <c r="G129" s="498"/>
      <c r="H129" s="199"/>
      <c r="I129" s="199"/>
      <c r="J129" s="199"/>
      <c r="K129" s="199"/>
      <c r="L129" s="199"/>
      <c r="M129" s="199"/>
      <c r="N129" s="199"/>
    </row>
    <row r="130" spans="1:16" ht="77.25" customHeight="1">
      <c r="A130" s="2041"/>
      <c r="B130" s="2043"/>
      <c r="C130" s="470"/>
      <c r="D130" s="178" t="s">
        <v>76</v>
      </c>
      <c r="E130" s="207" t="s">
        <v>77</v>
      </c>
      <c r="F130" s="179" t="s">
        <v>78</v>
      </c>
      <c r="G130" s="208" t="s">
        <v>12</v>
      </c>
      <c r="H130" s="199"/>
      <c r="I130" s="199"/>
      <c r="J130" s="199"/>
      <c r="K130" s="199"/>
      <c r="L130" s="199"/>
      <c r="M130" s="199"/>
      <c r="N130" s="199"/>
    </row>
    <row r="131" spans="1:16" ht="15" customHeight="1">
      <c r="A131" s="2007" t="s">
        <v>195</v>
      </c>
      <c r="B131" s="1988"/>
      <c r="C131" s="340">
        <v>2015</v>
      </c>
      <c r="D131" s="342">
        <v>16</v>
      </c>
      <c r="E131" s="342"/>
      <c r="F131" s="77"/>
      <c r="G131" s="209">
        <f>SUM(D131:E131)</f>
        <v>16</v>
      </c>
      <c r="H131" s="199"/>
      <c r="I131" s="199"/>
      <c r="J131" s="199"/>
      <c r="K131" s="199"/>
      <c r="L131" s="199"/>
      <c r="M131" s="199"/>
      <c r="N131" s="199"/>
    </row>
    <row r="132" spans="1:16">
      <c r="A132" s="1987"/>
      <c r="B132" s="1988"/>
      <c r="C132" s="116">
        <v>2016</v>
      </c>
      <c r="D132" s="342">
        <v>78</v>
      </c>
      <c r="E132" s="42"/>
      <c r="G132" s="209">
        <f>SUM(D132:E132)</f>
        <v>78</v>
      </c>
      <c r="H132" s="199"/>
      <c r="I132" s="199"/>
      <c r="J132" s="199"/>
      <c r="K132" s="199"/>
      <c r="L132" s="199"/>
      <c r="M132" s="199"/>
      <c r="N132" s="199"/>
    </row>
    <row r="133" spans="1:16">
      <c r="A133" s="1987"/>
      <c r="B133" s="1988"/>
      <c r="C133" s="116">
        <v>2017</v>
      </c>
      <c r="D133" s="50"/>
      <c r="E133" s="42"/>
      <c r="F133" s="42"/>
      <c r="G133" s="209">
        <f t="shared" ref="G133:G136" si="11">SUM(D133:F133)</f>
        <v>0</v>
      </c>
      <c r="H133" s="199"/>
      <c r="I133" s="199"/>
      <c r="J133" s="199"/>
      <c r="K133" s="199"/>
      <c r="L133" s="199"/>
      <c r="M133" s="199"/>
      <c r="N133" s="199"/>
    </row>
    <row r="134" spans="1:16">
      <c r="A134" s="1987"/>
      <c r="B134" s="1988"/>
      <c r="C134" s="116">
        <v>2018</v>
      </c>
      <c r="D134" s="50"/>
      <c r="E134" s="42"/>
      <c r="F134" s="42"/>
      <c r="G134" s="209">
        <f t="shared" si="11"/>
        <v>0</v>
      </c>
      <c r="H134" s="199"/>
      <c r="I134" s="199"/>
      <c r="J134" s="199"/>
      <c r="K134" s="199"/>
      <c r="L134" s="199"/>
      <c r="M134" s="199"/>
      <c r="N134" s="199"/>
    </row>
    <row r="135" spans="1:16">
      <c r="A135" s="1987"/>
      <c r="B135" s="1988"/>
      <c r="C135" s="116">
        <v>2019</v>
      </c>
      <c r="D135" s="50"/>
      <c r="E135" s="42"/>
      <c r="F135" s="42"/>
      <c r="G135" s="209">
        <f t="shared" si="11"/>
        <v>0</v>
      </c>
      <c r="H135" s="199"/>
      <c r="I135" s="199"/>
      <c r="J135" s="199"/>
      <c r="K135" s="199"/>
      <c r="L135" s="199"/>
      <c r="M135" s="199"/>
      <c r="N135" s="199"/>
    </row>
    <row r="136" spans="1:16">
      <c r="A136" s="1987"/>
      <c r="B136" s="1988"/>
      <c r="C136" s="116">
        <v>2020</v>
      </c>
      <c r="D136" s="50"/>
      <c r="E136" s="42"/>
      <c r="F136" s="42"/>
      <c r="G136" s="209">
        <f t="shared" si="11"/>
        <v>0</v>
      </c>
      <c r="H136" s="199"/>
      <c r="I136" s="199"/>
      <c r="J136" s="199"/>
      <c r="K136" s="199"/>
      <c r="L136" s="199"/>
      <c r="M136" s="199"/>
      <c r="N136" s="199"/>
    </row>
    <row r="137" spans="1:16" ht="17.25" customHeight="1" thickBot="1">
      <c r="A137" s="1989"/>
      <c r="B137" s="1990"/>
      <c r="C137" s="122" t="s">
        <v>12</v>
      </c>
      <c r="D137" s="151">
        <f>SUM(D131:D136)</f>
        <v>94</v>
      </c>
      <c r="E137" s="151">
        <f t="shared" ref="E137:F137" si="12">SUM(E131:E136)</f>
        <v>0</v>
      </c>
      <c r="F137" s="151">
        <f t="shared" si="12"/>
        <v>0</v>
      </c>
      <c r="G137" s="210">
        <f>SUM(G131:G136)</f>
        <v>94</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211" t="s">
        <v>80</v>
      </c>
      <c r="B142" s="2212" t="s">
        <v>61</v>
      </c>
      <c r="C142" s="2218" t="s">
        <v>8</v>
      </c>
      <c r="D142" s="499" t="s">
        <v>81</v>
      </c>
      <c r="E142" s="500"/>
      <c r="F142" s="500"/>
      <c r="G142" s="500"/>
      <c r="H142" s="500"/>
      <c r="I142" s="501"/>
      <c r="J142" s="2213" t="s">
        <v>82</v>
      </c>
      <c r="K142" s="2214"/>
      <c r="L142" s="2214"/>
      <c r="M142" s="2214"/>
      <c r="N142" s="2215"/>
      <c r="O142" s="177"/>
      <c r="P142" s="177"/>
    </row>
    <row r="143" spans="1:16" ht="113.25" customHeight="1">
      <c r="A143" s="2045"/>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031"/>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024"/>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024"/>
      <c r="B146" s="2025"/>
      <c r="C146" s="116">
        <v>2016</v>
      </c>
      <c r="D146" s="50"/>
      <c r="E146" s="50"/>
      <c r="F146" s="42"/>
      <c r="G146" s="190"/>
      <c r="H146" s="190"/>
      <c r="I146" s="227">
        <f t="shared" si="13"/>
        <v>0</v>
      </c>
      <c r="J146" s="231"/>
      <c r="K146" s="232"/>
      <c r="L146" s="231"/>
      <c r="M146" s="232"/>
      <c r="N146" s="233"/>
      <c r="O146" s="177"/>
      <c r="P146" s="177"/>
    </row>
    <row r="147" spans="1:16" ht="17.25" customHeight="1">
      <c r="A147" s="2024"/>
      <c r="B147" s="2025"/>
      <c r="C147" s="116">
        <v>2017</v>
      </c>
      <c r="D147" s="50"/>
      <c r="E147" s="50"/>
      <c r="F147" s="42"/>
      <c r="G147" s="190"/>
      <c r="H147" s="190"/>
      <c r="I147" s="227">
        <f t="shared" si="13"/>
        <v>0</v>
      </c>
      <c r="J147" s="231"/>
      <c r="K147" s="232"/>
      <c r="L147" s="231"/>
      <c r="M147" s="232"/>
      <c r="N147" s="233"/>
      <c r="O147" s="177"/>
      <c r="P147" s="177"/>
    </row>
    <row r="148" spans="1:16" ht="19.5" customHeight="1">
      <c r="A148" s="2024"/>
      <c r="B148" s="2025"/>
      <c r="C148" s="116">
        <v>2018</v>
      </c>
      <c r="D148" s="50"/>
      <c r="E148" s="50"/>
      <c r="F148" s="42"/>
      <c r="G148" s="190"/>
      <c r="H148" s="190"/>
      <c r="I148" s="227">
        <f t="shared" si="13"/>
        <v>0</v>
      </c>
      <c r="J148" s="231"/>
      <c r="K148" s="232"/>
      <c r="L148" s="231"/>
      <c r="M148" s="232"/>
      <c r="N148" s="233"/>
      <c r="O148" s="177"/>
      <c r="P148" s="177"/>
    </row>
    <row r="149" spans="1:16" ht="19.5" customHeight="1">
      <c r="A149" s="2024"/>
      <c r="B149" s="2025"/>
      <c r="C149" s="116">
        <v>2019</v>
      </c>
      <c r="D149" s="50"/>
      <c r="E149" s="50"/>
      <c r="F149" s="42"/>
      <c r="G149" s="190"/>
      <c r="H149" s="190"/>
      <c r="I149" s="227">
        <f t="shared" si="13"/>
        <v>0</v>
      </c>
      <c r="J149" s="231"/>
      <c r="K149" s="232"/>
      <c r="L149" s="231"/>
      <c r="M149" s="232"/>
      <c r="N149" s="233"/>
      <c r="O149" s="177"/>
      <c r="P149" s="177"/>
    </row>
    <row r="150" spans="1:16" ht="18.75" customHeight="1">
      <c r="A150" s="2024"/>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216" t="s">
        <v>93</v>
      </c>
      <c r="B153" s="2212" t="s">
        <v>61</v>
      </c>
      <c r="C153" s="2217" t="s">
        <v>8</v>
      </c>
      <c r="D153" s="502" t="s">
        <v>94</v>
      </c>
      <c r="E153" s="502"/>
      <c r="F153" s="503"/>
      <c r="G153" s="503"/>
      <c r="H153" s="502" t="s">
        <v>95</v>
      </c>
      <c r="I153" s="502"/>
      <c r="J153" s="504"/>
      <c r="K153" s="31"/>
      <c r="L153" s="31"/>
      <c r="M153" s="31"/>
      <c r="N153" s="31"/>
      <c r="O153" s="177"/>
      <c r="P153" s="177"/>
    </row>
    <row r="154" spans="1:16" ht="49.5" customHeight="1">
      <c r="A154" s="2033"/>
      <c r="B154" s="2035"/>
      <c r="C154" s="2037"/>
      <c r="D154" s="242" t="s">
        <v>196</v>
      </c>
      <c r="E154" s="243" t="s">
        <v>97</v>
      </c>
      <c r="F154" s="244" t="s">
        <v>98</v>
      </c>
      <c r="G154" s="245" t="s">
        <v>99</v>
      </c>
      <c r="H154" s="242" t="s">
        <v>100</v>
      </c>
      <c r="I154" s="243" t="s">
        <v>101</v>
      </c>
      <c r="J154" s="246" t="s">
        <v>92</v>
      </c>
      <c r="K154" s="31"/>
      <c r="L154" s="31"/>
      <c r="M154" s="31"/>
      <c r="N154" s="31"/>
      <c r="O154" s="177"/>
      <c r="P154" s="177"/>
    </row>
    <row r="155" spans="1:16" ht="18.75" customHeight="1">
      <c r="A155" s="2031"/>
      <c r="B155" s="2025"/>
      <c r="C155" s="247">
        <v>2014</v>
      </c>
      <c r="D155" s="228"/>
      <c r="E155" s="187"/>
      <c r="F155" s="229"/>
      <c r="G155" s="227">
        <f>SUM(D155:F155)</f>
        <v>0</v>
      </c>
      <c r="H155" s="228"/>
      <c r="I155" s="187"/>
      <c r="J155" s="188"/>
      <c r="O155" s="177"/>
      <c r="P155" s="177"/>
    </row>
    <row r="156" spans="1:16" ht="19.5" customHeight="1">
      <c r="A156" s="2024"/>
      <c r="B156" s="2025"/>
      <c r="C156" s="248">
        <v>2015</v>
      </c>
      <c r="D156" s="231"/>
      <c r="E156" s="190"/>
      <c r="F156" s="232"/>
      <c r="G156" s="227">
        <f t="shared" ref="G156:G161" si="15">SUM(D156:F156)</f>
        <v>0</v>
      </c>
      <c r="H156" s="231"/>
      <c r="I156" s="190"/>
      <c r="J156" s="193"/>
      <c r="O156" s="177"/>
      <c r="P156" s="177"/>
    </row>
    <row r="157" spans="1:16" ht="17.25" customHeight="1">
      <c r="A157" s="2024"/>
      <c r="B157" s="2025"/>
      <c r="C157" s="248">
        <v>2016</v>
      </c>
      <c r="D157" s="231"/>
      <c r="E157" s="190"/>
      <c r="F157" s="232"/>
      <c r="G157" s="227">
        <f t="shared" si="15"/>
        <v>0</v>
      </c>
      <c r="H157" s="231"/>
      <c r="I157" s="190"/>
      <c r="J157" s="193"/>
      <c r="O157" s="177"/>
      <c r="P157" s="177"/>
    </row>
    <row r="158" spans="1:16" ht="15" customHeight="1">
      <c r="A158" s="2024"/>
      <c r="B158" s="2025"/>
      <c r="C158" s="248">
        <v>2017</v>
      </c>
      <c r="D158" s="231"/>
      <c r="E158" s="190"/>
      <c r="F158" s="232"/>
      <c r="G158" s="227">
        <f t="shared" si="15"/>
        <v>0</v>
      </c>
      <c r="H158" s="231"/>
      <c r="I158" s="190"/>
      <c r="J158" s="193"/>
      <c r="O158" s="177"/>
      <c r="P158" s="177"/>
    </row>
    <row r="159" spans="1:16" ht="19.5" customHeight="1">
      <c r="A159" s="2024"/>
      <c r="B159" s="2025"/>
      <c r="C159" s="248">
        <v>2018</v>
      </c>
      <c r="D159" s="231"/>
      <c r="E159" s="190"/>
      <c r="F159" s="232"/>
      <c r="G159" s="227">
        <f t="shared" si="15"/>
        <v>0</v>
      </c>
      <c r="H159" s="231"/>
      <c r="I159" s="190"/>
      <c r="J159" s="193"/>
      <c r="O159" s="177"/>
      <c r="P159" s="177"/>
    </row>
    <row r="160" spans="1:16" ht="15" customHeight="1">
      <c r="A160" s="2024"/>
      <c r="B160" s="2025"/>
      <c r="C160" s="248">
        <v>2019</v>
      </c>
      <c r="D160" s="231"/>
      <c r="E160" s="190"/>
      <c r="F160" s="232"/>
      <c r="G160" s="227">
        <f t="shared" si="15"/>
        <v>0</v>
      </c>
      <c r="H160" s="231"/>
      <c r="I160" s="190"/>
      <c r="J160" s="193"/>
      <c r="O160" s="177"/>
      <c r="P160" s="177"/>
    </row>
    <row r="161" spans="1:18" ht="17.25" customHeight="1">
      <c r="A161" s="2024"/>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505"/>
      <c r="F163" s="177"/>
      <c r="G163" s="177"/>
      <c r="H163" s="177"/>
      <c r="I163" s="177"/>
      <c r="J163" s="255"/>
      <c r="K163" s="256"/>
    </row>
    <row r="164" spans="1:18" ht="95.25" customHeight="1">
      <c r="A164" s="506" t="s">
        <v>102</v>
      </c>
      <c r="B164" s="258" t="s">
        <v>103</v>
      </c>
      <c r="C164" s="507" t="s">
        <v>8</v>
      </c>
      <c r="D164" s="260" t="s">
        <v>104</v>
      </c>
      <c r="E164" s="260" t="s">
        <v>105</v>
      </c>
      <c r="F164" s="508" t="s">
        <v>106</v>
      </c>
      <c r="G164" s="260" t="s">
        <v>107</v>
      </c>
      <c r="H164" s="260" t="s">
        <v>108</v>
      </c>
      <c r="I164" s="262" t="s">
        <v>109</v>
      </c>
      <c r="J164" s="509" t="s">
        <v>110</v>
      </c>
      <c r="K164" s="509" t="s">
        <v>111</v>
      </c>
      <c r="L164" s="471"/>
    </row>
    <row r="165" spans="1:18" ht="15.75" customHeight="1">
      <c r="A165" s="2011"/>
      <c r="B165" s="2012"/>
      <c r="C165" s="265">
        <v>2014</v>
      </c>
      <c r="D165" s="187"/>
      <c r="E165" s="187"/>
      <c r="F165" s="187"/>
      <c r="G165" s="187"/>
      <c r="H165" s="187"/>
      <c r="I165" s="188"/>
      <c r="J165" s="266">
        <f>SUM(D165,F165,H165)</f>
        <v>0</v>
      </c>
      <c r="K165" s="267">
        <f>SUM(E165,G165,I165)</f>
        <v>0</v>
      </c>
      <c r="L165" s="471"/>
    </row>
    <row r="166" spans="1:18">
      <c r="A166" s="2013"/>
      <c r="B166" s="2014"/>
      <c r="C166" s="268">
        <v>2015</v>
      </c>
      <c r="D166" s="269"/>
      <c r="E166" s="269"/>
      <c r="F166" s="269"/>
      <c r="G166" s="269"/>
      <c r="H166" s="269"/>
      <c r="I166" s="270"/>
      <c r="J166" s="271">
        <f t="shared" ref="J166:K171" si="17">SUM(D166,F166,H166)</f>
        <v>0</v>
      </c>
      <c r="K166" s="272">
        <f t="shared" si="17"/>
        <v>0</v>
      </c>
      <c r="L166" s="471"/>
    </row>
    <row r="167" spans="1:18">
      <c r="A167" s="2013"/>
      <c r="B167" s="2014"/>
      <c r="C167" s="268">
        <v>2016</v>
      </c>
      <c r="D167" s="269"/>
      <c r="E167" s="269"/>
      <c r="F167" s="269"/>
      <c r="G167" s="269"/>
      <c r="H167" s="269"/>
      <c r="I167" s="270"/>
      <c r="J167" s="271">
        <f t="shared" si="17"/>
        <v>0</v>
      </c>
      <c r="K167" s="272">
        <f t="shared" si="17"/>
        <v>0</v>
      </c>
    </row>
    <row r="168" spans="1:18">
      <c r="A168" s="2013"/>
      <c r="B168" s="2014"/>
      <c r="C168" s="268">
        <v>2017</v>
      </c>
      <c r="D168" s="269"/>
      <c r="E168" s="177"/>
      <c r="F168" s="269"/>
      <c r="G168" s="269"/>
      <c r="H168" s="269"/>
      <c r="I168" s="270"/>
      <c r="J168" s="271">
        <f t="shared" si="17"/>
        <v>0</v>
      </c>
      <c r="K168" s="272">
        <f t="shared" si="17"/>
        <v>0</v>
      </c>
    </row>
    <row r="169" spans="1:18">
      <c r="A169" s="2013"/>
      <c r="B169" s="2014"/>
      <c r="C169" s="273">
        <v>2018</v>
      </c>
      <c r="D169" s="269"/>
      <c r="E169" s="269"/>
      <c r="F169" s="269"/>
      <c r="G169" s="274"/>
      <c r="H169" s="269"/>
      <c r="I169" s="270"/>
      <c r="J169" s="271">
        <f t="shared" si="17"/>
        <v>0</v>
      </c>
      <c r="K169" s="272">
        <f t="shared" si="17"/>
        <v>0</v>
      </c>
      <c r="L169" s="471"/>
    </row>
    <row r="170" spans="1:18">
      <c r="A170" s="2013"/>
      <c r="B170" s="2014"/>
      <c r="C170" s="268">
        <v>2019</v>
      </c>
      <c r="D170" s="177"/>
      <c r="E170" s="269"/>
      <c r="F170" s="269"/>
      <c r="G170" s="269"/>
      <c r="H170" s="274"/>
      <c r="I170" s="270"/>
      <c r="J170" s="271">
        <f t="shared" si="17"/>
        <v>0</v>
      </c>
      <c r="K170" s="272">
        <f t="shared" si="17"/>
        <v>0</v>
      </c>
      <c r="L170" s="471"/>
    </row>
    <row r="171" spans="1:18">
      <c r="A171" s="2013"/>
      <c r="B171" s="2014"/>
      <c r="C171" s="273">
        <v>2020</v>
      </c>
      <c r="D171" s="269"/>
      <c r="E171" s="269"/>
      <c r="F171" s="269"/>
      <c r="G171" s="269"/>
      <c r="H171" s="269"/>
      <c r="I171" s="270"/>
      <c r="J171" s="271">
        <f t="shared" si="17"/>
        <v>0</v>
      </c>
      <c r="K171" s="272">
        <f t="shared" si="17"/>
        <v>0</v>
      </c>
      <c r="L171" s="471"/>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471"/>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228" t="s">
        <v>113</v>
      </c>
      <c r="B176" s="2229" t="s">
        <v>114</v>
      </c>
      <c r="C176" s="2230" t="s">
        <v>8</v>
      </c>
      <c r="D176" s="510" t="s">
        <v>115</v>
      </c>
      <c r="E176" s="511"/>
      <c r="F176" s="511"/>
      <c r="G176" s="512"/>
      <c r="H176" s="513"/>
      <c r="I176" s="2231" t="s">
        <v>116</v>
      </c>
      <c r="J176" s="2232"/>
      <c r="K176" s="2232"/>
      <c r="L176" s="2232"/>
      <c r="M176" s="2232"/>
      <c r="N176" s="2232"/>
      <c r="O176" s="2233"/>
    </row>
    <row r="177" spans="1:15" s="31" customFormat="1" ht="129.75" customHeight="1">
      <c r="A177" s="2018"/>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066" t="s">
        <v>197</v>
      </c>
      <c r="B178" s="2065"/>
      <c r="C178" s="112">
        <v>2014</v>
      </c>
      <c r="D178" s="33"/>
      <c r="E178" s="34"/>
      <c r="F178" s="34"/>
      <c r="G178" s="293">
        <f>SUM(D178:F178)</f>
        <v>0</v>
      </c>
      <c r="H178" s="167"/>
      <c r="I178" s="167"/>
      <c r="J178" s="34"/>
      <c r="K178" s="34"/>
      <c r="L178" s="34"/>
      <c r="M178" s="34"/>
      <c r="N178" s="34"/>
      <c r="O178" s="37"/>
    </row>
    <row r="179" spans="1:15">
      <c r="A179" s="2066"/>
      <c r="B179" s="2065"/>
      <c r="C179" s="116">
        <v>2015</v>
      </c>
      <c r="D179" s="50"/>
      <c r="E179" s="42"/>
      <c r="F179" s="42"/>
      <c r="G179" s="293">
        <f t="shared" ref="G179:G184" si="19">SUM(D179:F179)</f>
        <v>0</v>
      </c>
      <c r="H179" s="294"/>
      <c r="I179" s="118"/>
      <c r="J179" s="42"/>
      <c r="K179" s="42"/>
      <c r="L179" s="42"/>
      <c r="M179" s="42"/>
      <c r="N179" s="42"/>
      <c r="O179" s="99"/>
    </row>
    <row r="180" spans="1:15">
      <c r="A180" s="2066"/>
      <c r="B180" s="2065"/>
      <c r="C180" s="116">
        <v>2016</v>
      </c>
      <c r="D180" s="50">
        <v>10</v>
      </c>
      <c r="E180" s="42">
        <v>1</v>
      </c>
      <c r="F180" s="42">
        <v>0</v>
      </c>
      <c r="G180" s="293">
        <f t="shared" si="19"/>
        <v>11</v>
      </c>
      <c r="H180" s="294">
        <v>23</v>
      </c>
      <c r="I180" s="118"/>
      <c r="J180" s="42"/>
      <c r="K180" s="42">
        <v>2</v>
      </c>
      <c r="L180" s="42">
        <v>6</v>
      </c>
      <c r="M180" s="42"/>
      <c r="N180" s="42"/>
      <c r="O180" s="99">
        <v>3</v>
      </c>
    </row>
    <row r="181" spans="1:15">
      <c r="A181" s="2066"/>
      <c r="B181" s="2065"/>
      <c r="C181" s="116">
        <v>2017</v>
      </c>
      <c r="D181" s="50"/>
      <c r="E181" s="42"/>
      <c r="F181" s="42"/>
      <c r="G181" s="293">
        <f t="shared" si="19"/>
        <v>0</v>
      </c>
      <c r="H181" s="294"/>
      <c r="I181" s="118"/>
      <c r="J181" s="42"/>
      <c r="K181" s="42"/>
      <c r="L181" s="42"/>
      <c r="M181" s="42"/>
      <c r="N181" s="42"/>
      <c r="O181" s="99"/>
    </row>
    <row r="182" spans="1:15">
      <c r="A182" s="2066"/>
      <c r="B182" s="2065"/>
      <c r="C182" s="116">
        <v>2018</v>
      </c>
      <c r="D182" s="50"/>
      <c r="E182" s="42"/>
      <c r="F182" s="42"/>
      <c r="G182" s="293">
        <f t="shared" si="19"/>
        <v>0</v>
      </c>
      <c r="H182" s="294"/>
      <c r="I182" s="118"/>
      <c r="J182" s="42"/>
      <c r="K182" s="42"/>
      <c r="L182" s="42"/>
      <c r="M182" s="42"/>
      <c r="N182" s="42"/>
      <c r="O182" s="99"/>
    </row>
    <row r="183" spans="1:15">
      <c r="A183" s="2066"/>
      <c r="B183" s="2065"/>
      <c r="C183" s="116">
        <v>2019</v>
      </c>
      <c r="D183" s="50"/>
      <c r="E183" s="42"/>
      <c r="F183" s="42"/>
      <c r="G183" s="293">
        <f t="shared" si="19"/>
        <v>0</v>
      </c>
      <c r="H183" s="294"/>
      <c r="I183" s="118"/>
      <c r="J183" s="42"/>
      <c r="K183" s="42"/>
      <c r="L183" s="42"/>
      <c r="M183" s="42"/>
      <c r="N183" s="42"/>
      <c r="O183" s="99"/>
    </row>
    <row r="184" spans="1:15">
      <c r="A184" s="2066"/>
      <c r="B184" s="2065"/>
      <c r="C184" s="116">
        <v>2020</v>
      </c>
      <c r="D184" s="50"/>
      <c r="E184" s="42"/>
      <c r="F184" s="42"/>
      <c r="G184" s="293">
        <f t="shared" si="19"/>
        <v>0</v>
      </c>
      <c r="H184" s="294"/>
      <c r="I184" s="118"/>
      <c r="J184" s="42"/>
      <c r="K184" s="42"/>
      <c r="L184" s="42"/>
      <c r="M184" s="42"/>
      <c r="N184" s="42"/>
      <c r="O184" s="99"/>
    </row>
    <row r="185" spans="1:15" ht="45" customHeight="1" thickBot="1">
      <c r="A185" s="2234"/>
      <c r="B185" s="2068"/>
      <c r="C185" s="122" t="s">
        <v>12</v>
      </c>
      <c r="D185" s="151">
        <f>SUM(D178:D184)</f>
        <v>10</v>
      </c>
      <c r="E185" s="125">
        <f>SUM(E178:E184)</f>
        <v>1</v>
      </c>
      <c r="F185" s="125">
        <f>SUM(F178:F184)</f>
        <v>0</v>
      </c>
      <c r="G185" s="234">
        <f t="shared" ref="G185:O185" si="20">SUM(G178:G184)</f>
        <v>11</v>
      </c>
      <c r="H185" s="295">
        <f t="shared" si="20"/>
        <v>23</v>
      </c>
      <c r="I185" s="124">
        <f t="shared" si="20"/>
        <v>0</v>
      </c>
      <c r="J185" s="125">
        <f t="shared" si="20"/>
        <v>0</v>
      </c>
      <c r="K185" s="125">
        <f t="shared" si="20"/>
        <v>2</v>
      </c>
      <c r="L185" s="125">
        <f t="shared" si="20"/>
        <v>6</v>
      </c>
      <c r="M185" s="125">
        <f t="shared" si="20"/>
        <v>0</v>
      </c>
      <c r="N185" s="125">
        <f t="shared" si="20"/>
        <v>0</v>
      </c>
      <c r="O185" s="126">
        <f t="shared" si="20"/>
        <v>3</v>
      </c>
    </row>
    <row r="186" spans="1:15" ht="33" customHeight="1" thickBot="1"/>
    <row r="187" spans="1:15" ht="19.5" customHeight="1">
      <c r="A187" s="2235" t="s">
        <v>122</v>
      </c>
      <c r="B187" s="2229" t="s">
        <v>114</v>
      </c>
      <c r="C187" s="1998" t="s">
        <v>8</v>
      </c>
      <c r="D187" s="2000" t="s">
        <v>123</v>
      </c>
      <c r="E187" s="2219"/>
      <c r="F187" s="2219"/>
      <c r="G187" s="2220"/>
      <c r="H187" s="2221"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222" t="s">
        <v>198</v>
      </c>
      <c r="B189" s="2223"/>
      <c r="C189" s="392">
        <v>2014</v>
      </c>
      <c r="D189" s="142"/>
      <c r="E189" s="115"/>
      <c r="F189" s="115"/>
      <c r="G189" s="301">
        <f>SUM(D189:F189)</f>
        <v>0</v>
      </c>
      <c r="H189" s="114"/>
      <c r="I189" s="115"/>
      <c r="J189" s="115"/>
      <c r="K189" s="115"/>
      <c r="L189" s="143"/>
    </row>
    <row r="190" spans="1:15">
      <c r="A190" s="2224"/>
      <c r="B190" s="2225"/>
      <c r="C190" s="86">
        <v>2015</v>
      </c>
      <c r="D190" s="50"/>
      <c r="E190" s="42"/>
      <c r="F190" s="42"/>
      <c r="G190" s="301">
        <f t="shared" ref="G190:G195" si="21">SUM(D190:F190)</f>
        <v>0</v>
      </c>
      <c r="H190" s="118"/>
      <c r="I190" s="42"/>
      <c r="J190" s="42"/>
      <c r="K190" s="42"/>
      <c r="L190" s="99"/>
    </row>
    <row r="191" spans="1:15">
      <c r="A191" s="2224"/>
      <c r="B191" s="2225"/>
      <c r="C191" s="86">
        <v>2016</v>
      </c>
      <c r="D191" s="40">
        <v>1208</v>
      </c>
      <c r="E191" s="41">
        <v>52</v>
      </c>
      <c r="F191" s="41"/>
      <c r="G191" s="301">
        <f t="shared" si="21"/>
        <v>1260</v>
      </c>
      <c r="H191" s="120"/>
      <c r="I191" s="41">
        <v>92</v>
      </c>
      <c r="J191" s="41"/>
      <c r="K191" s="41"/>
      <c r="L191" s="44">
        <v>1168</v>
      </c>
    </row>
    <row r="192" spans="1:15">
      <c r="A192" s="2224"/>
      <c r="B192" s="2225"/>
      <c r="C192" s="86">
        <v>2017</v>
      </c>
      <c r="D192" s="50"/>
      <c r="E192" s="42"/>
      <c r="F192" s="42"/>
      <c r="G192" s="301">
        <f t="shared" si="21"/>
        <v>0</v>
      </c>
      <c r="H192" s="118"/>
      <c r="I192" s="42"/>
      <c r="J192" s="42"/>
      <c r="K192" s="42"/>
      <c r="L192" s="99"/>
    </row>
    <row r="193" spans="1:14">
      <c r="A193" s="2224"/>
      <c r="B193" s="2225"/>
      <c r="C193" s="86">
        <v>2018</v>
      </c>
      <c r="D193" s="50"/>
      <c r="E193" s="42"/>
      <c r="F193" s="42"/>
      <c r="G193" s="301">
        <f t="shared" si="21"/>
        <v>0</v>
      </c>
      <c r="H193" s="118"/>
      <c r="I193" s="42"/>
      <c r="J193" s="42"/>
      <c r="K193" s="42"/>
      <c r="L193" s="99"/>
    </row>
    <row r="194" spans="1:14">
      <c r="A194" s="2224"/>
      <c r="B194" s="2225"/>
      <c r="C194" s="86">
        <v>2019</v>
      </c>
      <c r="D194" s="50"/>
      <c r="E194" s="42"/>
      <c r="F194" s="42"/>
      <c r="G194" s="301">
        <f t="shared" si="21"/>
        <v>0</v>
      </c>
      <c r="H194" s="118"/>
      <c r="I194" s="42"/>
      <c r="J194" s="42"/>
      <c r="K194" s="42"/>
      <c r="L194" s="99"/>
    </row>
    <row r="195" spans="1:14">
      <c r="A195" s="2224"/>
      <c r="B195" s="2225"/>
      <c r="C195" s="86">
        <v>2020</v>
      </c>
      <c r="D195" s="50"/>
      <c r="E195" s="42"/>
      <c r="F195" s="42"/>
      <c r="G195" s="301">
        <f t="shared" si="21"/>
        <v>0</v>
      </c>
      <c r="H195" s="118"/>
      <c r="I195" s="42"/>
      <c r="J195" s="42"/>
      <c r="K195" s="42"/>
      <c r="L195" s="99"/>
    </row>
    <row r="196" spans="1:14" ht="15.75" thickBot="1">
      <c r="A196" s="2226"/>
      <c r="B196" s="2227"/>
      <c r="C196" s="148" t="s">
        <v>12</v>
      </c>
      <c r="D196" s="151">
        <f t="shared" ref="D196:L196" si="22">SUM(D189:D195)</f>
        <v>1208</v>
      </c>
      <c r="E196" s="125">
        <f t="shared" si="22"/>
        <v>52</v>
      </c>
      <c r="F196" s="125">
        <f t="shared" si="22"/>
        <v>0</v>
      </c>
      <c r="G196" s="304">
        <f t="shared" si="22"/>
        <v>1260</v>
      </c>
      <c r="H196" s="124">
        <f t="shared" si="22"/>
        <v>0</v>
      </c>
      <c r="I196" s="125">
        <f t="shared" si="22"/>
        <v>92</v>
      </c>
      <c r="J196" s="125">
        <f t="shared" si="22"/>
        <v>0</v>
      </c>
      <c r="K196" s="125">
        <f t="shared" si="22"/>
        <v>0</v>
      </c>
      <c r="L196" s="126">
        <f t="shared" si="22"/>
        <v>1168</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514" t="s">
        <v>135</v>
      </c>
      <c r="B201" s="309" t="s">
        <v>114</v>
      </c>
      <c r="C201" s="310" t="s">
        <v>8</v>
      </c>
      <c r="D201" s="515" t="s">
        <v>136</v>
      </c>
      <c r="E201" s="312" t="s">
        <v>137</v>
      </c>
      <c r="F201" s="312" t="s">
        <v>138</v>
      </c>
      <c r="G201" s="310" t="s">
        <v>139</v>
      </c>
      <c r="H201" s="516" t="s">
        <v>140</v>
      </c>
      <c r="I201" s="517" t="s">
        <v>141</v>
      </c>
      <c r="J201" s="518" t="s">
        <v>142</v>
      </c>
      <c r="K201" s="312" t="s">
        <v>143</v>
      </c>
      <c r="L201" s="316" t="s">
        <v>144</v>
      </c>
    </row>
    <row r="202" spans="1:14" ht="15" customHeight="1">
      <c r="A202" s="1987"/>
      <c r="B202" s="1988"/>
      <c r="C202" s="84">
        <v>2014</v>
      </c>
      <c r="D202" s="33"/>
      <c r="E202" s="34"/>
      <c r="F202" s="34"/>
      <c r="G202" s="32"/>
      <c r="H202" s="317"/>
      <c r="I202" s="318"/>
      <c r="J202" s="319"/>
      <c r="K202" s="34"/>
      <c r="L202" s="37"/>
    </row>
    <row r="203" spans="1:14">
      <c r="A203" s="1987"/>
      <c r="B203" s="1988"/>
      <c r="C203" s="86">
        <v>2015</v>
      </c>
      <c r="D203" s="50"/>
      <c r="E203" s="42"/>
      <c r="F203" s="42"/>
      <c r="G203" s="39"/>
      <c r="H203" s="320"/>
      <c r="I203" s="321"/>
      <c r="J203" s="322"/>
      <c r="K203" s="42"/>
      <c r="L203" s="99"/>
    </row>
    <row r="204" spans="1:14">
      <c r="A204" s="1987"/>
      <c r="B204" s="1988"/>
      <c r="C204" s="86">
        <v>2016</v>
      </c>
      <c r="D204" s="50"/>
      <c r="E204" s="42"/>
      <c r="F204" s="42"/>
      <c r="G204" s="39"/>
      <c r="H204" s="320"/>
      <c r="I204" s="321"/>
      <c r="J204" s="322"/>
      <c r="K204" s="42"/>
      <c r="L204" s="99"/>
    </row>
    <row r="205" spans="1:14">
      <c r="A205" s="1987"/>
      <c r="B205" s="1988"/>
      <c r="C205" s="86">
        <v>2017</v>
      </c>
      <c r="D205" s="50"/>
      <c r="E205" s="42"/>
      <c r="F205" s="42"/>
      <c r="G205" s="39"/>
      <c r="H205" s="320"/>
      <c r="I205" s="321"/>
      <c r="J205" s="322"/>
      <c r="K205" s="42"/>
      <c r="L205" s="99"/>
    </row>
    <row r="206" spans="1:14">
      <c r="A206" s="1987"/>
      <c r="B206" s="1988"/>
      <c r="C206" s="86">
        <v>2018</v>
      </c>
      <c r="D206" s="50"/>
      <c r="E206" s="42"/>
      <c r="F206" s="42"/>
      <c r="G206" s="39"/>
      <c r="H206" s="320"/>
      <c r="I206" s="321"/>
      <c r="J206" s="322"/>
      <c r="K206" s="42"/>
      <c r="L206" s="99"/>
    </row>
    <row r="207" spans="1:14">
      <c r="A207" s="1987"/>
      <c r="B207" s="1988"/>
      <c r="C207" s="86">
        <v>2019</v>
      </c>
      <c r="D207" s="50"/>
      <c r="E207" s="42"/>
      <c r="F207" s="42"/>
      <c r="G207" s="39"/>
      <c r="H207" s="320"/>
      <c r="I207" s="321"/>
      <c r="J207" s="322"/>
      <c r="K207" s="42"/>
      <c r="L207" s="99"/>
    </row>
    <row r="208" spans="1:14">
      <c r="A208" s="1987"/>
      <c r="B208" s="1988"/>
      <c r="C208" s="86">
        <v>2020</v>
      </c>
      <c r="D208" s="473"/>
      <c r="E208" s="324"/>
      <c r="F208" s="324"/>
      <c r="G208" s="325"/>
      <c r="H208" s="326"/>
      <c r="I208" s="327"/>
      <c r="J208" s="328"/>
      <c r="K208" s="324"/>
      <c r="L208" s="329"/>
    </row>
    <row r="209" spans="1:12" ht="20.25" customHeight="1" thickBot="1">
      <c r="A209" s="1989"/>
      <c r="B209" s="1990"/>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519" t="s">
        <v>145</v>
      </c>
      <c r="B212" s="331" t="s">
        <v>146</v>
      </c>
      <c r="C212" s="332">
        <v>2014</v>
      </c>
      <c r="D212" s="333">
        <v>2015</v>
      </c>
      <c r="E212" s="333">
        <v>2016</v>
      </c>
      <c r="F212" s="333">
        <v>2017</v>
      </c>
      <c r="G212" s="333">
        <v>2018</v>
      </c>
      <c r="H212" s="333">
        <v>2019</v>
      </c>
      <c r="I212" s="334">
        <v>2020</v>
      </c>
    </row>
    <row r="213" spans="1:12" ht="15" customHeight="1">
      <c r="A213" t="s">
        <v>147</v>
      </c>
      <c r="B213" s="2196" t="s">
        <v>199</v>
      </c>
      <c r="C213" s="84"/>
      <c r="D213" s="520">
        <f>SUM(D214:D217)</f>
        <v>14164.35</v>
      </c>
      <c r="E213" s="520">
        <f>SUM(E214:E217)</f>
        <v>750236.10000000009</v>
      </c>
      <c r="F213" s="147"/>
      <c r="G213" s="147"/>
      <c r="H213" s="147"/>
      <c r="I213" s="335"/>
    </row>
    <row r="214" spans="1:12">
      <c r="A214" t="s">
        <v>149</v>
      </c>
      <c r="B214" s="2168"/>
      <c r="C214" s="84"/>
      <c r="D214" s="147">
        <v>1998.85</v>
      </c>
      <c r="E214" s="144">
        <v>256263.27</v>
      </c>
      <c r="F214" s="147"/>
      <c r="G214" s="147"/>
      <c r="H214" s="147"/>
      <c r="I214" s="335"/>
    </row>
    <row r="215" spans="1:12">
      <c r="A215" t="s">
        <v>150</v>
      </c>
      <c r="B215" s="2168"/>
      <c r="C215" s="84"/>
      <c r="D215" s="147"/>
      <c r="E215" s="144"/>
      <c r="F215" s="147"/>
      <c r="G215" s="147"/>
      <c r="H215" s="147"/>
      <c r="I215" s="335"/>
    </row>
    <row r="216" spans="1:12">
      <c r="A216" t="s">
        <v>151</v>
      </c>
      <c r="B216" s="2168"/>
      <c r="C216" s="84"/>
      <c r="D216" s="147">
        <v>12165.5</v>
      </c>
      <c r="E216" s="144">
        <v>210919.63</v>
      </c>
      <c r="F216" s="147"/>
      <c r="G216" s="147"/>
      <c r="H216" s="147"/>
      <c r="I216" s="335"/>
    </row>
    <row r="217" spans="1:12">
      <c r="A217" t="s">
        <v>152</v>
      </c>
      <c r="B217" s="2168"/>
      <c r="C217" s="84"/>
      <c r="D217" s="147"/>
      <c r="E217" s="144">
        <v>283053.2</v>
      </c>
      <c r="F217" s="147"/>
      <c r="G217" s="147"/>
      <c r="H217" s="147"/>
      <c r="I217" s="335"/>
    </row>
    <row r="218" spans="1:12" ht="30">
      <c r="A218" s="31" t="s">
        <v>153</v>
      </c>
      <c r="B218" s="2168"/>
      <c r="C218" s="84"/>
      <c r="D218" s="144">
        <v>139540.98000000001</v>
      </c>
      <c r="E218" s="144">
        <v>305032.98</v>
      </c>
      <c r="F218" s="147"/>
      <c r="G218" s="147"/>
      <c r="H218" s="147"/>
      <c r="I218" s="335"/>
    </row>
    <row r="219" spans="1:12" ht="15.75" thickBot="1">
      <c r="A219" s="472"/>
      <c r="B219" s="2169"/>
      <c r="C219" s="54" t="s">
        <v>12</v>
      </c>
      <c r="D219" s="337">
        <f>SUM(D214:D218)</f>
        <v>153705.33000000002</v>
      </c>
      <c r="E219" s="337">
        <f t="shared" ref="E219:I219" si="24">SUM(E214:E218)</f>
        <v>1055269.08</v>
      </c>
      <c r="F219" s="337">
        <f t="shared" si="24"/>
        <v>0</v>
      </c>
      <c r="G219" s="337">
        <f t="shared" si="24"/>
        <v>0</v>
      </c>
      <c r="H219" s="337">
        <f t="shared" si="24"/>
        <v>0</v>
      </c>
      <c r="I219" s="337">
        <f t="shared" si="24"/>
        <v>0</v>
      </c>
    </row>
    <row r="224" spans="1:12">
      <c r="D224" s="144"/>
    </row>
    <row r="225" spans="1:8">
      <c r="D225" s="172"/>
      <c r="G225" s="521"/>
      <c r="H225" s="521"/>
    </row>
    <row r="226" spans="1:8">
      <c r="D226" s="172"/>
    </row>
    <row r="227" spans="1:8">
      <c r="A227" s="31"/>
    </row>
    <row r="228" spans="1:8">
      <c r="F228" s="440"/>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Y227"/>
  <sheetViews>
    <sheetView topLeftCell="A205" workbookViewId="0">
      <selection activeCell="E235" sqref="E235"/>
    </sheetView>
  </sheetViews>
  <sheetFormatPr defaultColWidth="8.85546875" defaultRowHeight="15"/>
  <cols>
    <col min="1" max="1" width="91" customWidth="1"/>
    <col min="2" max="2" width="47.710937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210</v>
      </c>
      <c r="C1" s="2077"/>
      <c r="D1" s="2077"/>
      <c r="E1" s="2077"/>
      <c r="F1" s="2077"/>
    </row>
    <row r="2" spans="1:25" s="2" customFormat="1" ht="20.100000000000001" customHeight="1" thickBot="1"/>
    <row r="3" spans="1:25" s="5" customFormat="1" ht="20.100000000000001" customHeight="1">
      <c r="A3" s="522" t="s">
        <v>1</v>
      </c>
      <c r="B3" s="523"/>
      <c r="C3" s="523"/>
      <c r="D3" s="523"/>
      <c r="E3" s="523"/>
      <c r="F3" s="2236"/>
      <c r="G3" s="2236"/>
      <c r="H3" s="2236"/>
      <c r="I3" s="2236"/>
      <c r="J3" s="2236"/>
      <c r="K3" s="2236"/>
      <c r="L3" s="2236"/>
      <c r="M3" s="2236"/>
      <c r="N3" s="2236"/>
      <c r="O3" s="2237"/>
    </row>
    <row r="4" spans="1:25" s="5" customFormat="1" ht="20.100000000000001" customHeight="1">
      <c r="A4" s="2080" t="s">
        <v>2</v>
      </c>
      <c r="B4" s="2081"/>
      <c r="C4" s="2081"/>
      <c r="D4" s="2081"/>
      <c r="E4" s="2081"/>
      <c r="F4" s="2081"/>
      <c r="G4" s="2081"/>
      <c r="H4" s="2081"/>
      <c r="I4" s="2081"/>
      <c r="J4" s="2081"/>
      <c r="K4" s="2081"/>
      <c r="L4" s="2081"/>
      <c r="M4" s="2081"/>
      <c r="N4" s="2081"/>
      <c r="O4" s="2082"/>
    </row>
    <row r="5" spans="1:25" s="5" customFormat="1" ht="20.100000000000001" customHeight="1">
      <c r="A5" s="2080"/>
      <c r="B5" s="2081"/>
      <c r="C5" s="2081"/>
      <c r="D5" s="2081"/>
      <c r="E5" s="2081"/>
      <c r="F5" s="2081"/>
      <c r="G5" s="2081"/>
      <c r="H5" s="2081"/>
      <c r="I5" s="2081"/>
      <c r="J5" s="2081"/>
      <c r="K5" s="2081"/>
      <c r="L5" s="2081"/>
      <c r="M5" s="2081"/>
      <c r="N5" s="2081"/>
      <c r="O5" s="2082"/>
    </row>
    <row r="6" spans="1:25" s="5" customFormat="1" ht="20.100000000000001" customHeight="1">
      <c r="A6" s="2080"/>
      <c r="B6" s="2081"/>
      <c r="C6" s="2081"/>
      <c r="D6" s="2081"/>
      <c r="E6" s="2081"/>
      <c r="F6" s="2081"/>
      <c r="G6" s="2081"/>
      <c r="H6" s="2081"/>
      <c r="I6" s="2081"/>
      <c r="J6" s="2081"/>
      <c r="K6" s="2081"/>
      <c r="L6" s="2081"/>
      <c r="M6" s="2081"/>
      <c r="N6" s="2081"/>
      <c r="O6" s="2082"/>
    </row>
    <row r="7" spans="1:25" s="5" customFormat="1" ht="20.100000000000001" customHeight="1">
      <c r="A7" s="2080"/>
      <c r="B7" s="2081"/>
      <c r="C7" s="2081"/>
      <c r="D7" s="2081"/>
      <c r="E7" s="2081"/>
      <c r="F7" s="2081"/>
      <c r="G7" s="2081"/>
      <c r="H7" s="2081"/>
      <c r="I7" s="2081"/>
      <c r="J7" s="2081"/>
      <c r="K7" s="2081"/>
      <c r="L7" s="2081"/>
      <c r="M7" s="2081"/>
      <c r="N7" s="2081"/>
      <c r="O7" s="2082"/>
    </row>
    <row r="8" spans="1:25" s="5" customFormat="1" ht="20.100000000000001" customHeight="1">
      <c r="A8" s="2080"/>
      <c r="B8" s="2081"/>
      <c r="C8" s="2081"/>
      <c r="D8" s="2081"/>
      <c r="E8" s="2081"/>
      <c r="F8" s="2081"/>
      <c r="G8" s="2081"/>
      <c r="H8" s="2081"/>
      <c r="I8" s="2081"/>
      <c r="J8" s="2081"/>
      <c r="K8" s="2081"/>
      <c r="L8" s="2081"/>
      <c r="M8" s="2081"/>
      <c r="N8" s="2081"/>
      <c r="O8" s="2082"/>
    </row>
    <row r="9" spans="1:25" s="5" customFormat="1" ht="20.100000000000001" customHeight="1">
      <c r="A9" s="2080"/>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524"/>
      <c r="B15" s="525"/>
      <c r="C15" s="11"/>
      <c r="D15" s="2238" t="s">
        <v>4</v>
      </c>
      <c r="E15" s="2239"/>
      <c r="F15" s="2239"/>
      <c r="G15" s="2239"/>
      <c r="H15" s="526"/>
      <c r="I15" s="13" t="s">
        <v>5</v>
      </c>
      <c r="J15" s="14"/>
      <c r="K15" s="14"/>
      <c r="L15" s="14"/>
      <c r="M15" s="14"/>
      <c r="N15" s="14"/>
      <c r="O15" s="15"/>
      <c r="P15" s="16"/>
      <c r="Q15" s="17"/>
      <c r="R15" s="18"/>
      <c r="S15" s="18"/>
      <c r="T15" s="18"/>
      <c r="U15" s="18"/>
      <c r="V15" s="18"/>
      <c r="W15" s="16"/>
      <c r="X15" s="16"/>
      <c r="Y15" s="17"/>
    </row>
    <row r="16" spans="1:25" s="31" customFormat="1" ht="129" customHeight="1">
      <c r="A16" s="20"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240" t="s">
        <v>200</v>
      </c>
      <c r="B17" s="2241"/>
      <c r="C17" s="32">
        <v>2014</v>
      </c>
      <c r="D17" s="527"/>
      <c r="E17" s="528"/>
      <c r="F17" s="528"/>
      <c r="G17" s="529">
        <f t="shared" ref="G17:G23" si="0">SUM(D17:F17)</f>
        <v>0</v>
      </c>
      <c r="H17" s="530"/>
      <c r="I17" s="528"/>
      <c r="J17" s="528"/>
      <c r="K17" s="528"/>
      <c r="L17" s="528"/>
      <c r="M17" s="528"/>
      <c r="N17" s="528"/>
      <c r="O17" s="531"/>
      <c r="P17" s="38"/>
      <c r="Q17" s="38"/>
      <c r="R17" s="38"/>
      <c r="S17" s="38"/>
      <c r="T17" s="38"/>
      <c r="U17" s="38"/>
      <c r="V17" s="38"/>
      <c r="W17" s="38"/>
      <c r="X17" s="38"/>
      <c r="Y17" s="38"/>
    </row>
    <row r="18" spans="1:25">
      <c r="A18" s="2240"/>
      <c r="B18" s="2241"/>
      <c r="C18" s="39">
        <v>2015</v>
      </c>
      <c r="D18" s="532">
        <v>10</v>
      </c>
      <c r="E18" s="533">
        <v>2</v>
      </c>
      <c r="F18" s="533">
        <v>0</v>
      </c>
      <c r="G18" s="529"/>
      <c r="H18" s="534"/>
      <c r="I18" s="535">
        <v>0</v>
      </c>
      <c r="J18" s="535"/>
      <c r="K18" s="535">
        <v>8</v>
      </c>
      <c r="L18" s="535">
        <v>2</v>
      </c>
      <c r="M18" s="535">
        <v>0</v>
      </c>
      <c r="N18" s="535">
        <v>0</v>
      </c>
      <c r="O18" s="536">
        <v>2</v>
      </c>
      <c r="P18" s="38"/>
      <c r="Q18" s="38"/>
      <c r="R18" s="38"/>
      <c r="S18" s="38"/>
      <c r="T18" s="38"/>
      <c r="U18" s="38"/>
      <c r="V18" s="38"/>
      <c r="W18" s="38"/>
      <c r="X18" s="38"/>
      <c r="Y18" s="38"/>
    </row>
    <row r="19" spans="1:25">
      <c r="A19" s="2240"/>
      <c r="B19" s="2241"/>
      <c r="C19" s="39">
        <v>2016</v>
      </c>
      <c r="D19" s="537">
        <v>58</v>
      </c>
      <c r="E19" s="538">
        <v>3</v>
      </c>
      <c r="F19" s="538">
        <v>1</v>
      </c>
      <c r="G19" s="529">
        <f t="shared" si="0"/>
        <v>62</v>
      </c>
      <c r="H19" s="346"/>
      <c r="I19" s="347">
        <v>34</v>
      </c>
      <c r="J19" s="347"/>
      <c r="K19" s="347">
        <v>0</v>
      </c>
      <c r="L19" s="347">
        <v>9</v>
      </c>
      <c r="M19" s="347">
        <v>0</v>
      </c>
      <c r="N19" s="347">
        <v>0</v>
      </c>
      <c r="O19" s="539">
        <v>19</v>
      </c>
      <c r="P19" s="38"/>
      <c r="Q19" s="38"/>
      <c r="R19" s="38"/>
      <c r="S19" s="38"/>
      <c r="T19" s="38"/>
      <c r="U19" s="38"/>
      <c r="V19" s="38"/>
      <c r="W19" s="38"/>
      <c r="X19" s="38"/>
      <c r="Y19" s="38"/>
    </row>
    <row r="20" spans="1:25">
      <c r="A20" s="2240"/>
      <c r="B20" s="2241"/>
      <c r="C20" s="39">
        <v>2017</v>
      </c>
      <c r="D20" s="537"/>
      <c r="E20" s="538"/>
      <c r="F20" s="538"/>
      <c r="G20" s="529">
        <f t="shared" si="0"/>
        <v>0</v>
      </c>
      <c r="H20" s="346"/>
      <c r="I20" s="347"/>
      <c r="J20" s="347"/>
      <c r="K20" s="347"/>
      <c r="L20" s="347"/>
      <c r="M20" s="347"/>
      <c r="N20" s="347"/>
      <c r="O20" s="539"/>
      <c r="P20" s="38"/>
      <c r="Q20" s="38"/>
      <c r="R20" s="38"/>
      <c r="S20" s="38"/>
      <c r="T20" s="38"/>
      <c r="U20" s="38"/>
      <c r="V20" s="38"/>
      <c r="W20" s="38"/>
      <c r="X20" s="38"/>
      <c r="Y20" s="38"/>
    </row>
    <row r="21" spans="1:25">
      <c r="A21" s="2240"/>
      <c r="B21" s="2241"/>
      <c r="C21" s="39">
        <v>2018</v>
      </c>
      <c r="D21" s="537"/>
      <c r="E21" s="538"/>
      <c r="F21" s="538"/>
      <c r="G21" s="529">
        <f t="shared" si="0"/>
        <v>0</v>
      </c>
      <c r="H21" s="346"/>
      <c r="I21" s="347"/>
      <c r="J21" s="347"/>
      <c r="K21" s="347"/>
      <c r="L21" s="347"/>
      <c r="M21" s="347"/>
      <c r="N21" s="347"/>
      <c r="O21" s="539"/>
      <c r="P21" s="38"/>
      <c r="Q21" s="38"/>
      <c r="R21" s="38"/>
      <c r="S21" s="38"/>
      <c r="T21" s="38"/>
      <c r="U21" s="38"/>
      <c r="V21" s="38"/>
      <c r="W21" s="38"/>
      <c r="X21" s="38"/>
      <c r="Y21" s="38"/>
    </row>
    <row r="22" spans="1:25">
      <c r="A22" s="2240"/>
      <c r="B22" s="2241"/>
      <c r="C22" s="53">
        <v>2019</v>
      </c>
      <c r="D22" s="537"/>
      <c r="E22" s="538"/>
      <c r="F22" s="538"/>
      <c r="G22" s="529">
        <f>SUM(D22:F22)</f>
        <v>0</v>
      </c>
      <c r="H22" s="346"/>
      <c r="I22" s="347"/>
      <c r="J22" s="347"/>
      <c r="K22" s="347"/>
      <c r="L22" s="347"/>
      <c r="M22" s="347"/>
      <c r="N22" s="347"/>
      <c r="O22" s="539"/>
      <c r="P22" s="38"/>
      <c r="Q22" s="38"/>
      <c r="R22" s="38"/>
      <c r="S22" s="38"/>
      <c r="T22" s="38"/>
      <c r="U22" s="38"/>
      <c r="V22" s="38"/>
      <c r="W22" s="38"/>
      <c r="X22" s="38"/>
      <c r="Y22" s="38"/>
    </row>
    <row r="23" spans="1:25">
      <c r="A23" s="2240"/>
      <c r="B23" s="2241"/>
      <c r="C23" s="39">
        <v>2020</v>
      </c>
      <c r="D23" s="537"/>
      <c r="E23" s="538"/>
      <c r="F23" s="538"/>
      <c r="G23" s="529">
        <f t="shared" si="0"/>
        <v>0</v>
      </c>
      <c r="H23" s="346"/>
      <c r="I23" s="347"/>
      <c r="J23" s="347"/>
      <c r="K23" s="347"/>
      <c r="L23" s="347"/>
      <c r="M23" s="347"/>
      <c r="N23" s="347"/>
      <c r="O23" s="539"/>
      <c r="P23" s="38"/>
      <c r="Q23" s="38"/>
      <c r="R23" s="38"/>
      <c r="S23" s="38"/>
      <c r="T23" s="38"/>
      <c r="U23" s="38"/>
      <c r="V23" s="38"/>
      <c r="W23" s="38"/>
      <c r="X23" s="38"/>
      <c r="Y23" s="38"/>
    </row>
    <row r="24" spans="1:25" ht="39" customHeight="1" thickBot="1">
      <c r="A24" s="2242"/>
      <c r="B24" s="2243"/>
      <c r="C24" s="54" t="s">
        <v>12</v>
      </c>
      <c r="D24" s="540">
        <f>SUM(D17:D23)</f>
        <v>68</v>
      </c>
      <c r="E24" s="541">
        <f>SUM(E17:E23)</f>
        <v>5</v>
      </c>
      <c r="F24" s="541">
        <f>SUM(F17:F23)</f>
        <v>1</v>
      </c>
      <c r="G24" s="542">
        <f>SUM(D24:F24)</f>
        <v>74</v>
      </c>
      <c r="H24" s="349">
        <f>SUM(H17:H23)</f>
        <v>0</v>
      </c>
      <c r="I24" s="543">
        <f>SUM(I17:I23)</f>
        <v>34</v>
      </c>
      <c r="J24" s="543">
        <f t="shared" ref="J24:N24" si="1">SUM(J17:J23)</f>
        <v>0</v>
      </c>
      <c r="K24" s="543">
        <f t="shared" si="1"/>
        <v>8</v>
      </c>
      <c r="L24" s="543">
        <f t="shared" si="1"/>
        <v>11</v>
      </c>
      <c r="M24" s="543">
        <f t="shared" si="1"/>
        <v>0</v>
      </c>
      <c r="N24" s="543">
        <f t="shared" si="1"/>
        <v>0</v>
      </c>
      <c r="O24" s="351">
        <f>SUM(O17:O23)</f>
        <v>21</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524"/>
      <c r="B26" s="525"/>
      <c r="C26" s="63"/>
      <c r="D26" s="2244" t="s">
        <v>4</v>
      </c>
      <c r="E26" s="2245"/>
      <c r="F26" s="2245"/>
      <c r="G26" s="2246"/>
      <c r="H26" s="16"/>
      <c r="I26" s="17"/>
      <c r="J26" s="18"/>
      <c r="K26" s="18"/>
      <c r="L26" s="18"/>
      <c r="M26" s="18"/>
      <c r="N26" s="18"/>
      <c r="O26" s="16"/>
      <c r="P26" s="16"/>
    </row>
    <row r="27" spans="1:25" s="31" customFormat="1" ht="55.5" customHeight="1">
      <c r="A27" s="64"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240" t="s">
        <v>201</v>
      </c>
      <c r="B28" s="2241"/>
      <c r="C28" s="68">
        <v>2014</v>
      </c>
      <c r="D28" s="36"/>
      <c r="E28" s="34"/>
      <c r="F28" s="34"/>
      <c r="G28" s="69">
        <f>SUM(D28:F28)</f>
        <v>0</v>
      </c>
      <c r="H28" s="38"/>
      <c r="I28" s="38"/>
      <c r="J28" s="38"/>
      <c r="K28" s="38"/>
      <c r="L28" s="38"/>
      <c r="M28" s="38"/>
      <c r="N28" s="38"/>
      <c r="O28" s="38"/>
      <c r="P28" s="38"/>
      <c r="Q28" s="8"/>
    </row>
    <row r="29" spans="1:25">
      <c r="A29" s="2240"/>
      <c r="B29" s="2241"/>
      <c r="C29" s="70">
        <v>2015</v>
      </c>
      <c r="D29" s="346">
        <f>996+17+14+233+17+250+24+220+24+244-65+5000</f>
        <v>6974</v>
      </c>
      <c r="E29" s="535">
        <f>20000+65000+25000</f>
        <v>110000</v>
      </c>
      <c r="F29" s="42">
        <v>0</v>
      </c>
      <c r="G29" s="348">
        <f t="shared" ref="G29:G34" si="2">SUM(D29:F29)</f>
        <v>116974</v>
      </c>
      <c r="H29" s="38"/>
      <c r="I29" s="38"/>
      <c r="J29" s="38"/>
      <c r="K29" s="38"/>
      <c r="L29" s="38"/>
      <c r="M29" s="38"/>
      <c r="N29" s="38"/>
      <c r="O29" s="38"/>
      <c r="P29" s="38"/>
      <c r="Q29" s="8"/>
    </row>
    <row r="30" spans="1:25">
      <c r="A30" s="2240"/>
      <c r="B30" s="2241"/>
      <c r="C30" s="70">
        <v>2016</v>
      </c>
      <c r="D30" s="346">
        <f>143+63+40+91+106+57+317+23+22+43+42+44+44+43+115+13+22+23+83+54+154+367</f>
        <v>1909</v>
      </c>
      <c r="E30" s="535">
        <f>32000+50000+20000</f>
        <v>102000</v>
      </c>
      <c r="F30" s="347">
        <v>400000</v>
      </c>
      <c r="G30" s="348">
        <f>D30+E30+F30</f>
        <v>503909</v>
      </c>
      <c r="H30" s="38"/>
      <c r="I30" s="38"/>
      <c r="J30" s="38"/>
      <c r="K30" s="38"/>
      <c r="L30" s="38"/>
      <c r="M30" s="38"/>
      <c r="N30" s="38"/>
      <c r="O30" s="38"/>
      <c r="P30" s="38"/>
      <c r="Q30" s="8"/>
    </row>
    <row r="31" spans="1:25">
      <c r="A31" s="2240"/>
      <c r="B31" s="2241"/>
      <c r="C31" s="70">
        <v>2017</v>
      </c>
      <c r="D31" s="346"/>
      <c r="E31" s="347"/>
      <c r="F31" s="347"/>
      <c r="G31" s="348">
        <f t="shared" si="2"/>
        <v>0</v>
      </c>
      <c r="H31" s="38"/>
      <c r="I31" s="38"/>
      <c r="J31" s="38"/>
      <c r="K31" s="38"/>
      <c r="L31" s="38"/>
      <c r="M31" s="38"/>
      <c r="N31" s="38"/>
      <c r="O31" s="38"/>
      <c r="P31" s="38"/>
      <c r="Q31" s="8"/>
    </row>
    <row r="32" spans="1:25">
      <c r="A32" s="2240"/>
      <c r="B32" s="2241"/>
      <c r="C32" s="70">
        <v>2018</v>
      </c>
      <c r="D32" s="346"/>
      <c r="E32" s="347"/>
      <c r="F32" s="347"/>
      <c r="G32" s="348">
        <f>SUM(D32:F32)</f>
        <v>0</v>
      </c>
      <c r="H32" s="38"/>
      <c r="I32" s="38"/>
      <c r="J32" s="38"/>
      <c r="K32" s="38"/>
      <c r="L32" s="38"/>
      <c r="M32" s="38"/>
      <c r="N32" s="38"/>
      <c r="O32" s="38"/>
      <c r="P32" s="38"/>
      <c r="Q32" s="8"/>
    </row>
    <row r="33" spans="1:17">
      <c r="A33" s="2240"/>
      <c r="B33" s="2241"/>
      <c r="C33" s="72">
        <v>2019</v>
      </c>
      <c r="D33" s="346"/>
      <c r="E33" s="347"/>
      <c r="F33" s="347"/>
      <c r="G33" s="348">
        <f t="shared" si="2"/>
        <v>0</v>
      </c>
      <c r="H33" s="38"/>
      <c r="I33" s="38"/>
      <c r="J33" s="38"/>
      <c r="K33" s="38"/>
      <c r="L33" s="38"/>
      <c r="M33" s="38"/>
      <c r="N33" s="38"/>
      <c r="O33" s="38"/>
      <c r="P33" s="38"/>
      <c r="Q33" s="8"/>
    </row>
    <row r="34" spans="1:17" ht="16.5" customHeight="1">
      <c r="A34" s="2240"/>
      <c r="B34" s="2241"/>
      <c r="C34" s="70">
        <v>2020</v>
      </c>
      <c r="D34" s="346"/>
      <c r="E34" s="347"/>
      <c r="F34" s="347"/>
      <c r="G34" s="348">
        <f t="shared" si="2"/>
        <v>0</v>
      </c>
      <c r="H34" s="38"/>
      <c r="I34" s="38"/>
      <c r="J34" s="38"/>
      <c r="K34" s="38"/>
      <c r="L34" s="38"/>
      <c r="M34" s="38"/>
      <c r="N34" s="38"/>
      <c r="O34" s="38"/>
      <c r="P34" s="38"/>
      <c r="Q34" s="8"/>
    </row>
    <row r="35" spans="1:17" ht="86.25" customHeight="1" thickBot="1">
      <c r="A35" s="2242"/>
      <c r="B35" s="2243"/>
      <c r="C35" s="73" t="s">
        <v>12</v>
      </c>
      <c r="D35" s="349">
        <f>SUM(D28:D34)</f>
        <v>8883</v>
      </c>
      <c r="E35" s="350">
        <f>SUM(E28:E34)</f>
        <v>212000</v>
      </c>
      <c r="F35" s="350">
        <f>SUM(F28:F34)</f>
        <v>400000</v>
      </c>
      <c r="G35" s="351">
        <f>D35+E35+F35</f>
        <v>620883</v>
      </c>
      <c r="H35" s="38"/>
      <c r="I35" s="544"/>
      <c r="J35" s="38"/>
      <c r="K35" s="38"/>
      <c r="L35" s="38"/>
      <c r="M35" s="38"/>
      <c r="N35" s="38"/>
      <c r="O35" s="38"/>
      <c r="P35" s="38"/>
      <c r="Q35" s="8"/>
    </row>
    <row r="36" spans="1:17">
      <c r="A36" s="74"/>
      <c r="B36" s="74"/>
      <c r="C36" s="62"/>
      <c r="H36" s="8"/>
      <c r="I36" s="545"/>
      <c r="J36" s="545"/>
      <c r="K36" s="545"/>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486" t="s">
        <v>25</v>
      </c>
      <c r="B39" s="487" t="s">
        <v>7</v>
      </c>
      <c r="C39" s="80" t="s">
        <v>8</v>
      </c>
      <c r="D39" s="546" t="s">
        <v>26</v>
      </c>
      <c r="E39" s="352" t="s">
        <v>27</v>
      </c>
      <c r="F39" s="353"/>
      <c r="G39" s="30"/>
      <c r="H39" s="30"/>
    </row>
    <row r="40" spans="1:17">
      <c r="A40" s="2007"/>
      <c r="B40" s="1988"/>
      <c r="C40" s="84">
        <v>2014</v>
      </c>
      <c r="D40" s="33"/>
      <c r="E40" s="32"/>
      <c r="F40" s="8"/>
      <c r="G40" s="38"/>
      <c r="H40" s="38"/>
    </row>
    <row r="41" spans="1:17">
      <c r="A41" s="1987"/>
      <c r="B41" s="1988"/>
      <c r="C41" s="86">
        <v>2015</v>
      </c>
      <c r="D41" s="547">
        <v>11060</v>
      </c>
      <c r="E41" s="548">
        <v>3374</v>
      </c>
      <c r="F41" s="8"/>
      <c r="G41" s="38"/>
      <c r="H41" s="38"/>
    </row>
    <row r="42" spans="1:17">
      <c r="A42" s="1987"/>
      <c r="B42" s="1988"/>
      <c r="C42" s="86">
        <v>2016</v>
      </c>
      <c r="D42" s="547">
        <v>34877</v>
      </c>
      <c r="E42" s="548">
        <v>13201</v>
      </c>
      <c r="F42" s="8"/>
      <c r="G42" s="38"/>
      <c r="H42" s="38"/>
    </row>
    <row r="43" spans="1:17">
      <c r="A43" s="1987"/>
      <c r="B43" s="1988"/>
      <c r="C43" s="86">
        <v>2017</v>
      </c>
      <c r="D43" s="354"/>
      <c r="E43" s="355"/>
      <c r="F43" s="8"/>
      <c r="G43" s="38"/>
      <c r="H43" s="38"/>
    </row>
    <row r="44" spans="1:17">
      <c r="A44" s="1987"/>
      <c r="B44" s="1988"/>
      <c r="C44" s="86">
        <v>2018</v>
      </c>
      <c r="D44" s="354"/>
      <c r="E44" s="355"/>
      <c r="F44" s="8"/>
      <c r="G44" s="38"/>
      <c r="H44" s="38"/>
    </row>
    <row r="45" spans="1:17">
      <c r="A45" s="1987"/>
      <c r="B45" s="1988"/>
      <c r="C45" s="86">
        <v>2019</v>
      </c>
      <c r="D45" s="354"/>
      <c r="E45" s="355"/>
      <c r="F45" s="8"/>
      <c r="G45" s="38"/>
      <c r="H45" s="38"/>
    </row>
    <row r="46" spans="1:17">
      <c r="A46" s="1987"/>
      <c r="B46" s="1988"/>
      <c r="C46" s="86">
        <v>2020</v>
      </c>
      <c r="D46" s="354"/>
      <c r="E46" s="355"/>
      <c r="F46" s="8"/>
      <c r="G46" s="38"/>
      <c r="H46" s="38"/>
    </row>
    <row r="47" spans="1:17" ht="15.75" thickBot="1">
      <c r="A47" s="1989"/>
      <c r="B47" s="1990"/>
      <c r="C47" s="54" t="s">
        <v>12</v>
      </c>
      <c r="D47" s="356">
        <f>SUM(D40:D46)</f>
        <v>45937</v>
      </c>
      <c r="E47" s="357">
        <f>SUM(E40:E46)</f>
        <v>16575</v>
      </c>
      <c r="F47" s="121"/>
      <c r="G47" s="38"/>
      <c r="H47" s="38"/>
    </row>
    <row r="48" spans="1:17" s="38" customFormat="1" ht="15.75" thickBot="1">
      <c r="A48" s="549"/>
      <c r="B48" s="92"/>
      <c r="C48" s="93"/>
    </row>
    <row r="49" spans="1:15" ht="83.25" customHeight="1">
      <c r="A49" s="550" t="s">
        <v>29</v>
      </c>
      <c r="B49" s="487" t="s">
        <v>7</v>
      </c>
      <c r="C49" s="95" t="s">
        <v>8</v>
      </c>
      <c r="D49" s="546" t="s">
        <v>30</v>
      </c>
      <c r="E49" s="96" t="s">
        <v>31</v>
      </c>
      <c r="F49" s="96" t="s">
        <v>32</v>
      </c>
      <c r="G49" s="96" t="s">
        <v>33</v>
      </c>
      <c r="H49" s="96" t="s">
        <v>34</v>
      </c>
      <c r="I49" s="96" t="s">
        <v>35</v>
      </c>
      <c r="J49" s="96" t="s">
        <v>36</v>
      </c>
      <c r="K49" s="97" t="s">
        <v>37</v>
      </c>
    </row>
    <row r="50" spans="1:15" ht="17.25" customHeight="1">
      <c r="A50" s="2005"/>
      <c r="B50" s="2012"/>
      <c r="C50" s="98" t="s">
        <v>38</v>
      </c>
      <c r="D50" s="33"/>
      <c r="E50" s="34"/>
      <c r="F50" s="34"/>
      <c r="G50" s="34"/>
      <c r="H50" s="34"/>
      <c r="I50" s="34"/>
      <c r="J50" s="34"/>
      <c r="K50" s="37"/>
    </row>
    <row r="51" spans="1:15" ht="15" customHeight="1">
      <c r="A51" s="2007"/>
      <c r="B51" s="2014"/>
      <c r="C51" s="86">
        <v>2014</v>
      </c>
      <c r="D51" s="50"/>
      <c r="E51" s="42"/>
      <c r="F51" s="42"/>
      <c r="G51" s="42"/>
      <c r="H51" s="42"/>
      <c r="I51" s="42"/>
      <c r="J51" s="42"/>
      <c r="K51" s="99"/>
    </row>
    <row r="52" spans="1:15">
      <c r="A52" s="2007"/>
      <c r="B52" s="2014"/>
      <c r="C52" s="86">
        <v>2015</v>
      </c>
      <c r="D52" s="50">
        <v>0</v>
      </c>
      <c r="E52" s="42">
        <v>0</v>
      </c>
      <c r="F52" s="42">
        <v>0</v>
      </c>
      <c r="G52" s="42">
        <v>0</v>
      </c>
      <c r="H52" s="42">
        <v>0</v>
      </c>
      <c r="I52" s="42">
        <v>0</v>
      </c>
      <c r="J52" s="42">
        <v>0</v>
      </c>
      <c r="K52" s="99">
        <v>0</v>
      </c>
    </row>
    <row r="53" spans="1:15">
      <c r="A53" s="2007"/>
      <c r="B53" s="2014"/>
      <c r="C53" s="86">
        <v>2016</v>
      </c>
      <c r="D53" s="50">
        <v>0</v>
      </c>
      <c r="E53" s="42">
        <v>0</v>
      </c>
      <c r="F53" s="42">
        <v>0</v>
      </c>
      <c r="G53" s="42">
        <v>0</v>
      </c>
      <c r="H53" s="42">
        <v>0</v>
      </c>
      <c r="I53" s="42">
        <v>0</v>
      </c>
      <c r="J53" s="42">
        <v>0</v>
      </c>
      <c r="K53" s="99">
        <v>0</v>
      </c>
    </row>
    <row r="54" spans="1:15">
      <c r="A54" s="2007"/>
      <c r="B54" s="2014"/>
      <c r="C54" s="86">
        <v>2017</v>
      </c>
      <c r="D54" s="50"/>
      <c r="E54" s="42"/>
      <c r="F54" s="42"/>
      <c r="G54" s="42"/>
      <c r="H54" s="42"/>
      <c r="I54" s="42"/>
      <c r="J54" s="42"/>
      <c r="K54" s="99"/>
    </row>
    <row r="55" spans="1:15">
      <c r="A55" s="2007"/>
      <c r="B55" s="2014"/>
      <c r="C55" s="86">
        <v>2018</v>
      </c>
      <c r="D55" s="50"/>
      <c r="E55" s="42"/>
      <c r="F55" s="42"/>
      <c r="G55" s="42"/>
      <c r="H55" s="42"/>
      <c r="I55" s="42"/>
      <c r="J55" s="42"/>
      <c r="K55" s="99"/>
    </row>
    <row r="56" spans="1:15">
      <c r="A56" s="2007"/>
      <c r="B56" s="2014"/>
      <c r="C56" s="86">
        <v>2019</v>
      </c>
      <c r="D56" s="50"/>
      <c r="E56" s="42"/>
      <c r="F56" s="42"/>
      <c r="G56" s="42"/>
      <c r="H56" s="42"/>
      <c r="I56" s="42"/>
      <c r="J56" s="42"/>
      <c r="K56" s="99"/>
    </row>
    <row r="57" spans="1:15">
      <c r="A57" s="2007"/>
      <c r="B57" s="2014"/>
      <c r="C57" s="86">
        <v>2020</v>
      </c>
      <c r="D57" s="50"/>
      <c r="E57" s="42"/>
      <c r="F57" s="42"/>
      <c r="G57" s="42"/>
      <c r="H57" s="42"/>
      <c r="I57" s="42"/>
      <c r="J57" s="42"/>
      <c r="K57" s="100"/>
    </row>
    <row r="58" spans="1:15" ht="20.25" customHeight="1" thickBot="1">
      <c r="A58" s="2009"/>
      <c r="B58" s="2016"/>
      <c r="C58" s="54" t="s">
        <v>12</v>
      </c>
      <c r="D58" s="55">
        <f>SUM(D51:D57)</f>
        <v>0</v>
      </c>
      <c r="E58" s="56">
        <f>SUM(E51:E57)</f>
        <v>0</v>
      </c>
      <c r="F58" s="56">
        <f>SUM(F51:F57)</f>
        <v>0</v>
      </c>
      <c r="G58" s="56">
        <f>SUM(G51:G57)</f>
        <v>0</v>
      </c>
      <c r="H58" s="56">
        <f>SUM(H51:H57)</f>
        <v>0</v>
      </c>
      <c r="I58" s="56">
        <f t="shared" ref="I58" si="3">SUM(I51:I57)</f>
        <v>0</v>
      </c>
      <c r="J58" s="56">
        <f>SUM(J51:J57)</f>
        <v>0</v>
      </c>
      <c r="K58" s="60">
        <f>SUM(K50:K56)</f>
        <v>0</v>
      </c>
    </row>
    <row r="59" spans="1:15" ht="15.75" thickBot="1"/>
    <row r="60" spans="1:15" ht="21" customHeight="1">
      <c r="A60" s="2247" t="s">
        <v>39</v>
      </c>
      <c r="B60" s="551"/>
      <c r="C60" s="2248" t="s">
        <v>8</v>
      </c>
      <c r="D60" s="2197" t="s">
        <v>40</v>
      </c>
      <c r="E60" s="483" t="s">
        <v>5</v>
      </c>
      <c r="F60" s="484"/>
      <c r="G60" s="484"/>
      <c r="H60" s="484"/>
      <c r="I60" s="484"/>
      <c r="J60" s="484"/>
      <c r="K60" s="484"/>
      <c r="L60" s="485"/>
    </row>
    <row r="61" spans="1:15" ht="115.5" customHeight="1">
      <c r="A61" s="2100"/>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249"/>
      <c r="B62" s="2251" t="s">
        <v>202</v>
      </c>
      <c r="C62" s="112">
        <v>2014</v>
      </c>
      <c r="D62" s="113"/>
      <c r="E62" s="114"/>
      <c r="F62" s="115"/>
      <c r="G62" s="115"/>
      <c r="H62" s="115"/>
      <c r="I62" s="115"/>
      <c r="J62" s="115"/>
      <c r="K62" s="115"/>
      <c r="L62" s="37"/>
      <c r="M62" s="8"/>
      <c r="N62" s="8"/>
      <c r="O62" s="8"/>
    </row>
    <row r="63" spans="1:15">
      <c r="A63" s="2249"/>
      <c r="B63" s="2249"/>
      <c r="C63" s="116">
        <v>2015</v>
      </c>
      <c r="D63" s="117">
        <v>1</v>
      </c>
      <c r="E63" s="118">
        <v>0</v>
      </c>
      <c r="F63" s="42">
        <v>0</v>
      </c>
      <c r="G63" s="42">
        <v>0</v>
      </c>
      <c r="H63" s="42">
        <v>0</v>
      </c>
      <c r="I63" s="42">
        <v>0</v>
      </c>
      <c r="J63" s="42">
        <v>0</v>
      </c>
      <c r="K63" s="42">
        <v>0</v>
      </c>
      <c r="L63" s="99">
        <v>1</v>
      </c>
      <c r="M63" s="8"/>
      <c r="N63" s="8"/>
      <c r="O63" s="8"/>
    </row>
    <row r="64" spans="1:15">
      <c r="A64" s="2249"/>
      <c r="B64" s="2249"/>
      <c r="C64" s="116">
        <v>2016</v>
      </c>
      <c r="D64" s="117">
        <v>2</v>
      </c>
      <c r="E64" s="118">
        <v>0</v>
      </c>
      <c r="F64" s="42">
        <v>0</v>
      </c>
      <c r="G64" s="42">
        <v>0</v>
      </c>
      <c r="H64" s="42">
        <v>0</v>
      </c>
      <c r="I64" s="42">
        <v>0</v>
      </c>
      <c r="J64" s="42">
        <v>0</v>
      </c>
      <c r="K64" s="42">
        <v>0</v>
      </c>
      <c r="L64" s="99">
        <f>1+1</f>
        <v>2</v>
      </c>
      <c r="M64" s="8"/>
      <c r="N64" s="8"/>
      <c r="O64" s="8"/>
    </row>
    <row r="65" spans="1:20">
      <c r="A65" s="2249"/>
      <c r="B65" s="2249"/>
      <c r="C65" s="116">
        <v>2017</v>
      </c>
      <c r="D65" s="117"/>
      <c r="E65" s="118"/>
      <c r="F65" s="42"/>
      <c r="G65" s="42"/>
      <c r="H65" s="42"/>
      <c r="I65" s="42"/>
      <c r="J65" s="42"/>
      <c r="K65" s="42"/>
      <c r="L65" s="99"/>
      <c r="M65" s="8"/>
      <c r="N65" s="8"/>
      <c r="O65" s="8"/>
    </row>
    <row r="66" spans="1:20">
      <c r="A66" s="2249"/>
      <c r="B66" s="2249"/>
      <c r="C66" s="116">
        <v>2018</v>
      </c>
      <c r="D66" s="117"/>
      <c r="E66" s="118"/>
      <c r="F66" s="42"/>
      <c r="G66" s="42"/>
      <c r="H66" s="42"/>
      <c r="I66" s="42"/>
      <c r="J66" s="42"/>
      <c r="K66" s="42"/>
      <c r="L66" s="99"/>
      <c r="M66" s="8"/>
      <c r="N66" s="8"/>
      <c r="O66" s="8"/>
    </row>
    <row r="67" spans="1:20" ht="17.25" customHeight="1">
      <c r="A67" s="2249"/>
      <c r="B67" s="2249"/>
      <c r="C67" s="116">
        <v>2019</v>
      </c>
      <c r="D67" s="117"/>
      <c r="E67" s="118"/>
      <c r="F67" s="42"/>
      <c r="G67" s="42"/>
      <c r="H67" s="42"/>
      <c r="I67" s="42"/>
      <c r="J67" s="42"/>
      <c r="K67" s="42"/>
      <c r="L67" s="99"/>
      <c r="M67" s="8"/>
      <c r="N67" s="8"/>
      <c r="O67" s="8"/>
    </row>
    <row r="68" spans="1:20" ht="16.5" customHeight="1">
      <c r="A68" s="2249"/>
      <c r="B68" s="2249"/>
      <c r="C68" s="116">
        <v>2020</v>
      </c>
      <c r="D68" s="117"/>
      <c r="E68" s="118"/>
      <c r="F68" s="42"/>
      <c r="G68" s="42"/>
      <c r="H68" s="42"/>
      <c r="I68" s="42"/>
      <c r="J68" s="42"/>
      <c r="K68" s="42"/>
      <c r="L68" s="99"/>
      <c r="M68" s="121"/>
      <c r="N68" s="121"/>
      <c r="O68" s="121"/>
    </row>
    <row r="69" spans="1:20" ht="18" customHeight="1" thickBot="1">
      <c r="A69" s="2250"/>
      <c r="B69" s="2250"/>
      <c r="C69" s="122" t="s">
        <v>12</v>
      </c>
      <c r="D69" s="123">
        <f>SUM(D62:D68)</f>
        <v>3</v>
      </c>
      <c r="E69" s="124">
        <f>SUM(E62:E68)</f>
        <v>0</v>
      </c>
      <c r="F69" s="125">
        <f t="shared" ref="F69:I69" si="4">SUM(F62:F68)</f>
        <v>0</v>
      </c>
      <c r="G69" s="125">
        <f t="shared" si="4"/>
        <v>0</v>
      </c>
      <c r="H69" s="125">
        <f t="shared" si="4"/>
        <v>0</v>
      </c>
      <c r="I69" s="125">
        <f t="shared" si="4"/>
        <v>0</v>
      </c>
      <c r="J69" s="125"/>
      <c r="K69" s="125">
        <f>SUM(K62:K68)</f>
        <v>0</v>
      </c>
      <c r="L69" s="126">
        <f>SUM(L62:L68)</f>
        <v>3</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486" t="s">
        <v>42</v>
      </c>
      <c r="B71" s="487" t="s">
        <v>7</v>
      </c>
      <c r="C71" s="80" t="s">
        <v>8</v>
      </c>
      <c r="D71" s="132" t="s">
        <v>43</v>
      </c>
      <c r="E71" s="132" t="s">
        <v>44</v>
      </c>
      <c r="F71" s="133" t="s">
        <v>45</v>
      </c>
      <c r="G71" s="488" t="s">
        <v>46</v>
      </c>
      <c r="H71" s="135" t="s">
        <v>13</v>
      </c>
      <c r="I71" s="136" t="s">
        <v>14</v>
      </c>
      <c r="J71" s="137" t="s">
        <v>15</v>
      </c>
      <c r="K71" s="136" t="s">
        <v>16</v>
      </c>
      <c r="L71" s="136" t="s">
        <v>17</v>
      </c>
      <c r="M71" s="138" t="s">
        <v>18</v>
      </c>
      <c r="N71" s="137" t="s">
        <v>19</v>
      </c>
      <c r="O71" s="139" t="s">
        <v>20</v>
      </c>
    </row>
    <row r="72" spans="1:20" ht="15" customHeight="1">
      <c r="A72" s="2252" t="s">
        <v>203</v>
      </c>
      <c r="B72" s="2253"/>
      <c r="C72" s="84">
        <v>2014</v>
      </c>
      <c r="D72" s="140"/>
      <c r="E72" s="140"/>
      <c r="F72" s="140"/>
      <c r="G72" s="141">
        <f>SUM(D72:F72)</f>
        <v>0</v>
      </c>
      <c r="H72" s="33"/>
      <c r="I72" s="142"/>
      <c r="J72" s="115"/>
      <c r="K72" s="115"/>
      <c r="L72" s="115"/>
      <c r="M72" s="115"/>
      <c r="N72" s="115"/>
      <c r="O72" s="143"/>
    </row>
    <row r="73" spans="1:20">
      <c r="A73" s="2254"/>
      <c r="B73" s="2253"/>
      <c r="C73" s="86">
        <v>2015</v>
      </c>
      <c r="D73" s="147">
        <v>3</v>
      </c>
      <c r="E73" s="147">
        <v>0</v>
      </c>
      <c r="F73" s="147">
        <v>0</v>
      </c>
      <c r="G73" s="141">
        <f t="shared" ref="G73:G78" si="5">SUM(D73:F73)</f>
        <v>3</v>
      </c>
      <c r="H73" s="50">
        <v>0</v>
      </c>
      <c r="I73" s="537">
        <v>0</v>
      </c>
      <c r="J73" s="538">
        <v>0</v>
      </c>
      <c r="K73" s="538">
        <v>0</v>
      </c>
      <c r="L73" s="538">
        <v>0</v>
      </c>
      <c r="M73" s="538">
        <v>0</v>
      </c>
      <c r="N73" s="538">
        <v>0</v>
      </c>
      <c r="O73" s="552">
        <v>3</v>
      </c>
    </row>
    <row r="74" spans="1:20">
      <c r="A74" s="2254"/>
      <c r="B74" s="2253"/>
      <c r="C74" s="86">
        <v>2016</v>
      </c>
      <c r="D74" s="147">
        <f>6+4+2</f>
        <v>12</v>
      </c>
      <c r="E74" s="147">
        <v>0</v>
      </c>
      <c r="F74" s="147">
        <v>0</v>
      </c>
      <c r="G74" s="141">
        <f t="shared" si="5"/>
        <v>12</v>
      </c>
      <c r="H74" s="50">
        <v>0</v>
      </c>
      <c r="I74" s="537">
        <v>0</v>
      </c>
      <c r="J74" s="538">
        <v>0</v>
      </c>
      <c r="K74" s="538">
        <v>0</v>
      </c>
      <c r="L74" s="538">
        <v>0</v>
      </c>
      <c r="M74" s="538">
        <v>0</v>
      </c>
      <c r="N74" s="538">
        <v>0</v>
      </c>
      <c r="O74" s="552">
        <f>6+4+2</f>
        <v>12</v>
      </c>
    </row>
    <row r="75" spans="1:20">
      <c r="A75" s="2254"/>
      <c r="B75" s="2253"/>
      <c r="C75" s="86">
        <v>2017</v>
      </c>
      <c r="D75" s="147"/>
      <c r="E75" s="147"/>
      <c r="F75" s="147"/>
      <c r="G75" s="141">
        <f t="shared" si="5"/>
        <v>0</v>
      </c>
      <c r="H75" s="50"/>
      <c r="I75" s="537"/>
      <c r="J75" s="538"/>
      <c r="K75" s="538"/>
      <c r="L75" s="538"/>
      <c r="M75" s="538"/>
      <c r="N75" s="538"/>
      <c r="O75" s="552"/>
    </row>
    <row r="76" spans="1:20">
      <c r="A76" s="2254"/>
      <c r="B76" s="2253"/>
      <c r="C76" s="86">
        <v>2018</v>
      </c>
      <c r="D76" s="147"/>
      <c r="E76" s="147"/>
      <c r="F76" s="147"/>
      <c r="G76" s="141">
        <f t="shared" si="5"/>
        <v>0</v>
      </c>
      <c r="H76" s="50"/>
      <c r="I76" s="537"/>
      <c r="J76" s="538"/>
      <c r="K76" s="538"/>
      <c r="L76" s="538"/>
      <c r="M76" s="538"/>
      <c r="N76" s="538"/>
      <c r="O76" s="552"/>
    </row>
    <row r="77" spans="1:20" ht="15.75" customHeight="1">
      <c r="A77" s="2254"/>
      <c r="B77" s="2253"/>
      <c r="C77" s="86">
        <v>2019</v>
      </c>
      <c r="D77" s="147"/>
      <c r="E77" s="147"/>
      <c r="F77" s="147"/>
      <c r="G77" s="141">
        <f t="shared" si="5"/>
        <v>0</v>
      </c>
      <c r="H77" s="50"/>
      <c r="I77" s="537"/>
      <c r="J77" s="538"/>
      <c r="K77" s="538"/>
      <c r="L77" s="538"/>
      <c r="M77" s="538"/>
      <c r="N77" s="538"/>
      <c r="O77" s="552"/>
    </row>
    <row r="78" spans="1:20" ht="17.25" customHeight="1">
      <c r="A78" s="2254"/>
      <c r="B78" s="2253"/>
      <c r="C78" s="86">
        <v>2020</v>
      </c>
      <c r="D78" s="147"/>
      <c r="E78" s="147"/>
      <c r="F78" s="147"/>
      <c r="G78" s="141">
        <f t="shared" si="5"/>
        <v>0</v>
      </c>
      <c r="H78" s="50"/>
      <c r="I78" s="537"/>
      <c r="J78" s="538"/>
      <c r="K78" s="538"/>
      <c r="L78" s="538"/>
      <c r="M78" s="538"/>
      <c r="N78" s="538"/>
      <c r="O78" s="552"/>
    </row>
    <row r="79" spans="1:20" ht="20.25" customHeight="1" thickBot="1">
      <c r="A79" s="2255"/>
      <c r="B79" s="2256"/>
      <c r="C79" s="148" t="s">
        <v>12</v>
      </c>
      <c r="D79" s="123">
        <f>SUM(D72:D78)</f>
        <v>15</v>
      </c>
      <c r="E79" s="123">
        <f>SUM(E72:E78)</f>
        <v>0</v>
      </c>
      <c r="F79" s="123">
        <f>SUM(F72:F78)</f>
        <v>0</v>
      </c>
      <c r="G79" s="149">
        <f>SUM(G72:G78)</f>
        <v>15</v>
      </c>
      <c r="H79" s="150">
        <v>0</v>
      </c>
      <c r="I79" s="553">
        <f t="shared" ref="I79:O79" si="6">SUM(I72:I78)</f>
        <v>0</v>
      </c>
      <c r="J79" s="554">
        <f t="shared" si="6"/>
        <v>0</v>
      </c>
      <c r="K79" s="554">
        <f t="shared" si="6"/>
        <v>0</v>
      </c>
      <c r="L79" s="554">
        <f t="shared" si="6"/>
        <v>0</v>
      </c>
      <c r="M79" s="554">
        <f t="shared" si="6"/>
        <v>0</v>
      </c>
      <c r="N79" s="554">
        <f t="shared" si="6"/>
        <v>0</v>
      </c>
      <c r="O79" s="555">
        <f t="shared" si="6"/>
        <v>15</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489" t="s">
        <v>49</v>
      </c>
      <c r="B84" s="490" t="s">
        <v>50</v>
      </c>
      <c r="C84" s="161" t="s">
        <v>8</v>
      </c>
      <c r="D84" s="491" t="s">
        <v>51</v>
      </c>
      <c r="E84" s="163" t="s">
        <v>52</v>
      </c>
      <c r="F84" s="164" t="s">
        <v>53</v>
      </c>
      <c r="G84" s="164" t="s">
        <v>54</v>
      </c>
      <c r="H84" s="164" t="s">
        <v>55</v>
      </c>
      <c r="I84" s="164" t="s">
        <v>56</v>
      </c>
      <c r="J84" s="164" t="s">
        <v>57</v>
      </c>
      <c r="K84" s="165" t="s">
        <v>58</v>
      </c>
    </row>
    <row r="85" spans="1:16" ht="15" customHeight="1">
      <c r="A85" s="2071"/>
      <c r="B85" s="2025"/>
      <c r="C85" s="84">
        <v>2014</v>
      </c>
      <c r="D85" s="166"/>
      <c r="E85" s="167"/>
      <c r="F85" s="34"/>
      <c r="G85" s="34"/>
      <c r="H85" s="34"/>
      <c r="I85" s="34"/>
      <c r="J85" s="34"/>
      <c r="K85" s="37"/>
    </row>
    <row r="86" spans="1:16">
      <c r="A86" s="2072"/>
      <c r="B86" s="2025"/>
      <c r="C86" s="86">
        <v>2015</v>
      </c>
      <c r="D86" s="168">
        <v>0</v>
      </c>
      <c r="E86" s="118">
        <v>0</v>
      </c>
      <c r="F86" s="42">
        <v>0</v>
      </c>
      <c r="G86" s="42">
        <v>0</v>
      </c>
      <c r="H86" s="42">
        <v>0</v>
      </c>
      <c r="I86" s="42">
        <v>0</v>
      </c>
      <c r="J86" s="42">
        <v>0</v>
      </c>
      <c r="K86" s="99">
        <v>0</v>
      </c>
    </row>
    <row r="87" spans="1:16">
      <c r="A87" s="2072"/>
      <c r="B87" s="2025"/>
      <c r="C87" s="86">
        <v>2016</v>
      </c>
      <c r="D87" s="168">
        <v>0</v>
      </c>
      <c r="E87" s="118">
        <v>0</v>
      </c>
      <c r="F87" s="42">
        <v>0</v>
      </c>
      <c r="G87" s="42">
        <v>0</v>
      </c>
      <c r="H87" s="42">
        <v>0</v>
      </c>
      <c r="I87" s="42">
        <v>0</v>
      </c>
      <c r="J87" s="42">
        <v>0</v>
      </c>
      <c r="K87" s="99">
        <v>0</v>
      </c>
    </row>
    <row r="88" spans="1:16">
      <c r="A88" s="2072"/>
      <c r="B88" s="2025"/>
      <c r="C88" s="86">
        <v>2017</v>
      </c>
      <c r="D88" s="168"/>
      <c r="E88" s="118"/>
      <c r="F88" s="42"/>
      <c r="G88" s="42"/>
      <c r="H88" s="42"/>
      <c r="I88" s="42"/>
      <c r="J88" s="42"/>
      <c r="K88" s="99"/>
    </row>
    <row r="89" spans="1:16">
      <c r="A89" s="2072"/>
      <c r="B89" s="2025"/>
      <c r="C89" s="86">
        <v>2018</v>
      </c>
      <c r="D89" s="168"/>
      <c r="E89" s="118"/>
      <c r="F89" s="42"/>
      <c r="G89" s="42"/>
      <c r="H89" s="42"/>
      <c r="I89" s="42"/>
      <c r="J89" s="42"/>
      <c r="K89" s="99"/>
    </row>
    <row r="90" spans="1:16">
      <c r="A90" s="2072"/>
      <c r="B90" s="2025"/>
      <c r="C90" s="86">
        <v>2019</v>
      </c>
      <c r="D90" s="168"/>
      <c r="E90" s="118"/>
      <c r="F90" s="42"/>
      <c r="G90" s="42"/>
      <c r="H90" s="42"/>
      <c r="I90" s="42"/>
      <c r="J90" s="42"/>
      <c r="K90" s="99"/>
    </row>
    <row r="91" spans="1:16">
      <c r="A91" s="2072"/>
      <c r="B91" s="2025"/>
      <c r="C91" s="86">
        <v>2020</v>
      </c>
      <c r="D91" s="168"/>
      <c r="E91" s="118"/>
      <c r="F91" s="42"/>
      <c r="G91" s="42"/>
      <c r="H91" s="42"/>
      <c r="I91" s="42"/>
      <c r="J91" s="42"/>
      <c r="K91" s="99"/>
    </row>
    <row r="92" spans="1:16" ht="18" customHeight="1" thickBot="1">
      <c r="A92" s="2073"/>
      <c r="B92" s="2027"/>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205" t="s">
        <v>60</v>
      </c>
      <c r="B96" s="2206" t="s">
        <v>61</v>
      </c>
      <c r="C96" s="2209" t="s">
        <v>8</v>
      </c>
      <c r="D96" s="2207" t="s">
        <v>62</v>
      </c>
      <c r="E96" s="2208"/>
      <c r="F96" s="492" t="s">
        <v>63</v>
      </c>
      <c r="G96" s="493"/>
      <c r="H96" s="493"/>
      <c r="I96" s="493"/>
      <c r="J96" s="493"/>
      <c r="K96" s="493"/>
      <c r="L96" s="493"/>
      <c r="M96" s="494"/>
      <c r="N96" s="177"/>
      <c r="O96" s="177"/>
      <c r="P96" s="177"/>
    </row>
    <row r="97" spans="1:16" ht="100.5" customHeight="1">
      <c r="A97" s="2041"/>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059"/>
      <c r="B98" s="2258" t="s">
        <v>204</v>
      </c>
      <c r="C98" s="112">
        <v>2014</v>
      </c>
      <c r="D98" s="33"/>
      <c r="E98" s="34"/>
      <c r="F98" s="186"/>
      <c r="G98" s="187"/>
      <c r="H98" s="187"/>
      <c r="I98" s="187"/>
      <c r="J98" s="187"/>
      <c r="K98" s="187"/>
      <c r="L98" s="187"/>
      <c r="M98" s="188"/>
      <c r="N98" s="177"/>
      <c r="O98" s="177"/>
      <c r="P98" s="177"/>
    </row>
    <row r="99" spans="1:16" ht="16.5" customHeight="1">
      <c r="A99" s="2059"/>
      <c r="B99" s="2253"/>
      <c r="C99" s="116">
        <v>2015</v>
      </c>
      <c r="D99" s="50">
        <v>1</v>
      </c>
      <c r="E99" s="42">
        <v>2</v>
      </c>
      <c r="F99" s="189">
        <v>0</v>
      </c>
      <c r="G99" s="190">
        <v>0</v>
      </c>
      <c r="H99" s="190">
        <v>0</v>
      </c>
      <c r="I99" s="190">
        <v>0</v>
      </c>
      <c r="J99" s="190">
        <v>0</v>
      </c>
      <c r="K99" s="190">
        <v>0</v>
      </c>
      <c r="L99" s="190">
        <v>0</v>
      </c>
      <c r="M99" s="270">
        <v>1</v>
      </c>
      <c r="N99" s="177"/>
      <c r="O99" s="177"/>
      <c r="P99" s="177"/>
    </row>
    <row r="100" spans="1:16" ht="16.5" customHeight="1">
      <c r="A100" s="2059"/>
      <c r="B100" s="2253"/>
      <c r="C100" s="116">
        <v>2016</v>
      </c>
      <c r="D100" s="50">
        <v>1</v>
      </c>
      <c r="E100" s="41">
        <v>7</v>
      </c>
      <c r="F100" s="189">
        <v>0</v>
      </c>
      <c r="G100" s="190">
        <v>0</v>
      </c>
      <c r="H100" s="190">
        <v>0</v>
      </c>
      <c r="I100" s="190">
        <v>0</v>
      </c>
      <c r="J100" s="190">
        <v>0</v>
      </c>
      <c r="K100" s="190">
        <v>0</v>
      </c>
      <c r="L100" s="190">
        <v>0</v>
      </c>
      <c r="M100" s="270">
        <v>1</v>
      </c>
      <c r="N100" s="177"/>
      <c r="O100" s="177"/>
      <c r="P100" s="177"/>
    </row>
    <row r="101" spans="1:16" ht="16.5" customHeight="1">
      <c r="A101" s="2059"/>
      <c r="B101" s="2253"/>
      <c r="C101" s="116">
        <v>2017</v>
      </c>
      <c r="D101" s="50"/>
      <c r="E101" s="42"/>
      <c r="F101" s="189"/>
      <c r="G101" s="190"/>
      <c r="H101" s="190"/>
      <c r="I101" s="190"/>
      <c r="J101" s="190"/>
      <c r="K101" s="190"/>
      <c r="L101" s="190"/>
      <c r="M101" s="193"/>
      <c r="N101" s="177"/>
      <c r="O101" s="177"/>
      <c r="P101" s="177"/>
    </row>
    <row r="102" spans="1:16" ht="15.75" customHeight="1">
      <c r="A102" s="2059"/>
      <c r="B102" s="2253"/>
      <c r="C102" s="116">
        <v>2018</v>
      </c>
      <c r="D102" s="50"/>
      <c r="E102" s="42"/>
      <c r="F102" s="189"/>
      <c r="G102" s="190"/>
      <c r="H102" s="190"/>
      <c r="I102" s="190"/>
      <c r="J102" s="190"/>
      <c r="K102" s="190"/>
      <c r="L102" s="190"/>
      <c r="M102" s="193"/>
      <c r="N102" s="177"/>
      <c r="O102" s="177"/>
      <c r="P102" s="177"/>
    </row>
    <row r="103" spans="1:16" ht="14.25" customHeight="1">
      <c r="A103" s="2059"/>
      <c r="B103" s="2253"/>
      <c r="C103" s="116">
        <v>2019</v>
      </c>
      <c r="D103" s="50"/>
      <c r="E103" s="42"/>
      <c r="F103" s="189"/>
      <c r="G103" s="190"/>
      <c r="H103" s="190"/>
      <c r="I103" s="190"/>
      <c r="J103" s="190"/>
      <c r="K103" s="190"/>
      <c r="L103" s="190"/>
      <c r="M103" s="193"/>
      <c r="N103" s="177"/>
      <c r="O103" s="177"/>
      <c r="P103" s="177"/>
    </row>
    <row r="104" spans="1:16" ht="14.25" customHeight="1">
      <c r="A104" s="2059"/>
      <c r="B104" s="2253"/>
      <c r="C104" s="116">
        <v>2020</v>
      </c>
      <c r="D104" s="50"/>
      <c r="E104" s="42"/>
      <c r="F104" s="189"/>
      <c r="G104" s="190"/>
      <c r="H104" s="190"/>
      <c r="I104" s="190"/>
      <c r="J104" s="190"/>
      <c r="K104" s="190"/>
      <c r="L104" s="190"/>
      <c r="M104" s="193"/>
      <c r="N104" s="177"/>
      <c r="O104" s="177"/>
      <c r="P104" s="177"/>
    </row>
    <row r="105" spans="1:16" ht="19.5" customHeight="1" thickBot="1">
      <c r="A105" s="2257"/>
      <c r="B105" s="2256"/>
      <c r="C105" s="122" t="s">
        <v>12</v>
      </c>
      <c r="D105" s="151">
        <f>SUM(D98:D104)</f>
        <v>2</v>
      </c>
      <c r="E105" s="125">
        <f t="shared" ref="E105:K105" si="8">SUM(E98:E104)</f>
        <v>9</v>
      </c>
      <c r="F105" s="194">
        <f t="shared" si="8"/>
        <v>0</v>
      </c>
      <c r="G105" s="195">
        <f t="shared" si="8"/>
        <v>0</v>
      </c>
      <c r="H105" s="195">
        <f t="shared" si="8"/>
        <v>0</v>
      </c>
      <c r="I105" s="195">
        <f>SUM(I98:I104)</f>
        <v>0</v>
      </c>
      <c r="J105" s="195">
        <f t="shared" si="8"/>
        <v>0</v>
      </c>
      <c r="K105" s="195">
        <f t="shared" si="8"/>
        <v>0</v>
      </c>
      <c r="L105" s="195">
        <f>SUM(L98:L104)</f>
        <v>0</v>
      </c>
      <c r="M105" s="196">
        <f>SUM(M98:M104)</f>
        <v>2</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205" t="s">
        <v>69</v>
      </c>
      <c r="B107" s="2206" t="s">
        <v>61</v>
      </c>
      <c r="C107" s="2209" t="s">
        <v>8</v>
      </c>
      <c r="D107" s="2210" t="s">
        <v>70</v>
      </c>
      <c r="E107" s="492" t="s">
        <v>71</v>
      </c>
      <c r="F107" s="493"/>
      <c r="G107" s="493"/>
      <c r="H107" s="493"/>
      <c r="I107" s="493"/>
      <c r="J107" s="493"/>
      <c r="K107" s="493"/>
      <c r="L107" s="494"/>
      <c r="M107" s="199"/>
      <c r="N107" s="199"/>
    </row>
    <row r="108" spans="1:16" ht="103.5" customHeight="1">
      <c r="A108" s="2041"/>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059"/>
      <c r="B109" s="2259"/>
      <c r="C109" s="112">
        <v>2014</v>
      </c>
      <c r="D109" s="34"/>
      <c r="E109" s="186"/>
      <c r="F109" s="187"/>
      <c r="G109" s="187"/>
      <c r="H109" s="187"/>
      <c r="I109" s="187"/>
      <c r="J109" s="187"/>
      <c r="K109" s="187"/>
      <c r="L109" s="188"/>
      <c r="M109" s="199"/>
      <c r="N109" s="199"/>
    </row>
    <row r="110" spans="1:16">
      <c r="A110" s="2059"/>
      <c r="B110" s="2259"/>
      <c r="C110" s="116">
        <v>2015</v>
      </c>
      <c r="D110" s="42"/>
      <c r="E110" s="189">
        <v>0</v>
      </c>
      <c r="F110" s="190">
        <v>0</v>
      </c>
      <c r="G110" s="190">
        <v>0</v>
      </c>
      <c r="H110" s="190">
        <v>0</v>
      </c>
      <c r="I110" s="190">
        <v>0</v>
      </c>
      <c r="J110" s="190">
        <v>0</v>
      </c>
      <c r="K110" s="190">
        <v>0</v>
      </c>
      <c r="L110" s="193">
        <v>0</v>
      </c>
      <c r="M110" s="199"/>
      <c r="N110" s="199"/>
    </row>
    <row r="111" spans="1:16">
      <c r="A111" s="2059"/>
      <c r="B111" s="2259"/>
      <c r="C111" s="116">
        <v>2016</v>
      </c>
      <c r="D111" s="342"/>
      <c r="E111" s="189">
        <v>0</v>
      </c>
      <c r="F111" s="190">
        <v>0</v>
      </c>
      <c r="G111" s="190">
        <v>0</v>
      </c>
      <c r="H111" s="190">
        <v>0</v>
      </c>
      <c r="I111" s="190">
        <v>0</v>
      </c>
      <c r="J111" s="190">
        <v>0</v>
      </c>
      <c r="K111" s="190">
        <v>0</v>
      </c>
      <c r="L111" s="556">
        <v>0</v>
      </c>
      <c r="M111" s="199"/>
      <c r="N111" s="199"/>
    </row>
    <row r="112" spans="1:16">
      <c r="A112" s="2059"/>
      <c r="B112" s="2259"/>
      <c r="C112" s="116">
        <v>2017</v>
      </c>
      <c r="D112" s="42"/>
      <c r="E112" s="189"/>
      <c r="F112" s="190"/>
      <c r="G112" s="190"/>
      <c r="H112" s="190"/>
      <c r="I112" s="190"/>
      <c r="J112" s="190"/>
      <c r="K112" s="190"/>
      <c r="L112" s="193"/>
      <c r="M112" s="199"/>
      <c r="N112" s="199"/>
    </row>
    <row r="113" spans="1:14">
      <c r="A113" s="2059"/>
      <c r="B113" s="2259"/>
      <c r="C113" s="116">
        <v>2018</v>
      </c>
      <c r="D113" s="42"/>
      <c r="E113" s="189"/>
      <c r="F113" s="190"/>
      <c r="G113" s="190"/>
      <c r="H113" s="190"/>
      <c r="I113" s="190"/>
      <c r="J113" s="190"/>
      <c r="K113" s="190"/>
      <c r="L113" s="193"/>
      <c r="M113" s="199"/>
      <c r="N113" s="199"/>
    </row>
    <row r="114" spans="1:14">
      <c r="A114" s="2059"/>
      <c r="B114" s="2259"/>
      <c r="C114" s="116">
        <v>2019</v>
      </c>
      <c r="D114" s="42"/>
      <c r="E114" s="189"/>
      <c r="F114" s="190"/>
      <c r="G114" s="190"/>
      <c r="H114" s="190"/>
      <c r="I114" s="190"/>
      <c r="J114" s="190"/>
      <c r="K114" s="190"/>
      <c r="L114" s="193"/>
      <c r="M114" s="199"/>
      <c r="N114" s="199"/>
    </row>
    <row r="115" spans="1:14">
      <c r="A115" s="2059"/>
      <c r="B115" s="2259"/>
      <c r="C115" s="116">
        <v>2020</v>
      </c>
      <c r="D115" s="42"/>
      <c r="E115" s="189"/>
      <c r="F115" s="190"/>
      <c r="G115" s="190"/>
      <c r="H115" s="190"/>
      <c r="I115" s="190"/>
      <c r="J115" s="190"/>
      <c r="K115" s="190"/>
      <c r="L115" s="193"/>
      <c r="M115" s="199"/>
      <c r="N115" s="199"/>
    </row>
    <row r="116" spans="1:14" ht="25.5" customHeight="1" thickBot="1">
      <c r="A116" s="2257"/>
      <c r="B116" s="2260"/>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205" t="s">
        <v>72</v>
      </c>
      <c r="B118" s="2206" t="s">
        <v>61</v>
      </c>
      <c r="C118" s="2209" t="s">
        <v>8</v>
      </c>
      <c r="D118" s="2210" t="s">
        <v>73</v>
      </c>
      <c r="E118" s="492" t="s">
        <v>71</v>
      </c>
      <c r="F118" s="493"/>
      <c r="G118" s="493"/>
      <c r="H118" s="493"/>
      <c r="I118" s="493"/>
      <c r="J118" s="493"/>
      <c r="K118" s="493"/>
      <c r="L118" s="494"/>
      <c r="M118" s="199"/>
      <c r="N118" s="199"/>
    </row>
    <row r="119" spans="1:14" ht="120.75" customHeight="1">
      <c r="A119" s="2041"/>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031"/>
      <c r="B120" s="2025"/>
      <c r="C120" s="112">
        <v>2014</v>
      </c>
      <c r="D120" s="34"/>
      <c r="E120" s="186"/>
      <c r="F120" s="187"/>
      <c r="G120" s="187"/>
      <c r="H120" s="187"/>
      <c r="I120" s="187"/>
      <c r="J120" s="187"/>
      <c r="K120" s="187"/>
      <c r="L120" s="188"/>
      <c r="M120" s="199"/>
      <c r="N120" s="199"/>
    </row>
    <row r="121" spans="1:14">
      <c r="A121" s="2024"/>
      <c r="B121" s="2025"/>
      <c r="C121" s="116">
        <v>2015</v>
      </c>
      <c r="D121" s="42">
        <v>0</v>
      </c>
      <c r="E121" s="189">
        <v>0</v>
      </c>
      <c r="F121" s="190">
        <v>0</v>
      </c>
      <c r="G121" s="190">
        <v>0</v>
      </c>
      <c r="H121" s="190">
        <v>0</v>
      </c>
      <c r="I121" s="190">
        <v>0</v>
      </c>
      <c r="J121" s="190">
        <v>0</v>
      </c>
      <c r="K121" s="190">
        <v>0</v>
      </c>
      <c r="L121" s="193">
        <v>0</v>
      </c>
      <c r="M121" s="199"/>
      <c r="N121" s="199"/>
    </row>
    <row r="122" spans="1:14">
      <c r="A122" s="2024"/>
      <c r="B122" s="2025"/>
      <c r="C122" s="116">
        <v>2016</v>
      </c>
      <c r="D122" s="42">
        <v>0</v>
      </c>
      <c r="E122" s="189">
        <v>0</v>
      </c>
      <c r="F122" s="190">
        <v>0</v>
      </c>
      <c r="G122" s="190">
        <v>0</v>
      </c>
      <c r="H122" s="190">
        <v>0</v>
      </c>
      <c r="I122" s="190">
        <v>0</v>
      </c>
      <c r="J122" s="190">
        <v>0</v>
      </c>
      <c r="K122" s="190">
        <v>0</v>
      </c>
      <c r="L122" s="193">
        <v>0</v>
      </c>
      <c r="M122" s="199"/>
      <c r="N122" s="199"/>
    </row>
    <row r="123" spans="1:14">
      <c r="A123" s="2024"/>
      <c r="B123" s="2025"/>
      <c r="C123" s="116">
        <v>2017</v>
      </c>
      <c r="D123" s="42"/>
      <c r="E123" s="189"/>
      <c r="F123" s="190"/>
      <c r="G123" s="190"/>
      <c r="H123" s="190"/>
      <c r="I123" s="190"/>
      <c r="J123" s="190"/>
      <c r="K123" s="190"/>
      <c r="L123" s="193"/>
      <c r="M123" s="199"/>
      <c r="N123" s="199"/>
    </row>
    <row r="124" spans="1:14">
      <c r="A124" s="2024"/>
      <c r="B124" s="2025"/>
      <c r="C124" s="116">
        <v>2018</v>
      </c>
      <c r="D124" s="42"/>
      <c r="E124" s="189"/>
      <c r="F124" s="190"/>
      <c r="G124" s="190"/>
      <c r="H124" s="190"/>
      <c r="I124" s="190"/>
      <c r="J124" s="190"/>
      <c r="K124" s="190"/>
      <c r="L124" s="193"/>
      <c r="M124" s="199"/>
      <c r="N124" s="199"/>
    </row>
    <row r="125" spans="1:14">
      <c r="A125" s="2024"/>
      <c r="B125" s="2025"/>
      <c r="C125" s="116">
        <v>2019</v>
      </c>
      <c r="D125" s="42"/>
      <c r="E125" s="189"/>
      <c r="F125" s="190"/>
      <c r="G125" s="190"/>
      <c r="H125" s="190"/>
      <c r="I125" s="190"/>
      <c r="J125" s="190"/>
      <c r="K125" s="190"/>
      <c r="L125" s="193"/>
      <c r="M125" s="199"/>
      <c r="N125" s="199"/>
    </row>
    <row r="126" spans="1:14">
      <c r="A126" s="2024"/>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205" t="s">
        <v>74</v>
      </c>
      <c r="B129" s="2206" t="s">
        <v>61</v>
      </c>
      <c r="C129" s="495" t="s">
        <v>8</v>
      </c>
      <c r="D129" s="496" t="s">
        <v>75</v>
      </c>
      <c r="E129" s="497"/>
      <c r="F129" s="497"/>
      <c r="G129" s="498"/>
      <c r="H129" s="199"/>
      <c r="I129" s="199"/>
      <c r="J129" s="199"/>
      <c r="K129" s="199"/>
      <c r="L129" s="199"/>
      <c r="M129" s="199"/>
      <c r="N129" s="199"/>
    </row>
    <row r="130" spans="1:16" ht="77.25" customHeight="1">
      <c r="A130" s="2041"/>
      <c r="B130" s="2043"/>
      <c r="C130" s="470"/>
      <c r="D130" s="178" t="s">
        <v>76</v>
      </c>
      <c r="E130" s="207" t="s">
        <v>77</v>
      </c>
      <c r="F130" s="179" t="s">
        <v>78</v>
      </c>
      <c r="G130" s="208" t="s">
        <v>12</v>
      </c>
      <c r="H130" s="199"/>
      <c r="I130" s="199"/>
      <c r="J130" s="199"/>
      <c r="K130" s="199"/>
      <c r="L130" s="199"/>
      <c r="M130" s="199"/>
      <c r="N130" s="199"/>
    </row>
    <row r="131" spans="1:16" ht="15" customHeight="1">
      <c r="A131" s="2261"/>
      <c r="B131" s="2263" t="s">
        <v>205</v>
      </c>
      <c r="C131" s="340">
        <v>2015</v>
      </c>
      <c r="D131" s="557">
        <v>14</v>
      </c>
      <c r="E131" s="342"/>
      <c r="F131" s="342"/>
      <c r="G131" s="209">
        <f t="shared" ref="G131:G136" si="11">SUM(D131:F131)</f>
        <v>14</v>
      </c>
      <c r="H131" s="199"/>
      <c r="I131" s="199"/>
      <c r="J131" s="199"/>
      <c r="K131" s="199"/>
      <c r="L131" s="199"/>
      <c r="M131" s="199"/>
      <c r="N131" s="199"/>
    </row>
    <row r="132" spans="1:16">
      <c r="A132" s="2261"/>
      <c r="B132" s="2259"/>
      <c r="C132" s="116">
        <v>2016</v>
      </c>
      <c r="D132" s="557">
        <f>35+9+12+16</f>
        <v>72</v>
      </c>
      <c r="E132" s="42">
        <v>0</v>
      </c>
      <c r="F132" s="42">
        <v>0</v>
      </c>
      <c r="G132" s="209">
        <f t="shared" si="11"/>
        <v>72</v>
      </c>
      <c r="H132" s="199"/>
      <c r="I132" s="199"/>
      <c r="J132" s="199"/>
      <c r="K132" s="199"/>
      <c r="L132" s="199"/>
      <c r="M132" s="199"/>
      <c r="N132" s="199"/>
    </row>
    <row r="133" spans="1:16">
      <c r="A133" s="2261"/>
      <c r="B133" s="2259"/>
      <c r="C133" s="116">
        <v>2017</v>
      </c>
      <c r="D133" s="50"/>
      <c r="E133" s="42"/>
      <c r="F133" s="42"/>
      <c r="G133" s="209">
        <f t="shared" si="11"/>
        <v>0</v>
      </c>
      <c r="H133" s="199"/>
      <c r="I133" s="199"/>
      <c r="J133" s="199"/>
      <c r="K133" s="199"/>
      <c r="L133" s="199"/>
      <c r="M133" s="199"/>
      <c r="N133" s="199"/>
    </row>
    <row r="134" spans="1:16">
      <c r="A134" s="2261"/>
      <c r="B134" s="2259"/>
      <c r="C134" s="116">
        <v>2018</v>
      </c>
      <c r="D134" s="50"/>
      <c r="E134" s="42"/>
      <c r="F134" s="42"/>
      <c r="G134" s="209">
        <f t="shared" si="11"/>
        <v>0</v>
      </c>
      <c r="H134" s="199"/>
      <c r="I134" s="199"/>
      <c r="J134" s="199"/>
      <c r="K134" s="199"/>
      <c r="L134" s="199"/>
      <c r="M134" s="199"/>
      <c r="N134" s="199"/>
    </row>
    <row r="135" spans="1:16">
      <c r="A135" s="2261"/>
      <c r="B135" s="2259"/>
      <c r="C135" s="116">
        <v>2019</v>
      </c>
      <c r="D135" s="50"/>
      <c r="E135" s="42"/>
      <c r="F135" s="42"/>
      <c r="G135" s="209">
        <f t="shared" si="11"/>
        <v>0</v>
      </c>
      <c r="H135" s="199"/>
      <c r="I135" s="199"/>
      <c r="J135" s="199"/>
      <c r="K135" s="199"/>
      <c r="L135" s="199"/>
      <c r="M135" s="199"/>
      <c r="N135" s="199"/>
    </row>
    <row r="136" spans="1:16">
      <c r="A136" s="2261"/>
      <c r="B136" s="2259"/>
      <c r="C136" s="116">
        <v>2020</v>
      </c>
      <c r="D136" s="50"/>
      <c r="E136" s="42"/>
      <c r="F136" s="42"/>
      <c r="G136" s="209">
        <f t="shared" si="11"/>
        <v>0</v>
      </c>
      <c r="H136" s="199"/>
      <c r="I136" s="199"/>
      <c r="J136" s="199"/>
      <c r="K136" s="199"/>
      <c r="L136" s="199"/>
      <c r="M136" s="199"/>
      <c r="N136" s="199"/>
    </row>
    <row r="137" spans="1:16" ht="48.75" customHeight="1" thickBot="1">
      <c r="A137" s="2262"/>
      <c r="B137" s="2260"/>
      <c r="C137" s="122" t="s">
        <v>12</v>
      </c>
      <c r="D137" s="151">
        <f>SUM(D131:D136)</f>
        <v>86</v>
      </c>
      <c r="E137" s="151">
        <f t="shared" ref="E137:F137" si="12">SUM(E131:E136)</f>
        <v>0</v>
      </c>
      <c r="F137" s="151">
        <f t="shared" si="12"/>
        <v>0</v>
      </c>
      <c r="G137" s="210">
        <f>SUM(G131:G136)</f>
        <v>86</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211" t="s">
        <v>80</v>
      </c>
      <c r="B142" s="2212" t="s">
        <v>61</v>
      </c>
      <c r="C142" s="2218" t="s">
        <v>8</v>
      </c>
      <c r="D142" s="499" t="s">
        <v>81</v>
      </c>
      <c r="E142" s="500"/>
      <c r="F142" s="500"/>
      <c r="G142" s="500"/>
      <c r="H142" s="500"/>
      <c r="I142" s="501"/>
      <c r="J142" s="2213" t="s">
        <v>82</v>
      </c>
      <c r="K142" s="2214"/>
      <c r="L142" s="2214"/>
      <c r="M142" s="2214"/>
      <c r="N142" s="2215"/>
      <c r="O142" s="177"/>
      <c r="P142" s="177"/>
    </row>
    <row r="143" spans="1:16" ht="113.25" customHeight="1">
      <c r="A143" s="2045"/>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031"/>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024"/>
      <c r="B145" s="2025"/>
      <c r="C145" s="116">
        <v>2015</v>
      </c>
      <c r="D145" s="50">
        <v>0</v>
      </c>
      <c r="E145" s="50">
        <v>0</v>
      </c>
      <c r="F145" s="42">
        <v>0</v>
      </c>
      <c r="G145" s="190">
        <v>0</v>
      </c>
      <c r="H145" s="190">
        <v>0</v>
      </c>
      <c r="I145" s="227">
        <f t="shared" ref="I145:I150" si="13">D145+F145+G145+H145</f>
        <v>0</v>
      </c>
      <c r="J145" s="231">
        <v>0</v>
      </c>
      <c r="K145" s="232">
        <v>0</v>
      </c>
      <c r="L145" s="231">
        <v>0</v>
      </c>
      <c r="M145" s="232">
        <v>0</v>
      </c>
      <c r="N145" s="233">
        <v>0</v>
      </c>
      <c r="O145" s="177"/>
      <c r="P145" s="177"/>
    </row>
    <row r="146" spans="1:16" ht="20.25" customHeight="1">
      <c r="A146" s="2024"/>
      <c r="B146" s="2025"/>
      <c r="C146" s="116">
        <v>2016</v>
      </c>
      <c r="D146" s="50">
        <v>0</v>
      </c>
      <c r="E146" s="50">
        <v>0</v>
      </c>
      <c r="F146" s="42">
        <v>0</v>
      </c>
      <c r="G146" s="190">
        <v>0</v>
      </c>
      <c r="H146" s="190">
        <v>0</v>
      </c>
      <c r="I146" s="227">
        <f t="shared" si="13"/>
        <v>0</v>
      </c>
      <c r="J146" s="231">
        <v>0</v>
      </c>
      <c r="K146" s="232">
        <v>0</v>
      </c>
      <c r="L146" s="231">
        <v>0</v>
      </c>
      <c r="M146" s="232">
        <v>0</v>
      </c>
      <c r="N146" s="233">
        <v>0</v>
      </c>
      <c r="O146" s="177"/>
      <c r="P146" s="177"/>
    </row>
    <row r="147" spans="1:16" ht="17.25" customHeight="1">
      <c r="A147" s="2024"/>
      <c r="B147" s="2025"/>
      <c r="C147" s="116">
        <v>2017</v>
      </c>
      <c r="D147" s="50"/>
      <c r="E147" s="50"/>
      <c r="F147" s="42"/>
      <c r="G147" s="190"/>
      <c r="H147" s="190"/>
      <c r="I147" s="227">
        <f t="shared" si="13"/>
        <v>0</v>
      </c>
      <c r="J147" s="231"/>
      <c r="K147" s="232"/>
      <c r="L147" s="231"/>
      <c r="M147" s="232"/>
      <c r="N147" s="233"/>
      <c r="O147" s="177"/>
      <c r="P147" s="177"/>
    </row>
    <row r="148" spans="1:16" ht="19.5" customHeight="1">
      <c r="A148" s="2024"/>
      <c r="B148" s="2025"/>
      <c r="C148" s="116">
        <v>2018</v>
      </c>
      <c r="D148" s="50"/>
      <c r="E148" s="50"/>
      <c r="F148" s="42"/>
      <c r="G148" s="190"/>
      <c r="H148" s="190"/>
      <c r="I148" s="227">
        <f t="shared" si="13"/>
        <v>0</v>
      </c>
      <c r="J148" s="231"/>
      <c r="K148" s="232"/>
      <c r="L148" s="231"/>
      <c r="M148" s="232"/>
      <c r="N148" s="233"/>
      <c r="O148" s="177"/>
      <c r="P148" s="177"/>
    </row>
    <row r="149" spans="1:16" ht="19.5" customHeight="1">
      <c r="A149" s="2024"/>
      <c r="B149" s="2025"/>
      <c r="C149" s="116">
        <v>2019</v>
      </c>
      <c r="D149" s="50"/>
      <c r="E149" s="50"/>
      <c r="F149" s="42"/>
      <c r="G149" s="190"/>
      <c r="H149" s="190"/>
      <c r="I149" s="227">
        <f t="shared" si="13"/>
        <v>0</v>
      </c>
      <c r="J149" s="231"/>
      <c r="K149" s="232"/>
      <c r="L149" s="231"/>
      <c r="M149" s="232"/>
      <c r="N149" s="233"/>
      <c r="O149" s="177"/>
      <c r="P149" s="177"/>
    </row>
    <row r="150" spans="1:16" ht="18.75" customHeight="1">
      <c r="A150" s="2024"/>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216" t="s">
        <v>93</v>
      </c>
      <c r="B153" s="2212" t="s">
        <v>61</v>
      </c>
      <c r="C153" s="2217" t="s">
        <v>8</v>
      </c>
      <c r="D153" s="502" t="s">
        <v>94</v>
      </c>
      <c r="E153" s="502"/>
      <c r="F153" s="503"/>
      <c r="G153" s="503"/>
      <c r="H153" s="502" t="s">
        <v>95</v>
      </c>
      <c r="I153" s="502"/>
      <c r="J153" s="504"/>
      <c r="K153" s="31"/>
      <c r="L153" s="31"/>
      <c r="M153" s="31"/>
      <c r="N153" s="31"/>
      <c r="O153" s="177"/>
      <c r="P153" s="177"/>
    </row>
    <row r="154" spans="1:16" ht="49.5" customHeight="1">
      <c r="A154" s="2033"/>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031"/>
      <c r="B155" s="2025"/>
      <c r="C155" s="247">
        <v>2014</v>
      </c>
      <c r="D155" s="228"/>
      <c r="E155" s="187"/>
      <c r="F155" s="229"/>
      <c r="G155" s="227">
        <f>SUM(D155:F155)</f>
        <v>0</v>
      </c>
      <c r="H155" s="228"/>
      <c r="I155" s="187"/>
      <c r="J155" s="188"/>
      <c r="O155" s="177"/>
      <c r="P155" s="177"/>
    </row>
    <row r="156" spans="1:16" ht="19.5" customHeight="1">
      <c r="A156" s="2024"/>
      <c r="B156" s="2025"/>
      <c r="C156" s="248">
        <v>2015</v>
      </c>
      <c r="D156" s="231">
        <v>0</v>
      </c>
      <c r="E156" s="190">
        <v>0</v>
      </c>
      <c r="F156" s="232">
        <v>0</v>
      </c>
      <c r="G156" s="227">
        <f t="shared" ref="G156:G161" si="15">SUM(D156:F156)</f>
        <v>0</v>
      </c>
      <c r="H156" s="231">
        <v>0</v>
      </c>
      <c r="I156" s="190">
        <v>0</v>
      </c>
      <c r="J156" s="193">
        <v>0</v>
      </c>
      <c r="O156" s="177"/>
      <c r="P156" s="177"/>
    </row>
    <row r="157" spans="1:16" ht="17.25" customHeight="1">
      <c r="A157" s="2024"/>
      <c r="B157" s="2025"/>
      <c r="C157" s="248">
        <v>2016</v>
      </c>
      <c r="D157" s="231">
        <v>0</v>
      </c>
      <c r="E157" s="190">
        <v>0</v>
      </c>
      <c r="F157" s="232">
        <v>0</v>
      </c>
      <c r="G157" s="227">
        <f t="shared" si="15"/>
        <v>0</v>
      </c>
      <c r="H157" s="231">
        <v>0</v>
      </c>
      <c r="I157" s="190">
        <v>0</v>
      </c>
      <c r="J157" s="193">
        <v>0</v>
      </c>
      <c r="O157" s="177"/>
      <c r="P157" s="177"/>
    </row>
    <row r="158" spans="1:16" ht="15" customHeight="1">
      <c r="A158" s="2024"/>
      <c r="B158" s="2025"/>
      <c r="C158" s="248">
        <v>2017</v>
      </c>
      <c r="D158" s="231"/>
      <c r="E158" s="190"/>
      <c r="F158" s="232"/>
      <c r="G158" s="227">
        <f t="shared" si="15"/>
        <v>0</v>
      </c>
      <c r="H158" s="231"/>
      <c r="I158" s="190"/>
      <c r="J158" s="193"/>
      <c r="O158" s="177"/>
      <c r="P158" s="177"/>
    </row>
    <row r="159" spans="1:16" ht="19.5" customHeight="1">
      <c r="A159" s="2024"/>
      <c r="B159" s="2025"/>
      <c r="C159" s="248">
        <v>2018</v>
      </c>
      <c r="D159" s="231"/>
      <c r="E159" s="190"/>
      <c r="F159" s="232"/>
      <c r="G159" s="227">
        <f t="shared" si="15"/>
        <v>0</v>
      </c>
      <c r="H159" s="231"/>
      <c r="I159" s="190"/>
      <c r="J159" s="193"/>
      <c r="O159" s="177"/>
      <c r="P159" s="177"/>
    </row>
    <row r="160" spans="1:16" ht="15" customHeight="1">
      <c r="A160" s="2024"/>
      <c r="B160" s="2025"/>
      <c r="C160" s="248">
        <v>2019</v>
      </c>
      <c r="D160" s="231"/>
      <c r="E160" s="190"/>
      <c r="F160" s="232"/>
      <c r="G160" s="227">
        <f t="shared" si="15"/>
        <v>0</v>
      </c>
      <c r="H160" s="231"/>
      <c r="I160" s="190"/>
      <c r="J160" s="193"/>
      <c r="O160" s="177"/>
      <c r="P160" s="177"/>
    </row>
    <row r="161" spans="1:18" ht="17.25" customHeight="1">
      <c r="A161" s="2024"/>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505"/>
      <c r="F163" s="177"/>
      <c r="G163" s="177"/>
      <c r="H163" s="177"/>
      <c r="I163" s="177"/>
      <c r="J163" s="255"/>
      <c r="K163" s="256"/>
    </row>
    <row r="164" spans="1:18" ht="95.25" customHeight="1">
      <c r="A164" s="506" t="s">
        <v>102</v>
      </c>
      <c r="B164" s="258" t="s">
        <v>103</v>
      </c>
      <c r="C164" s="507" t="s">
        <v>8</v>
      </c>
      <c r="D164" s="260" t="s">
        <v>104</v>
      </c>
      <c r="E164" s="260" t="s">
        <v>105</v>
      </c>
      <c r="F164" s="508" t="s">
        <v>106</v>
      </c>
      <c r="G164" s="260" t="s">
        <v>107</v>
      </c>
      <c r="H164" s="260" t="s">
        <v>108</v>
      </c>
      <c r="I164" s="262" t="s">
        <v>109</v>
      </c>
      <c r="J164" s="509" t="s">
        <v>110</v>
      </c>
      <c r="K164" s="509" t="s">
        <v>111</v>
      </c>
      <c r="L164" s="471"/>
    </row>
    <row r="165" spans="1:18" ht="15.75" customHeight="1">
      <c r="A165" s="2011"/>
      <c r="B165" s="2012"/>
      <c r="C165" s="265">
        <v>2014</v>
      </c>
      <c r="D165" s="187"/>
      <c r="E165" s="187"/>
      <c r="F165" s="187"/>
      <c r="G165" s="187"/>
      <c r="H165" s="187"/>
      <c r="I165" s="188"/>
      <c r="J165" s="266">
        <f>SUM(D165,F165,H165)</f>
        <v>0</v>
      </c>
      <c r="K165" s="267">
        <f>SUM(E165,G165,I165)</f>
        <v>0</v>
      </c>
      <c r="L165" s="471"/>
    </row>
    <row r="166" spans="1:18">
      <c r="A166" s="2013"/>
      <c r="B166" s="2014"/>
      <c r="C166" s="268">
        <v>2015</v>
      </c>
      <c r="D166" s="269">
        <v>0</v>
      </c>
      <c r="E166" s="269">
        <v>0</v>
      </c>
      <c r="F166" s="269">
        <v>0</v>
      </c>
      <c r="G166" s="269">
        <v>0</v>
      </c>
      <c r="H166" s="269">
        <v>0</v>
      </c>
      <c r="I166" s="270">
        <v>0</v>
      </c>
      <c r="J166" s="271">
        <f t="shared" ref="J166:K171" si="17">SUM(D166,F166,H166)</f>
        <v>0</v>
      </c>
      <c r="K166" s="272">
        <f t="shared" si="17"/>
        <v>0</v>
      </c>
      <c r="L166" s="471"/>
    </row>
    <row r="167" spans="1:18">
      <c r="A167" s="2013"/>
      <c r="B167" s="2014"/>
      <c r="C167" s="268">
        <v>2016</v>
      </c>
      <c r="D167" s="269">
        <v>0</v>
      </c>
      <c r="E167" s="269">
        <v>0</v>
      </c>
      <c r="F167" s="269">
        <v>0</v>
      </c>
      <c r="G167" s="269">
        <v>0</v>
      </c>
      <c r="H167" s="269">
        <v>0</v>
      </c>
      <c r="I167" s="270">
        <v>0</v>
      </c>
      <c r="J167" s="271">
        <f t="shared" si="17"/>
        <v>0</v>
      </c>
      <c r="K167" s="272">
        <f t="shared" si="17"/>
        <v>0</v>
      </c>
    </row>
    <row r="168" spans="1:18">
      <c r="A168" s="2013"/>
      <c r="B168" s="2014"/>
      <c r="C168" s="268">
        <v>2017</v>
      </c>
      <c r="D168" s="269"/>
      <c r="E168" s="177"/>
      <c r="F168" s="269"/>
      <c r="G168" s="269"/>
      <c r="H168" s="269"/>
      <c r="I168" s="270"/>
      <c r="J168" s="271">
        <f t="shared" si="17"/>
        <v>0</v>
      </c>
      <c r="K168" s="272">
        <f t="shared" si="17"/>
        <v>0</v>
      </c>
    </row>
    <row r="169" spans="1:18">
      <c r="A169" s="2013"/>
      <c r="B169" s="2014"/>
      <c r="C169" s="273">
        <v>2018</v>
      </c>
      <c r="D169" s="269"/>
      <c r="E169" s="269"/>
      <c r="F169" s="269"/>
      <c r="G169" s="274"/>
      <c r="H169" s="269"/>
      <c r="I169" s="270"/>
      <c r="J169" s="271">
        <f t="shared" si="17"/>
        <v>0</v>
      </c>
      <c r="K169" s="272">
        <f t="shared" si="17"/>
        <v>0</v>
      </c>
      <c r="L169" s="471"/>
    </row>
    <row r="170" spans="1:18">
      <c r="A170" s="2013"/>
      <c r="B170" s="2014"/>
      <c r="C170" s="268">
        <v>2019</v>
      </c>
      <c r="D170" s="177"/>
      <c r="E170" s="269"/>
      <c r="F170" s="269"/>
      <c r="G170" s="269"/>
      <c r="H170" s="274"/>
      <c r="I170" s="270"/>
      <c r="J170" s="271">
        <f t="shared" si="17"/>
        <v>0</v>
      </c>
      <c r="K170" s="272">
        <f t="shared" si="17"/>
        <v>0</v>
      </c>
      <c r="L170" s="471"/>
    </row>
    <row r="171" spans="1:18">
      <c r="A171" s="2013"/>
      <c r="B171" s="2014"/>
      <c r="C171" s="273">
        <v>2020</v>
      </c>
      <c r="D171" s="269"/>
      <c r="E171" s="269"/>
      <c r="F171" s="269"/>
      <c r="G171" s="269"/>
      <c r="H171" s="269"/>
      <c r="I171" s="270"/>
      <c r="J171" s="271">
        <f t="shared" si="17"/>
        <v>0</v>
      </c>
      <c r="K171" s="272">
        <f t="shared" si="17"/>
        <v>0</v>
      </c>
      <c r="L171" s="471"/>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471"/>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228" t="s">
        <v>113</v>
      </c>
      <c r="B176" s="2229" t="s">
        <v>114</v>
      </c>
      <c r="C176" s="2230" t="s">
        <v>8</v>
      </c>
      <c r="D176" s="510" t="s">
        <v>115</v>
      </c>
      <c r="E176" s="511"/>
      <c r="F176" s="511"/>
      <c r="G176" s="512"/>
      <c r="H176" s="513"/>
      <c r="I176" s="2231" t="s">
        <v>116</v>
      </c>
      <c r="J176" s="2232"/>
      <c r="K176" s="2232"/>
      <c r="L176" s="2232"/>
      <c r="M176" s="2232"/>
      <c r="N176" s="2232"/>
      <c r="O176" s="2233"/>
    </row>
    <row r="177" spans="1:15" s="31" customFormat="1" ht="129.75" customHeight="1">
      <c r="A177" s="2018"/>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558"/>
      <c r="B178" s="2265" t="s">
        <v>206</v>
      </c>
      <c r="C178" s="112">
        <v>2014</v>
      </c>
      <c r="D178" s="33"/>
      <c r="E178" s="34"/>
      <c r="F178" s="34"/>
      <c r="G178" s="293">
        <f>SUM(D178:F178)</f>
        <v>0</v>
      </c>
      <c r="H178" s="167"/>
      <c r="I178" s="167"/>
      <c r="J178" s="34"/>
      <c r="K178" s="34"/>
      <c r="L178" s="34"/>
      <c r="M178" s="34"/>
      <c r="N178" s="34"/>
      <c r="O178" s="37"/>
    </row>
    <row r="179" spans="1:15">
      <c r="A179" s="558"/>
      <c r="B179" s="2266"/>
      <c r="C179" s="116">
        <v>2015</v>
      </c>
      <c r="D179" s="50">
        <v>3</v>
      </c>
      <c r="E179" s="42">
        <v>0</v>
      </c>
      <c r="F179" s="42">
        <v>0</v>
      </c>
      <c r="G179" s="293">
        <f t="shared" ref="G179:G184" si="19">SUM(D179:F179)</f>
        <v>3</v>
      </c>
      <c r="H179" s="294">
        <v>3</v>
      </c>
      <c r="I179" s="118">
        <v>0</v>
      </c>
      <c r="J179" s="42">
        <v>0</v>
      </c>
      <c r="K179" s="42">
        <v>0</v>
      </c>
      <c r="L179" s="42">
        <v>0</v>
      </c>
      <c r="M179" s="42">
        <v>2</v>
      </c>
      <c r="N179" s="42">
        <v>0</v>
      </c>
      <c r="O179" s="99">
        <v>1</v>
      </c>
    </row>
    <row r="180" spans="1:15">
      <c r="A180" s="558"/>
      <c r="B180" s="2266"/>
      <c r="C180" s="116">
        <v>2016</v>
      </c>
      <c r="D180" s="50">
        <v>48</v>
      </c>
      <c r="E180" s="42">
        <v>2</v>
      </c>
      <c r="F180" s="42">
        <v>0</v>
      </c>
      <c r="G180" s="293">
        <f t="shared" si="19"/>
        <v>50</v>
      </c>
      <c r="H180" s="294">
        <v>50</v>
      </c>
      <c r="I180" s="118">
        <v>0</v>
      </c>
      <c r="J180" s="42">
        <v>44</v>
      </c>
      <c r="K180" s="42">
        <v>0</v>
      </c>
      <c r="L180" s="42">
        <v>0</v>
      </c>
      <c r="M180" s="538">
        <v>6</v>
      </c>
      <c r="N180" s="538">
        <v>0</v>
      </c>
      <c r="O180" s="552">
        <v>0</v>
      </c>
    </row>
    <row r="181" spans="1:15">
      <c r="A181" s="558"/>
      <c r="B181" s="2266"/>
      <c r="C181" s="116">
        <v>2017</v>
      </c>
      <c r="D181" s="50"/>
      <c r="E181" s="42"/>
      <c r="F181" s="42"/>
      <c r="G181" s="293">
        <f t="shared" si="19"/>
        <v>0</v>
      </c>
      <c r="H181" s="294"/>
      <c r="I181" s="118"/>
      <c r="J181" s="42"/>
      <c r="K181" s="42"/>
      <c r="L181" s="42"/>
      <c r="M181" s="538"/>
      <c r="N181" s="538"/>
      <c r="O181" s="552"/>
    </row>
    <row r="182" spans="1:15">
      <c r="A182" s="558"/>
      <c r="B182" s="2266"/>
      <c r="C182" s="116">
        <v>2018</v>
      </c>
      <c r="D182" s="50"/>
      <c r="E182" s="42"/>
      <c r="F182" s="42"/>
      <c r="G182" s="293">
        <f t="shared" si="19"/>
        <v>0</v>
      </c>
      <c r="H182" s="294"/>
      <c r="I182" s="118"/>
      <c r="J182" s="42"/>
      <c r="K182" s="42"/>
      <c r="L182" s="42"/>
      <c r="M182" s="538"/>
      <c r="N182" s="538"/>
      <c r="O182" s="552"/>
    </row>
    <row r="183" spans="1:15">
      <c r="A183" s="558"/>
      <c r="B183" s="2266"/>
      <c r="C183" s="116">
        <v>2019</v>
      </c>
      <c r="D183" s="50"/>
      <c r="E183" s="42"/>
      <c r="F183" s="42"/>
      <c r="G183" s="293">
        <f t="shared" si="19"/>
        <v>0</v>
      </c>
      <c r="H183" s="294"/>
      <c r="I183" s="118"/>
      <c r="J183" s="42"/>
      <c r="K183" s="42"/>
      <c r="L183" s="42"/>
      <c r="M183" s="538"/>
      <c r="N183" s="538"/>
      <c r="O183" s="552"/>
    </row>
    <row r="184" spans="1:15">
      <c r="A184" s="558"/>
      <c r="B184" s="2266"/>
      <c r="C184" s="116">
        <v>2020</v>
      </c>
      <c r="D184" s="50"/>
      <c r="E184" s="42"/>
      <c r="F184" s="42"/>
      <c r="G184" s="293">
        <f t="shared" si="19"/>
        <v>0</v>
      </c>
      <c r="H184" s="294"/>
      <c r="I184" s="118"/>
      <c r="J184" s="42"/>
      <c r="K184" s="42"/>
      <c r="L184" s="42"/>
      <c r="M184" s="538"/>
      <c r="N184" s="538"/>
      <c r="O184" s="552"/>
    </row>
    <row r="185" spans="1:15" ht="87.75" customHeight="1" thickBot="1">
      <c r="A185" s="469"/>
      <c r="B185" s="2267"/>
      <c r="C185" s="122" t="s">
        <v>12</v>
      </c>
      <c r="D185" s="151">
        <f>SUM(D178:D184)</f>
        <v>51</v>
      </c>
      <c r="E185" s="125">
        <f>SUM(E178:E184)</f>
        <v>2</v>
      </c>
      <c r="F185" s="125">
        <f>SUM(F178:F184)</f>
        <v>0</v>
      </c>
      <c r="G185" s="234">
        <f t="shared" ref="G185:O185" si="20">SUM(G178:G184)</f>
        <v>53</v>
      </c>
      <c r="H185" s="295">
        <f t="shared" si="20"/>
        <v>53</v>
      </c>
      <c r="I185" s="124">
        <f t="shared" si="20"/>
        <v>0</v>
      </c>
      <c r="J185" s="125">
        <f t="shared" si="20"/>
        <v>44</v>
      </c>
      <c r="K185" s="125">
        <f t="shared" si="20"/>
        <v>0</v>
      </c>
      <c r="L185" s="125">
        <f t="shared" si="20"/>
        <v>0</v>
      </c>
      <c r="M185" s="554">
        <f t="shared" si="20"/>
        <v>8</v>
      </c>
      <c r="N185" s="554">
        <f t="shared" si="20"/>
        <v>0</v>
      </c>
      <c r="O185" s="555">
        <f t="shared" si="20"/>
        <v>1</v>
      </c>
    </row>
    <row r="186" spans="1:15" ht="33" customHeight="1" thickBot="1"/>
    <row r="187" spans="1:15" ht="19.5" customHeight="1">
      <c r="A187" s="2235" t="s">
        <v>122</v>
      </c>
      <c r="B187" s="2229" t="s">
        <v>114</v>
      </c>
      <c r="C187" s="1998" t="s">
        <v>8</v>
      </c>
      <c r="D187" s="2000" t="s">
        <v>123</v>
      </c>
      <c r="E187" s="2219"/>
      <c r="F187" s="2219"/>
      <c r="G187" s="2220"/>
      <c r="H187" s="2221"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559"/>
      <c r="B189" s="2264" t="s">
        <v>207</v>
      </c>
      <c r="C189" s="392">
        <v>2014</v>
      </c>
      <c r="D189" s="142"/>
      <c r="E189" s="115"/>
      <c r="F189" s="115"/>
      <c r="G189" s="301">
        <f>SUM(D189:F189)</f>
        <v>0</v>
      </c>
      <c r="H189" s="114"/>
      <c r="I189" s="115"/>
      <c r="J189" s="115"/>
      <c r="K189" s="115"/>
      <c r="L189" s="143"/>
    </row>
    <row r="190" spans="1:15">
      <c r="A190" s="560"/>
      <c r="B190" s="2253"/>
      <c r="C190" s="86">
        <v>2015</v>
      </c>
      <c r="D190" s="40">
        <f>142+138</f>
        <v>280</v>
      </c>
      <c r="E190" s="42">
        <v>0</v>
      </c>
      <c r="F190" s="42">
        <v>0</v>
      </c>
      <c r="G190" s="301">
        <f t="shared" ref="G190:G195" si="21">SUM(D190:F190)</f>
        <v>280</v>
      </c>
      <c r="H190" s="118">
        <v>0</v>
      </c>
      <c r="I190" s="41">
        <v>142</v>
      </c>
      <c r="J190" s="42">
        <v>0</v>
      </c>
      <c r="K190" s="42">
        <v>0</v>
      </c>
      <c r="L190" s="44">
        <v>138</v>
      </c>
    </row>
    <row r="191" spans="1:15">
      <c r="A191" s="560"/>
      <c r="B191" s="2253"/>
      <c r="C191" s="86">
        <v>2016</v>
      </c>
      <c r="D191" s="50">
        <f>961+622+83</f>
        <v>1666</v>
      </c>
      <c r="E191" s="42">
        <v>54</v>
      </c>
      <c r="F191" s="42">
        <v>0</v>
      </c>
      <c r="G191" s="301">
        <f t="shared" si="21"/>
        <v>1720</v>
      </c>
      <c r="H191" s="118">
        <v>0</v>
      </c>
      <c r="I191" s="42">
        <v>357</v>
      </c>
      <c r="J191" s="42">
        <v>0</v>
      </c>
      <c r="K191" s="42">
        <v>0</v>
      </c>
      <c r="L191" s="99">
        <f>1309+54</f>
        <v>1363</v>
      </c>
    </row>
    <row r="192" spans="1:15">
      <c r="A192" s="560"/>
      <c r="B192" s="2253"/>
      <c r="C192" s="86">
        <v>2017</v>
      </c>
      <c r="D192" s="50"/>
      <c r="E192" s="42"/>
      <c r="F192" s="42"/>
      <c r="G192" s="301">
        <f t="shared" si="21"/>
        <v>0</v>
      </c>
      <c r="H192" s="118"/>
      <c r="I192" s="42"/>
      <c r="J192" s="42"/>
      <c r="K192" s="42"/>
      <c r="L192" s="99"/>
    </row>
    <row r="193" spans="1:14">
      <c r="A193" s="560"/>
      <c r="B193" s="2253"/>
      <c r="C193" s="86">
        <v>2018</v>
      </c>
      <c r="D193" s="50"/>
      <c r="E193" s="42"/>
      <c r="F193" s="42"/>
      <c r="G193" s="301">
        <f t="shared" si="21"/>
        <v>0</v>
      </c>
      <c r="H193" s="118"/>
      <c r="I193" s="42"/>
      <c r="J193" s="42"/>
      <c r="K193" s="42"/>
      <c r="L193" s="99"/>
    </row>
    <row r="194" spans="1:14">
      <c r="A194" s="560"/>
      <c r="B194" s="2253"/>
      <c r="C194" s="86">
        <v>2019</v>
      </c>
      <c r="D194" s="50"/>
      <c r="E194" s="42"/>
      <c r="F194" s="42"/>
      <c r="G194" s="301">
        <f t="shared" si="21"/>
        <v>0</v>
      </c>
      <c r="H194" s="118"/>
      <c r="I194" s="42"/>
      <c r="J194" s="42"/>
      <c r="K194" s="42"/>
      <c r="L194" s="99"/>
    </row>
    <row r="195" spans="1:14">
      <c r="A195" s="560"/>
      <c r="B195" s="2253"/>
      <c r="C195" s="86">
        <v>2020</v>
      </c>
      <c r="D195" s="50"/>
      <c r="E195" s="42"/>
      <c r="F195" s="42"/>
      <c r="G195" s="301">
        <f t="shared" si="21"/>
        <v>0</v>
      </c>
      <c r="H195" s="118"/>
      <c r="I195" s="42"/>
      <c r="J195" s="42"/>
      <c r="K195" s="42"/>
      <c r="L195" s="99"/>
    </row>
    <row r="196" spans="1:14" ht="30" customHeight="1" thickBot="1">
      <c r="A196" s="561"/>
      <c r="B196" s="2256"/>
      <c r="C196" s="148" t="s">
        <v>12</v>
      </c>
      <c r="D196" s="151">
        <f t="shared" ref="D196:L196" si="22">SUM(D189:D195)</f>
        <v>1946</v>
      </c>
      <c r="E196" s="125">
        <f t="shared" si="22"/>
        <v>54</v>
      </c>
      <c r="F196" s="125">
        <f t="shared" si="22"/>
        <v>0</v>
      </c>
      <c r="G196" s="304">
        <f t="shared" si="22"/>
        <v>2000</v>
      </c>
      <c r="H196" s="124">
        <f t="shared" si="22"/>
        <v>0</v>
      </c>
      <c r="I196" s="125">
        <f t="shared" si="22"/>
        <v>499</v>
      </c>
      <c r="J196" s="125">
        <f t="shared" si="22"/>
        <v>0</v>
      </c>
      <c r="K196" s="125">
        <f t="shared" si="22"/>
        <v>0</v>
      </c>
      <c r="L196" s="126">
        <f t="shared" si="22"/>
        <v>1501</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514" t="s">
        <v>135</v>
      </c>
      <c r="B201" s="309" t="s">
        <v>114</v>
      </c>
      <c r="C201" s="310" t="s">
        <v>8</v>
      </c>
      <c r="D201" s="515" t="s">
        <v>136</v>
      </c>
      <c r="E201" s="312" t="s">
        <v>137</v>
      </c>
      <c r="F201" s="312" t="s">
        <v>138</v>
      </c>
      <c r="G201" s="310" t="s">
        <v>139</v>
      </c>
      <c r="H201" s="516" t="s">
        <v>140</v>
      </c>
      <c r="I201" s="517" t="s">
        <v>141</v>
      </c>
      <c r="J201" s="518" t="s">
        <v>142</v>
      </c>
      <c r="K201" s="312" t="s">
        <v>143</v>
      </c>
      <c r="L201" s="316" t="s">
        <v>144</v>
      </c>
    </row>
    <row r="202" spans="1:14" ht="15" customHeight="1">
      <c r="A202" s="1987"/>
      <c r="B202" s="1988"/>
      <c r="C202" s="84">
        <v>2014</v>
      </c>
      <c r="D202" s="33"/>
      <c r="E202" s="34"/>
      <c r="F202" s="34"/>
      <c r="G202" s="32"/>
      <c r="H202" s="317"/>
      <c r="I202" s="318"/>
      <c r="J202" s="319"/>
      <c r="K202" s="34"/>
      <c r="L202" s="37"/>
    </row>
    <row r="203" spans="1:14">
      <c r="A203" s="1987"/>
      <c r="B203" s="1988"/>
      <c r="C203" s="86">
        <v>2015</v>
      </c>
      <c r="D203" s="50">
        <v>0</v>
      </c>
      <c r="E203" s="42">
        <v>0</v>
      </c>
      <c r="F203" s="42">
        <v>0</v>
      </c>
      <c r="G203" s="39">
        <v>0</v>
      </c>
      <c r="H203" s="320">
        <v>0</v>
      </c>
      <c r="I203" s="321">
        <v>0</v>
      </c>
      <c r="J203" s="322">
        <v>0</v>
      </c>
      <c r="K203" s="42">
        <v>0</v>
      </c>
      <c r="L203" s="99">
        <v>0</v>
      </c>
    </row>
    <row r="204" spans="1:14">
      <c r="A204" s="1987"/>
      <c r="B204" s="1988"/>
      <c r="C204" s="86">
        <v>2016</v>
      </c>
      <c r="D204" s="50">
        <v>0</v>
      </c>
      <c r="E204" s="42">
        <v>0</v>
      </c>
      <c r="F204" s="42">
        <v>0</v>
      </c>
      <c r="G204" s="39">
        <v>0</v>
      </c>
      <c r="H204" s="320">
        <v>0</v>
      </c>
      <c r="I204" s="321">
        <v>0</v>
      </c>
      <c r="J204" s="322">
        <v>0</v>
      </c>
      <c r="K204" s="42">
        <v>0</v>
      </c>
      <c r="L204" s="99">
        <v>0</v>
      </c>
    </row>
    <row r="205" spans="1:14">
      <c r="A205" s="1987"/>
      <c r="B205" s="1988"/>
      <c r="C205" s="86">
        <v>2017</v>
      </c>
      <c r="D205" s="50"/>
      <c r="E205" s="42"/>
      <c r="F205" s="42"/>
      <c r="G205" s="39"/>
      <c r="H205" s="320"/>
      <c r="I205" s="321"/>
      <c r="J205" s="322"/>
      <c r="K205" s="42"/>
      <c r="L205" s="99"/>
    </row>
    <row r="206" spans="1:14">
      <c r="A206" s="1987"/>
      <c r="B206" s="1988"/>
      <c r="C206" s="86">
        <v>2018</v>
      </c>
      <c r="D206" s="50"/>
      <c r="E206" s="42"/>
      <c r="F206" s="42"/>
      <c r="G206" s="39"/>
      <c r="H206" s="320"/>
      <c r="I206" s="321"/>
      <c r="J206" s="322"/>
      <c r="K206" s="42"/>
      <c r="L206" s="99"/>
    </row>
    <row r="207" spans="1:14">
      <c r="A207" s="1987"/>
      <c r="B207" s="1988"/>
      <c r="C207" s="86">
        <v>2019</v>
      </c>
      <c r="D207" s="50"/>
      <c r="E207" s="42"/>
      <c r="F207" s="42"/>
      <c r="G207" s="39"/>
      <c r="H207" s="320"/>
      <c r="I207" s="321"/>
      <c r="J207" s="322"/>
      <c r="K207" s="42"/>
      <c r="L207" s="99"/>
    </row>
    <row r="208" spans="1:14">
      <c r="A208" s="1987"/>
      <c r="B208" s="1988"/>
      <c r="C208" s="86">
        <v>2020</v>
      </c>
      <c r="D208" s="473"/>
      <c r="E208" s="324"/>
      <c r="F208" s="324"/>
      <c r="G208" s="325"/>
      <c r="H208" s="326"/>
      <c r="I208" s="327"/>
      <c r="J208" s="328"/>
      <c r="K208" s="324"/>
      <c r="L208" s="329"/>
    </row>
    <row r="209" spans="1:12" ht="20.25" customHeight="1" thickBot="1">
      <c r="A209" s="1989"/>
      <c r="B209" s="1990"/>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18.75">
      <c r="A212" s="519" t="s">
        <v>145</v>
      </c>
      <c r="B212" s="331" t="s">
        <v>146</v>
      </c>
      <c r="C212" s="332">
        <v>2014</v>
      </c>
      <c r="D212" s="333">
        <v>2015</v>
      </c>
      <c r="E212" s="333">
        <v>2016</v>
      </c>
      <c r="F212" s="333">
        <v>2017</v>
      </c>
      <c r="G212" s="333">
        <v>2018</v>
      </c>
      <c r="H212" s="333">
        <v>2019</v>
      </c>
      <c r="I212" s="334">
        <v>2020</v>
      </c>
    </row>
    <row r="213" spans="1:12" ht="15" customHeight="1">
      <c r="A213" t="s">
        <v>147</v>
      </c>
      <c r="B213" s="2196" t="s">
        <v>208</v>
      </c>
      <c r="C213" s="84"/>
      <c r="D213" s="403">
        <f>D214+D216+D217+D215</f>
        <v>890627.55</v>
      </c>
      <c r="E213" s="403">
        <f>E214+E216+E217+E215</f>
        <v>990796.49</v>
      </c>
      <c r="F213" s="147"/>
      <c r="G213" s="147"/>
      <c r="H213" s="147"/>
      <c r="I213" s="335"/>
    </row>
    <row r="214" spans="1:12">
      <c r="A214" t="s">
        <v>149</v>
      </c>
      <c r="B214" s="2168"/>
      <c r="C214" s="84"/>
      <c r="D214" s="403">
        <v>796803.17</v>
      </c>
      <c r="E214" s="562">
        <f>694673.63-58990.8-79999.2-24846</f>
        <v>530837.63</v>
      </c>
      <c r="F214" s="147"/>
      <c r="G214" s="147"/>
      <c r="H214" s="147"/>
      <c r="I214" s="335"/>
    </row>
    <row r="215" spans="1:12">
      <c r="A215" t="s">
        <v>150</v>
      </c>
      <c r="B215" s="2168"/>
      <c r="C215" s="84"/>
      <c r="D215" s="403">
        <v>0</v>
      </c>
      <c r="E215" s="562">
        <v>0</v>
      </c>
      <c r="F215" s="147"/>
      <c r="G215" s="147"/>
      <c r="H215" s="147"/>
      <c r="I215" s="335"/>
    </row>
    <row r="216" spans="1:12">
      <c r="A216" t="s">
        <v>151</v>
      </c>
      <c r="B216" s="2168"/>
      <c r="C216" s="84"/>
      <c r="D216" s="403">
        <v>78958.5</v>
      </c>
      <c r="E216" s="563">
        <f>47881.05+58990.8+79999.2+24846</f>
        <v>211717.05</v>
      </c>
      <c r="F216" s="147"/>
      <c r="G216" s="147"/>
      <c r="H216" s="147"/>
      <c r="I216" s="335"/>
    </row>
    <row r="217" spans="1:12">
      <c r="A217" t="s">
        <v>152</v>
      </c>
      <c r="B217" s="2168"/>
      <c r="C217" s="84"/>
      <c r="D217" s="403">
        <v>14865.88</v>
      </c>
      <c r="E217" s="562">
        <v>248241.81</v>
      </c>
      <c r="F217" s="147"/>
      <c r="G217" s="147"/>
      <c r="H217" s="147"/>
      <c r="I217" s="335"/>
    </row>
    <row r="218" spans="1:12" ht="30">
      <c r="A218" s="31" t="s">
        <v>153</v>
      </c>
      <c r="B218" s="2168"/>
      <c r="C218" s="84"/>
      <c r="D218" s="403">
        <v>196143.93</v>
      </c>
      <c r="E218" s="564">
        <v>448805.73</v>
      </c>
      <c r="F218" s="147"/>
      <c r="G218" s="147"/>
      <c r="H218" s="147"/>
      <c r="I218" s="335"/>
    </row>
    <row r="219" spans="1:12" ht="15.75" thickBot="1">
      <c r="A219" s="472"/>
      <c r="B219" s="2169"/>
      <c r="C219" s="54" t="s">
        <v>12</v>
      </c>
      <c r="D219" s="565">
        <f>SUM(D214:D218)</f>
        <v>1086771.48</v>
      </c>
      <c r="E219" s="565">
        <f>SUM(E214:E218)</f>
        <v>1439602.22</v>
      </c>
      <c r="F219" s="337">
        <f t="shared" ref="F219:I219" si="24">SUM(F214:F218)</f>
        <v>0</v>
      </c>
      <c r="G219" s="337">
        <f t="shared" si="24"/>
        <v>0</v>
      </c>
      <c r="H219" s="337">
        <f t="shared" si="24"/>
        <v>0</v>
      </c>
      <c r="I219" s="337">
        <f t="shared" si="24"/>
        <v>0</v>
      </c>
    </row>
    <row r="223" spans="1:12">
      <c r="E223" s="408"/>
    </row>
    <row r="227" spans="1:1">
      <c r="A227" s="31"/>
    </row>
  </sheetData>
  <mergeCells count="60">
    <mergeCell ref="B189:B196"/>
    <mergeCell ref="A202:B209"/>
    <mergeCell ref="B213:B219"/>
    <mergeCell ref="B178:B185"/>
    <mergeCell ref="A187:A188"/>
    <mergeCell ref="B187:B188"/>
    <mergeCell ref="C187:C188"/>
    <mergeCell ref="D187:G187"/>
    <mergeCell ref="H187:L187"/>
    <mergeCell ref="A155:B162"/>
    <mergeCell ref="A165:B172"/>
    <mergeCell ref="A176:A177"/>
    <mergeCell ref="B176:B177"/>
    <mergeCell ref="C176:C177"/>
    <mergeCell ref="I176:O176"/>
    <mergeCell ref="C142:C143"/>
    <mergeCell ref="J142:N142"/>
    <mergeCell ref="A144:B151"/>
    <mergeCell ref="A153:A154"/>
    <mergeCell ref="B153:B154"/>
    <mergeCell ref="C153:C154"/>
    <mergeCell ref="A142:A143"/>
    <mergeCell ref="B142:B143"/>
    <mergeCell ref="A120:B127"/>
    <mergeCell ref="A129:A130"/>
    <mergeCell ref="B129:B130"/>
    <mergeCell ref="A131:A137"/>
    <mergeCell ref="B131:B137"/>
    <mergeCell ref="D118:D119"/>
    <mergeCell ref="C96:C97"/>
    <mergeCell ref="D96:E96"/>
    <mergeCell ref="A98:A105"/>
    <mergeCell ref="B98:B105"/>
    <mergeCell ref="A107:A108"/>
    <mergeCell ref="B107:B108"/>
    <mergeCell ref="C107:C108"/>
    <mergeCell ref="D107:D108"/>
    <mergeCell ref="A109:A116"/>
    <mergeCell ref="B109:B116"/>
    <mergeCell ref="A118:A119"/>
    <mergeCell ref="B118:B119"/>
    <mergeCell ref="C118:C119"/>
    <mergeCell ref="A62:A69"/>
    <mergeCell ref="B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Y369"/>
  <sheetViews>
    <sheetView topLeftCell="A205" workbookViewId="0">
      <selection activeCell="D213" sqref="D213:E213"/>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254</v>
      </c>
      <c r="C1" s="2077"/>
      <c r="D1" s="2077"/>
      <c r="E1" s="2077"/>
      <c r="F1" s="2077"/>
    </row>
    <row r="2" spans="1:25" s="2" customFormat="1" ht="20.100000000000001" customHeight="1" thickBot="1"/>
    <row r="3" spans="1:25" s="5" customFormat="1" ht="20.100000000000001" customHeight="1">
      <c r="A3" s="522" t="s">
        <v>1</v>
      </c>
      <c r="B3" s="523"/>
      <c r="C3" s="523"/>
      <c r="D3" s="523"/>
      <c r="E3" s="523"/>
      <c r="F3" s="2236"/>
      <c r="G3" s="2236"/>
      <c r="H3" s="2236"/>
      <c r="I3" s="2236"/>
      <c r="J3" s="2236"/>
      <c r="K3" s="2236"/>
      <c r="L3" s="2236"/>
      <c r="M3" s="2236"/>
      <c r="N3" s="2236"/>
      <c r="O3" s="2237"/>
    </row>
    <row r="4" spans="1:25" s="5" customFormat="1" ht="20.100000000000001" customHeight="1">
      <c r="A4" s="2080" t="s">
        <v>2</v>
      </c>
      <c r="B4" s="2081"/>
      <c r="C4" s="2081"/>
      <c r="D4" s="2081"/>
      <c r="E4" s="2081"/>
      <c r="F4" s="2081"/>
      <c r="G4" s="2081"/>
      <c r="H4" s="2081"/>
      <c r="I4" s="2081"/>
      <c r="J4" s="2081"/>
      <c r="K4" s="2081"/>
      <c r="L4" s="2081"/>
      <c r="M4" s="2081"/>
      <c r="N4" s="2081"/>
      <c r="O4" s="2082"/>
    </row>
    <row r="5" spans="1:25" s="5" customFormat="1" ht="20.100000000000001" customHeight="1">
      <c r="A5" s="2080"/>
      <c r="B5" s="2081"/>
      <c r="C5" s="2081"/>
      <c r="D5" s="2081"/>
      <c r="E5" s="2081"/>
      <c r="F5" s="2081"/>
      <c r="G5" s="2081"/>
      <c r="H5" s="2081"/>
      <c r="I5" s="2081"/>
      <c r="J5" s="2081"/>
      <c r="K5" s="2081"/>
      <c r="L5" s="2081"/>
      <c r="M5" s="2081"/>
      <c r="N5" s="2081"/>
      <c r="O5" s="2082"/>
    </row>
    <row r="6" spans="1:25" s="5" customFormat="1" ht="20.100000000000001" customHeight="1">
      <c r="A6" s="2080"/>
      <c r="B6" s="2081"/>
      <c r="C6" s="2081"/>
      <c r="D6" s="2081"/>
      <c r="E6" s="2081"/>
      <c r="F6" s="2081"/>
      <c r="G6" s="2081"/>
      <c r="H6" s="2081"/>
      <c r="I6" s="2081"/>
      <c r="J6" s="2081"/>
      <c r="K6" s="2081"/>
      <c r="L6" s="2081"/>
      <c r="M6" s="2081"/>
      <c r="N6" s="2081"/>
      <c r="O6" s="2082"/>
    </row>
    <row r="7" spans="1:25" s="5" customFormat="1" ht="20.100000000000001" customHeight="1">
      <c r="A7" s="2080"/>
      <c r="B7" s="2081"/>
      <c r="C7" s="2081"/>
      <c r="D7" s="2081"/>
      <c r="E7" s="2081"/>
      <c r="F7" s="2081"/>
      <c r="G7" s="2081"/>
      <c r="H7" s="2081"/>
      <c r="I7" s="2081"/>
      <c r="J7" s="2081"/>
      <c r="K7" s="2081"/>
      <c r="L7" s="2081"/>
      <c r="M7" s="2081"/>
      <c r="N7" s="2081"/>
      <c r="O7" s="2082"/>
    </row>
    <row r="8" spans="1:25" s="5" customFormat="1" ht="20.100000000000001" customHeight="1">
      <c r="A8" s="2080"/>
      <c r="B8" s="2081"/>
      <c r="C8" s="2081"/>
      <c r="D8" s="2081"/>
      <c r="E8" s="2081"/>
      <c r="F8" s="2081"/>
      <c r="G8" s="2081"/>
      <c r="H8" s="2081"/>
      <c r="I8" s="2081"/>
      <c r="J8" s="2081"/>
      <c r="K8" s="2081"/>
      <c r="L8" s="2081"/>
      <c r="M8" s="2081"/>
      <c r="N8" s="2081"/>
      <c r="O8" s="2082"/>
    </row>
    <row r="9" spans="1:25" s="5" customFormat="1" ht="20.100000000000001" customHeight="1">
      <c r="A9" s="2080"/>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570"/>
      <c r="B15" s="571"/>
      <c r="C15" s="11"/>
      <c r="D15" s="2238" t="s">
        <v>4</v>
      </c>
      <c r="E15" s="2239"/>
      <c r="F15" s="2239"/>
      <c r="G15" s="2239"/>
      <c r="H15" s="12"/>
      <c r="I15" s="13" t="s">
        <v>5</v>
      </c>
      <c r="J15" s="14"/>
      <c r="K15" s="14"/>
      <c r="L15" s="14"/>
      <c r="M15" s="14"/>
      <c r="N15" s="14"/>
      <c r="O15" s="15"/>
      <c r="P15" s="16"/>
      <c r="Q15" s="17"/>
      <c r="R15" s="18"/>
      <c r="S15" s="18"/>
      <c r="T15" s="18"/>
      <c r="U15" s="18"/>
      <c r="V15" s="18"/>
      <c r="W15" s="16"/>
      <c r="X15" s="16"/>
      <c r="Y15" s="17"/>
    </row>
    <row r="16" spans="1:25" s="31" customFormat="1" ht="150" customHeight="1">
      <c r="A16" s="20"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15" customHeight="1">
      <c r="A17" s="2007" t="s">
        <v>211</v>
      </c>
      <c r="B17" s="19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c r="A18" s="1987"/>
      <c r="B18" s="1988"/>
      <c r="C18" s="39">
        <v>2015</v>
      </c>
      <c r="D18" s="50">
        <v>12</v>
      </c>
      <c r="E18" s="42">
        <v>4</v>
      </c>
      <c r="F18" s="42">
        <v>2</v>
      </c>
      <c r="G18" s="35">
        <f>SUM(D18:F18)</f>
        <v>18</v>
      </c>
      <c r="H18" s="51"/>
      <c r="I18" s="41">
        <v>2</v>
      </c>
      <c r="J18" s="41"/>
      <c r="K18" s="41">
        <v>2</v>
      </c>
      <c r="L18" s="41">
        <v>3</v>
      </c>
      <c r="M18" s="41"/>
      <c r="N18" s="41"/>
      <c r="O18" s="44">
        <v>11</v>
      </c>
      <c r="P18" s="38"/>
      <c r="Q18" s="38"/>
      <c r="R18" s="38"/>
      <c r="S18" s="38"/>
      <c r="T18" s="38"/>
      <c r="U18" s="38"/>
      <c r="V18" s="38"/>
      <c r="W18" s="38"/>
      <c r="X18" s="38"/>
      <c r="Y18" s="38"/>
    </row>
    <row r="19" spans="1:25">
      <c r="A19" s="1987"/>
      <c r="B19" s="1988"/>
      <c r="C19" s="39">
        <v>2016</v>
      </c>
      <c r="D19" s="45">
        <v>26</v>
      </c>
      <c r="E19" s="46">
        <v>12</v>
      </c>
      <c r="F19" s="46">
        <v>7</v>
      </c>
      <c r="G19" s="35">
        <f t="shared" si="0"/>
        <v>45</v>
      </c>
      <c r="H19" s="572"/>
      <c r="I19" s="573">
        <v>17</v>
      </c>
      <c r="J19" s="573">
        <v>7</v>
      </c>
      <c r="K19" s="573">
        <v>13</v>
      </c>
      <c r="L19" s="573"/>
      <c r="M19" s="573">
        <v>6</v>
      </c>
      <c r="N19" s="573"/>
      <c r="O19" s="574">
        <v>2</v>
      </c>
      <c r="P19" s="38"/>
      <c r="Q19" s="38"/>
      <c r="R19" s="38"/>
      <c r="S19" s="38"/>
      <c r="T19" s="38"/>
      <c r="U19" s="38"/>
      <c r="V19" s="38"/>
      <c r="W19" s="38"/>
      <c r="X19" s="38"/>
      <c r="Y19" s="38"/>
    </row>
    <row r="20" spans="1:25">
      <c r="A20" s="1987"/>
      <c r="B20" s="1988"/>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c r="A21" s="1987"/>
      <c r="B21" s="1988"/>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c r="A22" s="1987"/>
      <c r="B22" s="1988"/>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c r="A23" s="1987"/>
      <c r="B23" s="1988"/>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69.599999999999994" customHeight="1" thickBot="1">
      <c r="A24" s="1989"/>
      <c r="B24" s="1990"/>
      <c r="C24" s="54" t="s">
        <v>12</v>
      </c>
      <c r="D24" s="55">
        <f>SUM(D17:D23)</f>
        <v>38</v>
      </c>
      <c r="E24" s="56">
        <f>SUM(E17:E23)</f>
        <v>16</v>
      </c>
      <c r="F24" s="56">
        <f>SUM(F17:F23)</f>
        <v>9</v>
      </c>
      <c r="G24" s="57">
        <f>SUM(D24:F24)</f>
        <v>63</v>
      </c>
      <c r="H24" s="58">
        <f>SUM(H17:H23)</f>
        <v>0</v>
      </c>
      <c r="I24" s="59">
        <f>SUM(I17:I23)</f>
        <v>19</v>
      </c>
      <c r="J24" s="59">
        <f t="shared" ref="J24:N24" si="1">SUM(J17:J23)</f>
        <v>7</v>
      </c>
      <c r="K24" s="59">
        <f t="shared" si="1"/>
        <v>15</v>
      </c>
      <c r="L24" s="59">
        <f t="shared" si="1"/>
        <v>3</v>
      </c>
      <c r="M24" s="59">
        <f t="shared" si="1"/>
        <v>6</v>
      </c>
      <c r="N24" s="59">
        <f t="shared" si="1"/>
        <v>0</v>
      </c>
      <c r="O24" s="60">
        <f>SUM(O17:O23)</f>
        <v>13</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570"/>
      <c r="B26" s="571"/>
      <c r="C26" s="63"/>
      <c r="D26" s="2244" t="s">
        <v>4</v>
      </c>
      <c r="E26" s="2245"/>
      <c r="F26" s="2245"/>
      <c r="G26" s="2246"/>
      <c r="H26" s="16"/>
      <c r="I26" s="17"/>
      <c r="J26" s="18"/>
      <c r="K26" s="18"/>
      <c r="L26" s="18"/>
      <c r="M26" s="18"/>
      <c r="N26" s="18"/>
      <c r="O26" s="16"/>
      <c r="P26" s="16"/>
    </row>
    <row r="27" spans="1:25" s="31" customFormat="1" ht="93" customHeight="1">
      <c r="A27" s="64" t="s">
        <v>22</v>
      </c>
      <c r="B27" s="21" t="s">
        <v>7</v>
      </c>
      <c r="C27" s="65" t="s">
        <v>8</v>
      </c>
      <c r="D27" s="66" t="s">
        <v>9</v>
      </c>
      <c r="E27" s="24" t="s">
        <v>10</v>
      </c>
      <c r="F27" s="24" t="s">
        <v>11</v>
      </c>
      <c r="G27" s="67" t="s">
        <v>12</v>
      </c>
      <c r="H27" s="30"/>
      <c r="I27" s="30"/>
      <c r="J27" s="30"/>
      <c r="K27" s="30"/>
      <c r="L27" s="30"/>
      <c r="M27" s="30"/>
      <c r="N27" s="30"/>
      <c r="O27" s="30"/>
      <c r="P27" s="30"/>
      <c r="Q27" s="19"/>
    </row>
    <row r="28" spans="1:25" ht="15" customHeight="1">
      <c r="A28" s="2007" t="s">
        <v>212</v>
      </c>
      <c r="B28" s="1988"/>
      <c r="C28" s="68">
        <v>2014</v>
      </c>
      <c r="D28" s="36"/>
      <c r="E28" s="34"/>
      <c r="F28" s="34"/>
      <c r="G28" s="69">
        <f>SUM(D28:F28)</f>
        <v>0</v>
      </c>
      <c r="H28" s="38"/>
      <c r="I28" s="38"/>
      <c r="J28" s="38"/>
      <c r="K28" s="38"/>
      <c r="L28" s="38"/>
      <c r="M28" s="38"/>
      <c r="N28" s="38"/>
      <c r="O28" s="38"/>
      <c r="P28" s="38"/>
      <c r="Q28" s="8"/>
    </row>
    <row r="29" spans="1:25">
      <c r="A29" s="1987"/>
      <c r="B29" s="1988"/>
      <c r="C29" s="70">
        <v>2015</v>
      </c>
      <c r="D29" s="575">
        <v>21402</v>
      </c>
      <c r="E29" s="42">
        <v>60090</v>
      </c>
      <c r="F29" s="42">
        <v>28</v>
      </c>
      <c r="G29" s="69">
        <f t="shared" ref="G29:G35" si="2">SUM(D29:F29)</f>
        <v>81520</v>
      </c>
      <c r="H29" s="38"/>
      <c r="I29" s="38"/>
      <c r="J29" s="38"/>
      <c r="K29" s="38"/>
      <c r="L29" s="38"/>
      <c r="M29" s="38"/>
      <c r="N29" s="38"/>
      <c r="O29" s="38"/>
      <c r="P29" s="38"/>
      <c r="Q29" s="8"/>
    </row>
    <row r="30" spans="1:25">
      <c r="A30" s="1987"/>
      <c r="B30" s="1988"/>
      <c r="C30" s="70">
        <v>2016</v>
      </c>
      <c r="D30" s="575">
        <v>13131</v>
      </c>
      <c r="E30" s="573">
        <v>123748</v>
      </c>
      <c r="F30" s="573">
        <v>90424</v>
      </c>
      <c r="G30" s="69">
        <f t="shared" si="2"/>
        <v>227303</v>
      </c>
      <c r="H30" s="38"/>
      <c r="I30" s="38"/>
      <c r="J30" s="38"/>
      <c r="K30" s="38"/>
      <c r="L30" s="38"/>
      <c r="M30" s="38"/>
      <c r="N30" s="38"/>
      <c r="O30" s="38"/>
      <c r="P30" s="38"/>
      <c r="Q30" s="8"/>
    </row>
    <row r="31" spans="1:25">
      <c r="A31" s="1987"/>
      <c r="B31" s="1988"/>
      <c r="C31" s="70">
        <v>2017</v>
      </c>
      <c r="D31" s="51"/>
      <c r="E31" s="42"/>
      <c r="F31" s="42"/>
      <c r="G31" s="69">
        <f t="shared" si="2"/>
        <v>0</v>
      </c>
      <c r="H31" s="38"/>
      <c r="I31" s="38"/>
      <c r="J31" s="38"/>
      <c r="K31" s="38"/>
      <c r="L31" s="38"/>
      <c r="M31" s="38"/>
      <c r="N31" s="38"/>
      <c r="O31" s="38"/>
      <c r="P31" s="38"/>
      <c r="Q31" s="8"/>
    </row>
    <row r="32" spans="1:25">
      <c r="A32" s="1987"/>
      <c r="B32" s="1988"/>
      <c r="C32" s="70">
        <v>2018</v>
      </c>
      <c r="D32" s="51"/>
      <c r="E32" s="42"/>
      <c r="F32" s="42"/>
      <c r="G32" s="69">
        <f>SUM(D32:F32)</f>
        <v>0</v>
      </c>
      <c r="H32" s="38"/>
      <c r="I32" s="38"/>
      <c r="J32" s="38"/>
      <c r="K32" s="38"/>
      <c r="L32" s="38"/>
      <c r="M32" s="38"/>
      <c r="N32" s="38"/>
      <c r="O32" s="38"/>
      <c r="P32" s="38"/>
      <c r="Q32" s="8"/>
    </row>
    <row r="33" spans="1:17">
      <c r="A33" s="1987"/>
      <c r="B33" s="1988"/>
      <c r="C33" s="72">
        <v>2019</v>
      </c>
      <c r="D33" s="51"/>
      <c r="E33" s="42"/>
      <c r="F33" s="42"/>
      <c r="G33" s="69">
        <f t="shared" si="2"/>
        <v>0</v>
      </c>
      <c r="H33" s="38"/>
      <c r="I33" s="38"/>
      <c r="J33" s="38"/>
      <c r="K33" s="38"/>
      <c r="L33" s="38"/>
      <c r="M33" s="38"/>
      <c r="N33" s="38"/>
      <c r="O33" s="38"/>
      <c r="P33" s="38"/>
      <c r="Q33" s="8"/>
    </row>
    <row r="34" spans="1:17">
      <c r="A34" s="1987"/>
      <c r="B34" s="1988"/>
      <c r="C34" s="70">
        <v>2020</v>
      </c>
      <c r="D34" s="51"/>
      <c r="E34" s="42"/>
      <c r="F34" s="42"/>
      <c r="G34" s="69">
        <f t="shared" si="2"/>
        <v>0</v>
      </c>
      <c r="H34" s="38"/>
      <c r="I34" s="38"/>
      <c r="J34" s="38"/>
      <c r="K34" s="38"/>
      <c r="L34" s="38"/>
      <c r="M34" s="38"/>
      <c r="N34" s="38"/>
      <c r="O34" s="38"/>
      <c r="P34" s="38"/>
      <c r="Q34" s="8"/>
    </row>
    <row r="35" spans="1:17" ht="80.45" customHeight="1" thickBot="1">
      <c r="A35" s="1989"/>
      <c r="B35" s="1990"/>
      <c r="C35" s="73" t="s">
        <v>12</v>
      </c>
      <c r="D35" s="58">
        <f>SUM(D28:D34)</f>
        <v>34533</v>
      </c>
      <c r="E35" s="56">
        <f>SUM(E28:E34)</f>
        <v>183838</v>
      </c>
      <c r="F35" s="56">
        <f>SUM(F28:F34)</f>
        <v>90452</v>
      </c>
      <c r="G35" s="60">
        <f t="shared" si="2"/>
        <v>308823</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576" t="s">
        <v>25</v>
      </c>
      <c r="B39" s="577" t="s">
        <v>7</v>
      </c>
      <c r="C39" s="80" t="s">
        <v>8</v>
      </c>
      <c r="D39" s="546" t="s">
        <v>26</v>
      </c>
      <c r="E39" s="352" t="s">
        <v>27</v>
      </c>
      <c r="F39" s="353"/>
      <c r="G39" s="30"/>
      <c r="H39" s="30"/>
    </row>
    <row r="40" spans="1:17">
      <c r="A40" s="2007"/>
      <c r="B40" s="1988"/>
      <c r="C40" s="84">
        <v>2014</v>
      </c>
      <c r="D40" s="33"/>
      <c r="E40" s="32"/>
      <c r="F40" s="8"/>
      <c r="G40" s="38"/>
      <c r="H40" s="38"/>
    </row>
    <row r="41" spans="1:17">
      <c r="A41" s="1987"/>
      <c r="B41" s="1988"/>
      <c r="C41" s="86">
        <v>2015</v>
      </c>
      <c r="D41" s="50">
        <v>27704</v>
      </c>
      <c r="E41" s="39">
        <v>6412</v>
      </c>
      <c r="F41" s="8"/>
      <c r="G41" s="38"/>
      <c r="H41" s="38"/>
    </row>
    <row r="42" spans="1:17">
      <c r="A42" s="1987"/>
      <c r="B42" s="1988"/>
      <c r="C42" s="86">
        <v>2016</v>
      </c>
      <c r="D42" s="578">
        <v>24267</v>
      </c>
      <c r="E42" s="579">
        <v>13971</v>
      </c>
      <c r="F42" s="8"/>
      <c r="G42" s="38"/>
      <c r="H42" s="38"/>
    </row>
    <row r="43" spans="1:17">
      <c r="A43" s="1987"/>
      <c r="B43" s="1988"/>
      <c r="C43" s="86">
        <v>2017</v>
      </c>
      <c r="D43" s="50"/>
      <c r="E43" s="39"/>
      <c r="F43" s="8"/>
      <c r="G43" s="38"/>
      <c r="H43" s="38"/>
    </row>
    <row r="44" spans="1:17">
      <c r="A44" s="1987"/>
      <c r="B44" s="1988"/>
      <c r="C44" s="86">
        <v>2018</v>
      </c>
      <c r="D44" s="50"/>
      <c r="E44" s="39"/>
      <c r="F44" s="8"/>
      <c r="G44" s="38"/>
      <c r="H44" s="38"/>
    </row>
    <row r="45" spans="1:17">
      <c r="A45" s="1987"/>
      <c r="B45" s="1988"/>
      <c r="C45" s="86">
        <v>2019</v>
      </c>
      <c r="D45" s="50"/>
      <c r="E45" s="39"/>
      <c r="F45" s="8"/>
      <c r="G45" s="38"/>
      <c r="H45" s="38"/>
    </row>
    <row r="46" spans="1:17">
      <c r="A46" s="1987"/>
      <c r="B46" s="1988"/>
      <c r="C46" s="86">
        <v>2020</v>
      </c>
      <c r="D46" s="50"/>
      <c r="E46" s="39"/>
      <c r="F46" s="8"/>
      <c r="G46" s="38"/>
      <c r="H46" s="38"/>
    </row>
    <row r="47" spans="1:17" ht="15.75" thickBot="1">
      <c r="A47" s="1989"/>
      <c r="B47" s="1990"/>
      <c r="C47" s="54" t="s">
        <v>12</v>
      </c>
      <c r="D47" s="55">
        <f>SUM(D40:D46)</f>
        <v>51971</v>
      </c>
      <c r="E47" s="419">
        <f>SUM(E40:E46)</f>
        <v>20383</v>
      </c>
      <c r="F47" s="121"/>
      <c r="G47" s="38"/>
      <c r="H47" s="38"/>
    </row>
    <row r="48" spans="1:17" s="38" customFormat="1" ht="15.75" thickBot="1">
      <c r="A48" s="549"/>
      <c r="B48" s="92"/>
      <c r="C48" s="93"/>
    </row>
    <row r="49" spans="1:15" ht="83.25" customHeight="1">
      <c r="A49" s="94" t="s">
        <v>29</v>
      </c>
      <c r="B49" s="577" t="s">
        <v>7</v>
      </c>
      <c r="C49" s="95" t="s">
        <v>8</v>
      </c>
      <c r="D49" s="546" t="s">
        <v>30</v>
      </c>
      <c r="E49" s="96" t="s">
        <v>31</v>
      </c>
      <c r="F49" s="96" t="s">
        <v>32</v>
      </c>
      <c r="G49" s="96" t="s">
        <v>33</v>
      </c>
      <c r="H49" s="96" t="s">
        <v>34</v>
      </c>
      <c r="I49" s="96" t="s">
        <v>35</v>
      </c>
      <c r="J49" s="96" t="s">
        <v>36</v>
      </c>
      <c r="K49" s="97" t="s">
        <v>37</v>
      </c>
    </row>
    <row r="50" spans="1:15" ht="17.25" customHeight="1">
      <c r="A50" s="2005"/>
      <c r="B50" s="2012"/>
      <c r="C50" s="98" t="s">
        <v>38</v>
      </c>
      <c r="D50" s="33"/>
      <c r="E50" s="34"/>
      <c r="F50" s="34"/>
      <c r="G50" s="34"/>
      <c r="H50" s="34"/>
      <c r="I50" s="34"/>
      <c r="J50" s="34"/>
      <c r="K50" s="37"/>
    </row>
    <row r="51" spans="1:15" ht="15" customHeight="1">
      <c r="A51" s="2007"/>
      <c r="B51" s="2014"/>
      <c r="C51" s="86">
        <v>2014</v>
      </c>
      <c r="D51" s="50"/>
      <c r="E51" s="42"/>
      <c r="F51" s="42"/>
      <c r="G51" s="42"/>
      <c r="H51" s="42"/>
      <c r="I51" s="42"/>
      <c r="J51" s="42"/>
      <c r="K51" s="99"/>
    </row>
    <row r="52" spans="1:15">
      <c r="A52" s="2007"/>
      <c r="B52" s="2014"/>
      <c r="C52" s="86">
        <v>2015</v>
      </c>
      <c r="D52" s="50"/>
      <c r="E52" s="42"/>
      <c r="F52" s="42"/>
      <c r="G52" s="42"/>
      <c r="H52" s="42"/>
      <c r="I52" s="42"/>
      <c r="J52" s="42"/>
      <c r="K52" s="99"/>
    </row>
    <row r="53" spans="1:15">
      <c r="A53" s="2007"/>
      <c r="B53" s="2014"/>
      <c r="C53" s="86">
        <v>2016</v>
      </c>
      <c r="D53" s="50">
        <v>1</v>
      </c>
      <c r="E53" s="42">
        <v>1</v>
      </c>
      <c r="F53" s="42"/>
      <c r="G53" s="42">
        <v>10127</v>
      </c>
      <c r="H53" s="42"/>
      <c r="I53" s="42"/>
      <c r="J53" s="42">
        <v>231</v>
      </c>
      <c r="K53" s="99"/>
    </row>
    <row r="54" spans="1:15">
      <c r="A54" s="2007"/>
      <c r="B54" s="2014"/>
      <c r="C54" s="86">
        <v>2017</v>
      </c>
      <c r="D54" s="50"/>
      <c r="E54" s="42"/>
      <c r="F54" s="42"/>
      <c r="G54" s="42"/>
      <c r="H54" s="42"/>
      <c r="I54" s="42"/>
      <c r="J54" s="42"/>
      <c r="K54" s="99"/>
    </row>
    <row r="55" spans="1:15">
      <c r="A55" s="2007"/>
      <c r="B55" s="2014"/>
      <c r="C55" s="86">
        <v>2018</v>
      </c>
      <c r="D55" s="50"/>
      <c r="E55" s="42"/>
      <c r="F55" s="42"/>
      <c r="G55" s="42"/>
      <c r="H55" s="42"/>
      <c r="I55" s="42"/>
      <c r="J55" s="42"/>
      <c r="K55" s="99"/>
    </row>
    <row r="56" spans="1:15">
      <c r="A56" s="2007"/>
      <c r="B56" s="2014"/>
      <c r="C56" s="86">
        <v>2019</v>
      </c>
      <c r="D56" s="50"/>
      <c r="E56" s="42"/>
      <c r="F56" s="42"/>
      <c r="G56" s="42"/>
      <c r="H56" s="42"/>
      <c r="I56" s="42"/>
      <c r="J56" s="42"/>
      <c r="K56" s="99"/>
    </row>
    <row r="57" spans="1:15">
      <c r="A57" s="2007"/>
      <c r="B57" s="2014"/>
      <c r="C57" s="86">
        <v>2020</v>
      </c>
      <c r="D57" s="50"/>
      <c r="E57" s="42"/>
      <c r="F57" s="42"/>
      <c r="G57" s="42"/>
      <c r="H57" s="42"/>
      <c r="I57" s="42"/>
      <c r="J57" s="42"/>
      <c r="K57" s="100"/>
    </row>
    <row r="58" spans="1:15" ht="20.25" customHeight="1" thickBot="1">
      <c r="A58" s="2009"/>
      <c r="B58" s="2016"/>
      <c r="C58" s="54" t="s">
        <v>12</v>
      </c>
      <c r="D58" s="55">
        <f>SUM(D51:D57)</f>
        <v>1</v>
      </c>
      <c r="E58" s="56">
        <f>SUM(E51:E57)</f>
        <v>1</v>
      </c>
      <c r="F58" s="56">
        <f>SUM(F51:F57)</f>
        <v>0</v>
      </c>
      <c r="G58" s="56">
        <f>SUM(G51:G57)</f>
        <v>10127</v>
      </c>
      <c r="H58" s="56">
        <f>SUM(H51:H57)</f>
        <v>0</v>
      </c>
      <c r="I58" s="56">
        <f t="shared" ref="I58" si="3">SUM(I51:I57)</f>
        <v>0</v>
      </c>
      <c r="J58" s="56">
        <f>SUM(J51:J57)</f>
        <v>231</v>
      </c>
      <c r="K58" s="60">
        <f>SUM(K50:K56)</f>
        <v>0</v>
      </c>
    </row>
    <row r="59" spans="1:15" ht="15.75" thickBot="1"/>
    <row r="60" spans="1:15" ht="21" customHeight="1">
      <c r="A60" s="2268" t="s">
        <v>39</v>
      </c>
      <c r="B60" s="580"/>
      <c r="C60" s="2269" t="s">
        <v>8</v>
      </c>
      <c r="D60" s="2197" t="s">
        <v>40</v>
      </c>
      <c r="E60" s="102" t="s">
        <v>5</v>
      </c>
      <c r="F60" s="484"/>
      <c r="G60" s="484"/>
      <c r="H60" s="484"/>
      <c r="I60" s="484"/>
      <c r="J60" s="484"/>
      <c r="K60" s="484"/>
      <c r="L60" s="485"/>
    </row>
    <row r="61" spans="1:15" ht="132.75" customHeight="1">
      <c r="A61" s="2100"/>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031" t="s">
        <v>213</v>
      </c>
      <c r="B62" s="2025"/>
      <c r="C62" s="112">
        <v>2014</v>
      </c>
      <c r="D62" s="113"/>
      <c r="E62" s="114"/>
      <c r="F62" s="115"/>
      <c r="G62" s="115"/>
      <c r="H62" s="115"/>
      <c r="I62" s="115"/>
      <c r="J62" s="115"/>
      <c r="K62" s="115"/>
      <c r="L62" s="37"/>
      <c r="M62" s="8"/>
      <c r="N62" s="8"/>
      <c r="O62" s="8"/>
    </row>
    <row r="63" spans="1:15">
      <c r="A63" s="2024"/>
      <c r="B63" s="2025"/>
      <c r="C63" s="116">
        <v>2015</v>
      </c>
      <c r="D63" s="117">
        <v>14</v>
      </c>
      <c r="E63" s="118"/>
      <c r="F63" s="42">
        <v>3</v>
      </c>
      <c r="G63" s="42"/>
      <c r="H63" s="42">
        <v>1</v>
      </c>
      <c r="I63" s="42"/>
      <c r="J63" s="42"/>
      <c r="K63" s="42"/>
      <c r="L63" s="99">
        <v>10</v>
      </c>
      <c r="M63" s="8"/>
      <c r="N63" s="8"/>
      <c r="O63" s="8"/>
    </row>
    <row r="64" spans="1:15">
      <c r="A64" s="2024"/>
      <c r="B64" s="2025"/>
      <c r="C64" s="116">
        <v>2016</v>
      </c>
      <c r="D64" s="46">
        <f>19+35+10+2</f>
        <v>66</v>
      </c>
      <c r="E64" s="581"/>
      <c r="F64" s="46">
        <v>5</v>
      </c>
      <c r="G64" s="41">
        <v>5</v>
      </c>
      <c r="H64" s="41">
        <v>7</v>
      </c>
      <c r="I64" s="41"/>
      <c r="J64" s="41"/>
      <c r="K64" s="41"/>
      <c r="L64" s="49">
        <f>2+35+10+2</f>
        <v>49</v>
      </c>
      <c r="M64" s="8"/>
      <c r="N64" s="8"/>
      <c r="O64" s="8"/>
    </row>
    <row r="65" spans="1:20">
      <c r="A65" s="2024"/>
      <c r="B65" s="2025"/>
      <c r="C65" s="116">
        <v>2017</v>
      </c>
      <c r="D65" s="117"/>
      <c r="E65" s="118"/>
      <c r="F65" s="42"/>
      <c r="G65" s="42"/>
      <c r="H65" s="42"/>
      <c r="I65" s="42"/>
      <c r="J65" s="42"/>
      <c r="K65" s="42"/>
      <c r="L65" s="99"/>
      <c r="M65" s="8"/>
      <c r="N65" s="8"/>
      <c r="O65" s="8"/>
    </row>
    <row r="66" spans="1:20">
      <c r="A66" s="2024"/>
      <c r="B66" s="2025"/>
      <c r="C66" s="116">
        <v>2018</v>
      </c>
      <c r="D66" s="117"/>
      <c r="E66" s="118"/>
      <c r="F66" s="42"/>
      <c r="G66" s="42"/>
      <c r="H66" s="42"/>
      <c r="I66" s="42"/>
      <c r="J66" s="42"/>
      <c r="K66" s="42"/>
      <c r="L66" s="99"/>
      <c r="M66" s="8"/>
      <c r="N66" s="8"/>
      <c r="O66" s="8"/>
    </row>
    <row r="67" spans="1:20" ht="17.25" customHeight="1">
      <c r="A67" s="2024"/>
      <c r="B67" s="2025"/>
      <c r="C67" s="116">
        <v>2019</v>
      </c>
      <c r="D67" s="117"/>
      <c r="E67" s="118"/>
      <c r="F67" s="42"/>
      <c r="G67" s="42"/>
      <c r="H67" s="42"/>
      <c r="I67" s="42"/>
      <c r="J67" s="42"/>
      <c r="K67" s="42"/>
      <c r="L67" s="99"/>
      <c r="M67" s="8"/>
      <c r="N67" s="8"/>
      <c r="O67" s="8"/>
    </row>
    <row r="68" spans="1:20" ht="16.5" customHeight="1">
      <c r="A68" s="2024"/>
      <c r="B68" s="2025"/>
      <c r="C68" s="116">
        <v>2020</v>
      </c>
      <c r="D68" s="117"/>
      <c r="E68" s="118"/>
      <c r="F68" s="42"/>
      <c r="G68" s="42"/>
      <c r="H68" s="42"/>
      <c r="I68" s="42"/>
      <c r="J68" s="42"/>
      <c r="K68" s="42"/>
      <c r="L68" s="99"/>
      <c r="M68" s="121"/>
      <c r="N68" s="121"/>
      <c r="O68" s="121"/>
    </row>
    <row r="69" spans="1:20" ht="18" customHeight="1" thickBot="1">
      <c r="A69" s="2134"/>
      <c r="B69" s="2027"/>
      <c r="C69" s="122" t="s">
        <v>12</v>
      </c>
      <c r="D69" s="123">
        <f>SUM(D62:D68)</f>
        <v>80</v>
      </c>
      <c r="E69" s="124">
        <f>SUM(E62:E68)</f>
        <v>0</v>
      </c>
      <c r="F69" s="125">
        <f t="shared" ref="F69:I69" si="4">SUM(F62:F68)</f>
        <v>8</v>
      </c>
      <c r="G69" s="125">
        <f t="shared" si="4"/>
        <v>5</v>
      </c>
      <c r="H69" s="125">
        <f t="shared" si="4"/>
        <v>8</v>
      </c>
      <c r="I69" s="125">
        <f t="shared" si="4"/>
        <v>0</v>
      </c>
      <c r="J69" s="125"/>
      <c r="K69" s="125">
        <f>SUM(K62:K68)</f>
        <v>0</v>
      </c>
      <c r="L69" s="126">
        <f>SUM(L62:L68)</f>
        <v>59</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576" t="s">
        <v>42</v>
      </c>
      <c r="B71" s="577" t="s">
        <v>7</v>
      </c>
      <c r="C71" s="80" t="s">
        <v>8</v>
      </c>
      <c r="D71" s="132" t="s">
        <v>43</v>
      </c>
      <c r="E71" s="132" t="s">
        <v>44</v>
      </c>
      <c r="F71" s="133" t="s">
        <v>45</v>
      </c>
      <c r="G71" s="488" t="s">
        <v>46</v>
      </c>
      <c r="H71" s="135" t="s">
        <v>13</v>
      </c>
      <c r="I71" s="136" t="s">
        <v>14</v>
      </c>
      <c r="J71" s="137" t="s">
        <v>15</v>
      </c>
      <c r="K71" s="136" t="s">
        <v>16</v>
      </c>
      <c r="L71" s="136" t="s">
        <v>17</v>
      </c>
      <c r="M71" s="138" t="s">
        <v>18</v>
      </c>
      <c r="N71" s="137" t="s">
        <v>19</v>
      </c>
      <c r="O71" s="139" t="s">
        <v>20</v>
      </c>
    </row>
    <row r="72" spans="1:20" ht="15" customHeight="1">
      <c r="A72" s="2007" t="s">
        <v>214</v>
      </c>
      <c r="B72" s="2025"/>
      <c r="C72" s="84">
        <v>2014</v>
      </c>
      <c r="D72" s="140"/>
      <c r="E72" s="140"/>
      <c r="F72" s="140"/>
      <c r="G72" s="141">
        <f>SUM(D72:F72)</f>
        <v>0</v>
      </c>
      <c r="H72" s="33"/>
      <c r="I72" s="142"/>
      <c r="J72" s="115"/>
      <c r="K72" s="115"/>
      <c r="L72" s="115"/>
      <c r="M72" s="115"/>
      <c r="N72" s="115"/>
      <c r="O72" s="143"/>
    </row>
    <row r="73" spans="1:20">
      <c r="A73" s="1987"/>
      <c r="B73" s="2025"/>
      <c r="C73" s="86">
        <v>2015</v>
      </c>
      <c r="D73" s="147"/>
      <c r="E73" s="147"/>
      <c r="F73" s="147"/>
      <c r="G73" s="141">
        <f t="shared" ref="G73:G78" si="5">SUM(D73:F73)</f>
        <v>0</v>
      </c>
      <c r="H73" s="50"/>
      <c r="I73" s="50"/>
      <c r="J73" s="42"/>
      <c r="K73" s="42"/>
      <c r="L73" s="42"/>
      <c r="M73" s="42"/>
      <c r="N73" s="42"/>
      <c r="O73" s="99"/>
    </row>
    <row r="74" spans="1:20">
      <c r="A74" s="1987"/>
      <c r="B74" s="2025"/>
      <c r="C74" s="86">
        <v>2016</v>
      </c>
      <c r="D74" s="147">
        <v>25</v>
      </c>
      <c r="E74" s="582">
        <v>8</v>
      </c>
      <c r="F74" s="145"/>
      <c r="G74" s="141">
        <f t="shared" si="5"/>
        <v>33</v>
      </c>
      <c r="H74" s="50"/>
      <c r="I74" s="578">
        <v>4</v>
      </c>
      <c r="J74" s="42">
        <v>3</v>
      </c>
      <c r="K74" s="42">
        <f>5+6</f>
        <v>11</v>
      </c>
      <c r="L74" s="42"/>
      <c r="M74" s="42"/>
      <c r="N74" s="42"/>
      <c r="O74" s="49">
        <v>15</v>
      </c>
    </row>
    <row r="75" spans="1:20">
      <c r="A75" s="1987"/>
      <c r="B75" s="2025"/>
      <c r="C75" s="86">
        <v>2017</v>
      </c>
      <c r="D75" s="147"/>
      <c r="E75" s="147"/>
      <c r="F75" s="147"/>
      <c r="G75" s="141">
        <f t="shared" si="5"/>
        <v>0</v>
      </c>
      <c r="H75" s="50"/>
      <c r="I75" s="50"/>
      <c r="J75" s="42"/>
      <c r="K75" s="42"/>
      <c r="L75" s="42"/>
      <c r="M75" s="42"/>
      <c r="N75" s="42"/>
      <c r="O75" s="99"/>
    </row>
    <row r="76" spans="1:20">
      <c r="A76" s="1987"/>
      <c r="B76" s="2025"/>
      <c r="C76" s="86">
        <v>2018</v>
      </c>
      <c r="D76" s="147"/>
      <c r="E76" s="147"/>
      <c r="F76" s="147"/>
      <c r="G76" s="141">
        <f t="shared" si="5"/>
        <v>0</v>
      </c>
      <c r="H76" s="50"/>
      <c r="I76" s="50"/>
      <c r="J76" s="42"/>
      <c r="K76" s="42"/>
      <c r="L76" s="42"/>
      <c r="M76" s="42"/>
      <c r="N76" s="42"/>
      <c r="O76" s="99"/>
    </row>
    <row r="77" spans="1:20" ht="15.75" customHeight="1">
      <c r="A77" s="1987"/>
      <c r="B77" s="2025"/>
      <c r="C77" s="86">
        <v>2019</v>
      </c>
      <c r="D77" s="147"/>
      <c r="E77" s="147"/>
      <c r="F77" s="147"/>
      <c r="G77" s="141">
        <f t="shared" si="5"/>
        <v>0</v>
      </c>
      <c r="H77" s="50"/>
      <c r="I77" s="50"/>
      <c r="J77" s="42"/>
      <c r="K77" s="42"/>
      <c r="L77" s="42"/>
      <c r="M77" s="42"/>
      <c r="N77" s="42"/>
      <c r="O77" s="99"/>
    </row>
    <row r="78" spans="1:20" ht="17.25" customHeight="1">
      <c r="A78" s="1987"/>
      <c r="B78" s="2025"/>
      <c r="C78" s="86">
        <v>2020</v>
      </c>
      <c r="D78" s="147"/>
      <c r="E78" s="147"/>
      <c r="F78" s="147"/>
      <c r="G78" s="141">
        <f t="shared" si="5"/>
        <v>0</v>
      </c>
      <c r="H78" s="50"/>
      <c r="I78" s="50"/>
      <c r="J78" s="42"/>
      <c r="K78" s="42"/>
      <c r="L78" s="42"/>
      <c r="M78" s="42"/>
      <c r="N78" s="42"/>
      <c r="O78" s="99"/>
    </row>
    <row r="79" spans="1:20" ht="20.25" customHeight="1" thickBot="1">
      <c r="A79" s="2134"/>
      <c r="B79" s="2027"/>
      <c r="C79" s="148" t="s">
        <v>12</v>
      </c>
      <c r="D79" s="123">
        <f>SUM(D72:D78)</f>
        <v>25</v>
      </c>
      <c r="E79" s="123">
        <f>SUM(E72:E78)</f>
        <v>8</v>
      </c>
      <c r="F79" s="123">
        <f>SUM(F72:F78)</f>
        <v>0</v>
      </c>
      <c r="G79" s="149">
        <f>SUM(G72:G78)</f>
        <v>33</v>
      </c>
      <c r="H79" s="150">
        <v>0</v>
      </c>
      <c r="I79" s="151">
        <f t="shared" ref="I79:O79" si="6">SUM(I72:I78)</f>
        <v>4</v>
      </c>
      <c r="J79" s="125">
        <f t="shared" si="6"/>
        <v>3</v>
      </c>
      <c r="K79" s="125">
        <f t="shared" si="6"/>
        <v>11</v>
      </c>
      <c r="L79" s="125">
        <f t="shared" si="6"/>
        <v>0</v>
      </c>
      <c r="M79" s="125">
        <f t="shared" si="6"/>
        <v>0</v>
      </c>
      <c r="N79" s="125">
        <f t="shared" si="6"/>
        <v>0</v>
      </c>
      <c r="O79" s="126">
        <f t="shared" si="6"/>
        <v>15</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28.25" customHeight="1">
      <c r="A84" s="583" t="s">
        <v>49</v>
      </c>
      <c r="B84" s="584" t="s">
        <v>50</v>
      </c>
      <c r="C84" s="161" t="s">
        <v>8</v>
      </c>
      <c r="D84" s="491" t="s">
        <v>51</v>
      </c>
      <c r="E84" s="163" t="s">
        <v>52</v>
      </c>
      <c r="F84" s="164" t="s">
        <v>53</v>
      </c>
      <c r="G84" s="164" t="s">
        <v>54</v>
      </c>
      <c r="H84" s="164" t="s">
        <v>55</v>
      </c>
      <c r="I84" s="164" t="s">
        <v>56</v>
      </c>
      <c r="J84" s="164" t="s">
        <v>57</v>
      </c>
      <c r="K84" s="165" t="s">
        <v>58</v>
      </c>
    </row>
    <row r="85" spans="1:16" ht="15" customHeight="1">
      <c r="A85" s="2072"/>
      <c r="B85" s="2025"/>
      <c r="C85" s="84">
        <v>2014</v>
      </c>
      <c r="D85" s="166"/>
      <c r="E85" s="167"/>
      <c r="F85" s="34"/>
      <c r="G85" s="34"/>
      <c r="H85" s="34"/>
      <c r="I85" s="34"/>
      <c r="J85" s="34"/>
      <c r="K85" s="37"/>
    </row>
    <row r="86" spans="1:16">
      <c r="A86" s="2072"/>
      <c r="B86" s="2025"/>
      <c r="C86" s="86">
        <v>2015</v>
      </c>
      <c r="D86" s="168"/>
      <c r="E86" s="118"/>
      <c r="F86" s="42"/>
      <c r="G86" s="42"/>
      <c r="H86" s="42"/>
      <c r="I86" s="42"/>
      <c r="J86" s="42"/>
      <c r="K86" s="99"/>
    </row>
    <row r="87" spans="1:16">
      <c r="A87" s="2072"/>
      <c r="B87" s="2025"/>
      <c r="C87" s="86">
        <v>2016</v>
      </c>
      <c r="D87" s="585"/>
      <c r="E87" s="118"/>
      <c r="F87" s="42"/>
      <c r="G87" s="573"/>
      <c r="H87" s="573"/>
      <c r="I87" s="573"/>
      <c r="J87" s="586"/>
      <c r="K87" s="192"/>
    </row>
    <row r="88" spans="1:16">
      <c r="A88" s="2072"/>
      <c r="B88" s="2025"/>
      <c r="C88" s="86">
        <v>2017</v>
      </c>
      <c r="D88" s="168"/>
      <c r="E88" s="118"/>
      <c r="F88" s="42"/>
      <c r="G88" s="42"/>
      <c r="H88" s="42"/>
      <c r="I88" s="42"/>
      <c r="J88" s="42"/>
      <c r="K88" s="99"/>
    </row>
    <row r="89" spans="1:16">
      <c r="A89" s="2072"/>
      <c r="B89" s="2025"/>
      <c r="C89" s="86">
        <v>2018</v>
      </c>
      <c r="D89" s="168"/>
      <c r="E89" s="118"/>
      <c r="F89" s="42"/>
      <c r="G89" s="42"/>
      <c r="H89" s="42"/>
      <c r="I89" s="42"/>
      <c r="J89" s="42"/>
      <c r="K89" s="99"/>
    </row>
    <row r="90" spans="1:16">
      <c r="A90" s="2072"/>
      <c r="B90" s="2025"/>
      <c r="C90" s="86">
        <v>2019</v>
      </c>
      <c r="D90" s="168"/>
      <c r="E90" s="118"/>
      <c r="F90" s="42"/>
      <c r="G90" s="42"/>
      <c r="H90" s="42"/>
      <c r="I90" s="42"/>
      <c r="J90" s="42"/>
      <c r="K90" s="99"/>
    </row>
    <row r="91" spans="1:16">
      <c r="A91" s="2072"/>
      <c r="B91" s="2025"/>
      <c r="C91" s="86">
        <v>2020</v>
      </c>
      <c r="D91" s="168"/>
      <c r="E91" s="118"/>
      <c r="F91" s="42"/>
      <c r="G91" s="42"/>
      <c r="H91" s="42"/>
      <c r="I91" s="42"/>
      <c r="J91" s="42"/>
      <c r="K91" s="99"/>
    </row>
    <row r="92" spans="1:16" ht="18" customHeight="1" thickBot="1">
      <c r="A92" s="2073"/>
      <c r="B92" s="2027"/>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270" t="s">
        <v>60</v>
      </c>
      <c r="B96" s="2271" t="s">
        <v>61</v>
      </c>
      <c r="C96" s="2272" t="s">
        <v>8</v>
      </c>
      <c r="D96" s="2207" t="s">
        <v>62</v>
      </c>
      <c r="E96" s="2208"/>
      <c r="F96" s="174" t="s">
        <v>63</v>
      </c>
      <c r="G96" s="493"/>
      <c r="H96" s="493"/>
      <c r="I96" s="493"/>
      <c r="J96" s="493"/>
      <c r="K96" s="493"/>
      <c r="L96" s="493"/>
      <c r="M96" s="494"/>
      <c r="N96" s="177"/>
      <c r="O96" s="177"/>
      <c r="P96" s="177"/>
    </row>
    <row r="97" spans="1:16" ht="100.5" customHeight="1">
      <c r="A97" s="2041"/>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031" t="s">
        <v>215</v>
      </c>
      <c r="B98" s="2025"/>
      <c r="C98" s="112">
        <v>2014</v>
      </c>
      <c r="D98" s="33"/>
      <c r="E98" s="34"/>
      <c r="F98" s="186"/>
      <c r="G98" s="187"/>
      <c r="H98" s="187"/>
      <c r="I98" s="187"/>
      <c r="J98" s="187"/>
      <c r="K98" s="187"/>
      <c r="L98" s="187"/>
      <c r="M98" s="188"/>
      <c r="N98" s="177"/>
      <c r="O98" s="177"/>
      <c r="P98" s="177"/>
    </row>
    <row r="99" spans="1:16" ht="16.5" customHeight="1">
      <c r="A99" s="2024"/>
      <c r="B99" s="2025"/>
      <c r="C99" s="116">
        <v>2015</v>
      </c>
      <c r="D99" s="50">
        <v>1</v>
      </c>
      <c r="E99" s="42">
        <v>1</v>
      </c>
      <c r="F99" s="189"/>
      <c r="G99" s="190"/>
      <c r="H99" s="190"/>
      <c r="I99" s="190"/>
      <c r="J99" s="190"/>
      <c r="K99" s="190"/>
      <c r="L99" s="190"/>
      <c r="M99" s="193">
        <v>1</v>
      </c>
      <c r="N99" s="177"/>
      <c r="O99" s="177"/>
      <c r="P99" s="177"/>
    </row>
    <row r="100" spans="1:16" ht="16.5" customHeight="1">
      <c r="A100" s="2024"/>
      <c r="B100" s="2025"/>
      <c r="C100" s="116">
        <v>2016</v>
      </c>
      <c r="D100" s="578">
        <v>1</v>
      </c>
      <c r="E100" s="573">
        <v>1</v>
      </c>
      <c r="F100" s="189"/>
      <c r="G100" s="190"/>
      <c r="H100" s="190"/>
      <c r="I100" s="190"/>
      <c r="J100" s="190"/>
      <c r="K100" s="190"/>
      <c r="L100" s="190"/>
      <c r="M100" s="193">
        <v>1</v>
      </c>
      <c r="N100" s="177"/>
      <c r="O100" s="177"/>
      <c r="P100" s="177"/>
    </row>
    <row r="101" spans="1:16" ht="16.5" customHeight="1">
      <c r="A101" s="2024"/>
      <c r="B101" s="2025"/>
      <c r="C101" s="116">
        <v>2017</v>
      </c>
      <c r="D101" s="50"/>
      <c r="E101" s="42"/>
      <c r="F101" s="189"/>
      <c r="G101" s="190"/>
      <c r="H101" s="190"/>
      <c r="I101" s="190"/>
      <c r="J101" s="190"/>
      <c r="K101" s="190"/>
      <c r="L101" s="190"/>
      <c r="M101" s="193"/>
      <c r="N101" s="177"/>
      <c r="O101" s="177"/>
      <c r="P101" s="177"/>
    </row>
    <row r="102" spans="1:16" ht="15.75" customHeight="1">
      <c r="A102" s="2024"/>
      <c r="B102" s="2025"/>
      <c r="C102" s="116">
        <v>2018</v>
      </c>
      <c r="D102" s="50"/>
      <c r="E102" s="42"/>
      <c r="F102" s="189"/>
      <c r="G102" s="190"/>
      <c r="H102" s="190"/>
      <c r="I102" s="190"/>
      <c r="J102" s="190"/>
      <c r="K102" s="190"/>
      <c r="L102" s="190"/>
      <c r="M102" s="193"/>
      <c r="N102" s="177"/>
      <c r="O102" s="177"/>
      <c r="P102" s="177"/>
    </row>
    <row r="103" spans="1:16" ht="14.25" customHeight="1">
      <c r="A103" s="2024"/>
      <c r="B103" s="2025"/>
      <c r="C103" s="116">
        <v>2019</v>
      </c>
      <c r="D103" s="50"/>
      <c r="E103" s="42"/>
      <c r="F103" s="189"/>
      <c r="G103" s="190"/>
      <c r="H103" s="190"/>
      <c r="I103" s="190"/>
      <c r="J103" s="190"/>
      <c r="K103" s="190"/>
      <c r="L103" s="190"/>
      <c r="M103" s="193"/>
      <c r="N103" s="177"/>
      <c r="O103" s="177"/>
      <c r="P103" s="177"/>
    </row>
    <row r="104" spans="1:16" ht="14.25" customHeight="1">
      <c r="A104" s="2024"/>
      <c r="B104" s="2025"/>
      <c r="C104" s="116">
        <v>2020</v>
      </c>
      <c r="D104" s="50"/>
      <c r="E104" s="42"/>
      <c r="F104" s="189"/>
      <c r="G104" s="190"/>
      <c r="H104" s="190"/>
      <c r="I104" s="190"/>
      <c r="J104" s="190"/>
      <c r="K104" s="190"/>
      <c r="L104" s="190"/>
      <c r="M104" s="193"/>
      <c r="N104" s="177"/>
      <c r="O104" s="177"/>
      <c r="P104" s="177"/>
    </row>
    <row r="105" spans="1:16" ht="19.5" customHeight="1" thickBot="1">
      <c r="A105" s="2046"/>
      <c r="B105" s="2027"/>
      <c r="C105" s="122" t="s">
        <v>12</v>
      </c>
      <c r="D105" s="151">
        <f>SUM(D98:D104)</f>
        <v>2</v>
      </c>
      <c r="E105" s="125">
        <f t="shared" ref="E105:K105" si="8">SUM(E98:E104)</f>
        <v>2</v>
      </c>
      <c r="F105" s="194">
        <f t="shared" si="8"/>
        <v>0</v>
      </c>
      <c r="G105" s="195">
        <f t="shared" si="8"/>
        <v>0</v>
      </c>
      <c r="H105" s="195">
        <f t="shared" si="8"/>
        <v>0</v>
      </c>
      <c r="I105" s="195">
        <f>SUM(I98:I104)</f>
        <v>0</v>
      </c>
      <c r="J105" s="195">
        <f t="shared" si="8"/>
        <v>0</v>
      </c>
      <c r="K105" s="195">
        <f t="shared" si="8"/>
        <v>0</v>
      </c>
      <c r="L105" s="195">
        <f>SUM(L98:L104)</f>
        <v>0</v>
      </c>
      <c r="M105" s="196">
        <f>SUM(M98:M104)</f>
        <v>2</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270" t="s">
        <v>69</v>
      </c>
      <c r="B107" s="2271" t="s">
        <v>61</v>
      </c>
      <c r="C107" s="2272" t="s">
        <v>8</v>
      </c>
      <c r="D107" s="2210" t="s">
        <v>70</v>
      </c>
      <c r="E107" s="174" t="s">
        <v>71</v>
      </c>
      <c r="F107" s="493"/>
      <c r="G107" s="493"/>
      <c r="H107" s="493"/>
      <c r="I107" s="493"/>
      <c r="J107" s="493"/>
      <c r="K107" s="493"/>
      <c r="L107" s="494"/>
      <c r="M107" s="199"/>
      <c r="N107" s="199"/>
    </row>
    <row r="108" spans="1:16" ht="103.5" customHeight="1">
      <c r="A108" s="2041"/>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031" t="s">
        <v>216</v>
      </c>
      <c r="B109" s="2025"/>
      <c r="C109" s="112">
        <v>2014</v>
      </c>
      <c r="D109" s="34"/>
      <c r="E109" s="186"/>
      <c r="F109" s="187"/>
      <c r="G109" s="187"/>
      <c r="H109" s="187"/>
      <c r="I109" s="187"/>
      <c r="J109" s="187"/>
      <c r="K109" s="187"/>
      <c r="L109" s="188"/>
      <c r="M109" s="199"/>
      <c r="N109" s="199"/>
    </row>
    <row r="110" spans="1:16">
      <c r="A110" s="2024"/>
      <c r="B110" s="2025"/>
      <c r="C110" s="116">
        <v>2015</v>
      </c>
      <c r="D110" s="42"/>
      <c r="E110" s="189"/>
      <c r="F110" s="190"/>
      <c r="G110" s="190"/>
      <c r="H110" s="190"/>
      <c r="I110" s="190"/>
      <c r="J110" s="190"/>
      <c r="K110" s="190"/>
      <c r="L110" s="193"/>
      <c r="M110" s="199"/>
      <c r="N110" s="199"/>
    </row>
    <row r="111" spans="1:16">
      <c r="A111" s="2024"/>
      <c r="B111" s="2025"/>
      <c r="C111" s="116">
        <v>2016</v>
      </c>
      <c r="D111" s="573"/>
      <c r="E111" s="587"/>
      <c r="F111" s="573"/>
      <c r="G111" s="573"/>
      <c r="H111" s="573"/>
      <c r="I111" s="573"/>
      <c r="J111" s="573"/>
      <c r="K111" s="573"/>
      <c r="L111" s="193"/>
      <c r="M111" s="199"/>
      <c r="N111" s="199"/>
    </row>
    <row r="112" spans="1:16">
      <c r="A112" s="2024"/>
      <c r="B112" s="2025"/>
      <c r="C112" s="116">
        <v>2017</v>
      </c>
      <c r="D112" s="42"/>
      <c r="E112" s="189"/>
      <c r="F112" s="190"/>
      <c r="G112" s="190"/>
      <c r="H112" s="190"/>
      <c r="I112" s="190"/>
      <c r="J112" s="190"/>
      <c r="K112" s="190"/>
      <c r="L112" s="193"/>
      <c r="M112" s="199"/>
      <c r="N112" s="199"/>
    </row>
    <row r="113" spans="1:14">
      <c r="A113" s="2024"/>
      <c r="B113" s="2025"/>
      <c r="C113" s="116">
        <v>2018</v>
      </c>
      <c r="D113" s="42"/>
      <c r="E113" s="189"/>
      <c r="F113" s="190"/>
      <c r="G113" s="190"/>
      <c r="H113" s="190"/>
      <c r="I113" s="190"/>
      <c r="J113" s="190"/>
      <c r="K113" s="190"/>
      <c r="L113" s="193"/>
      <c r="M113" s="199"/>
      <c r="N113" s="199"/>
    </row>
    <row r="114" spans="1:14">
      <c r="A114" s="2024"/>
      <c r="B114" s="2025"/>
      <c r="C114" s="116">
        <v>2019</v>
      </c>
      <c r="D114" s="42"/>
      <c r="E114" s="189"/>
      <c r="F114" s="190"/>
      <c r="G114" s="190"/>
      <c r="H114" s="190"/>
      <c r="I114" s="190"/>
      <c r="J114" s="190"/>
      <c r="K114" s="190"/>
      <c r="L114" s="193"/>
      <c r="M114" s="199"/>
      <c r="N114" s="199"/>
    </row>
    <row r="115" spans="1:14">
      <c r="A115" s="2024"/>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270" t="s">
        <v>72</v>
      </c>
      <c r="B118" s="2271" t="s">
        <v>61</v>
      </c>
      <c r="C118" s="2272" t="s">
        <v>8</v>
      </c>
      <c r="D118" s="2210" t="s">
        <v>73</v>
      </c>
      <c r="E118" s="174" t="s">
        <v>71</v>
      </c>
      <c r="F118" s="493"/>
      <c r="G118" s="493"/>
      <c r="H118" s="493"/>
      <c r="I118" s="493"/>
      <c r="J118" s="493"/>
      <c r="K118" s="493"/>
      <c r="L118" s="494"/>
      <c r="M118" s="199"/>
      <c r="N118" s="199"/>
    </row>
    <row r="119" spans="1:14" ht="120.75" customHeight="1">
      <c r="A119" s="2041"/>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031"/>
      <c r="B120" s="2025"/>
      <c r="C120" s="112">
        <v>2014</v>
      </c>
      <c r="D120" s="34"/>
      <c r="E120" s="186"/>
      <c r="F120" s="187"/>
      <c r="G120" s="187"/>
      <c r="H120" s="187"/>
      <c r="I120" s="187"/>
      <c r="J120" s="187"/>
      <c r="K120" s="187"/>
      <c r="L120" s="188"/>
      <c r="M120" s="199"/>
      <c r="N120" s="199"/>
    </row>
    <row r="121" spans="1:14">
      <c r="A121" s="2024"/>
      <c r="B121" s="2025"/>
      <c r="C121" s="116">
        <v>2015</v>
      </c>
      <c r="D121" s="42"/>
      <c r="E121" s="189"/>
      <c r="F121" s="190"/>
      <c r="G121" s="190"/>
      <c r="H121" s="190"/>
      <c r="I121" s="190"/>
      <c r="J121" s="190"/>
      <c r="K121" s="190"/>
      <c r="L121" s="193"/>
      <c r="M121" s="199"/>
      <c r="N121" s="199"/>
    </row>
    <row r="122" spans="1:14">
      <c r="A122" s="2024"/>
      <c r="B122" s="2025"/>
      <c r="C122" s="116">
        <v>2016</v>
      </c>
      <c r="D122" s="42"/>
      <c r="E122" s="189"/>
      <c r="F122" s="190"/>
      <c r="G122" s="190"/>
      <c r="H122" s="190"/>
      <c r="I122" s="190"/>
      <c r="J122" s="190"/>
      <c r="K122" s="190"/>
      <c r="L122" s="193"/>
      <c r="M122" s="199"/>
      <c r="N122" s="199"/>
    </row>
    <row r="123" spans="1:14">
      <c r="A123" s="2024"/>
      <c r="B123" s="2025"/>
      <c r="C123" s="116">
        <v>2017</v>
      </c>
      <c r="D123" s="42"/>
      <c r="E123" s="189"/>
      <c r="F123" s="190"/>
      <c r="G123" s="190"/>
      <c r="H123" s="190"/>
      <c r="I123" s="190"/>
      <c r="J123" s="190"/>
      <c r="K123" s="190"/>
      <c r="L123" s="193"/>
      <c r="M123" s="199"/>
      <c r="N123" s="199"/>
    </row>
    <row r="124" spans="1:14">
      <c r="A124" s="2024"/>
      <c r="B124" s="2025"/>
      <c r="C124" s="116">
        <v>2018</v>
      </c>
      <c r="D124" s="42"/>
      <c r="E124" s="189"/>
      <c r="F124" s="190"/>
      <c r="G124" s="190"/>
      <c r="H124" s="190"/>
      <c r="I124" s="190"/>
      <c r="J124" s="190"/>
      <c r="K124" s="190"/>
      <c r="L124" s="193"/>
      <c r="M124" s="199"/>
      <c r="N124" s="199"/>
    </row>
    <row r="125" spans="1:14">
      <c r="A125" s="2024"/>
      <c r="B125" s="2025"/>
      <c r="C125" s="116">
        <v>2019</v>
      </c>
      <c r="D125" s="42"/>
      <c r="E125" s="189"/>
      <c r="F125" s="190"/>
      <c r="G125" s="190"/>
      <c r="H125" s="190"/>
      <c r="I125" s="190"/>
      <c r="J125" s="190"/>
      <c r="K125" s="190"/>
      <c r="L125" s="193"/>
      <c r="M125" s="199"/>
      <c r="N125" s="199"/>
    </row>
    <row r="126" spans="1:14">
      <c r="A126" s="2024"/>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270" t="s">
        <v>74</v>
      </c>
      <c r="B129" s="2271" t="s">
        <v>61</v>
      </c>
      <c r="C129" s="588" t="s">
        <v>8</v>
      </c>
      <c r="D129" s="496" t="s">
        <v>75</v>
      </c>
      <c r="E129" s="497"/>
      <c r="F129" s="497"/>
      <c r="G129" s="498"/>
      <c r="H129" s="199"/>
      <c r="I129" s="199"/>
      <c r="J129" s="199"/>
      <c r="K129" s="199"/>
      <c r="L129" s="199"/>
      <c r="M129" s="199"/>
      <c r="N129" s="199"/>
    </row>
    <row r="130" spans="1:16" ht="77.25" customHeight="1">
      <c r="A130" s="2041"/>
      <c r="B130" s="2043"/>
      <c r="C130" s="566"/>
      <c r="D130" s="178" t="s">
        <v>76</v>
      </c>
      <c r="E130" s="207" t="s">
        <v>77</v>
      </c>
      <c r="F130" s="179" t="s">
        <v>78</v>
      </c>
      <c r="G130" s="208" t="s">
        <v>12</v>
      </c>
      <c r="H130" s="199"/>
      <c r="I130" s="199"/>
      <c r="J130" s="199"/>
      <c r="K130" s="199"/>
      <c r="L130" s="199"/>
      <c r="M130" s="199"/>
      <c r="N130" s="199"/>
    </row>
    <row r="131" spans="1:16" ht="15" customHeight="1">
      <c r="A131" s="2007" t="s">
        <v>217</v>
      </c>
      <c r="B131" s="1988"/>
      <c r="C131" s="589">
        <v>2015</v>
      </c>
      <c r="D131" s="45">
        <v>9</v>
      </c>
      <c r="E131" s="46"/>
      <c r="F131" s="46"/>
      <c r="G131" s="209">
        <f t="shared" ref="G131:G136" si="11">SUM(D131:F131)</f>
        <v>9</v>
      </c>
      <c r="H131" s="199"/>
      <c r="I131" s="199"/>
      <c r="J131" s="199"/>
      <c r="K131" s="199"/>
      <c r="L131" s="199"/>
      <c r="M131" s="199"/>
      <c r="N131" s="199"/>
    </row>
    <row r="132" spans="1:16">
      <c r="A132" s="1987"/>
      <c r="B132" s="1988"/>
      <c r="C132" s="116">
        <v>2016</v>
      </c>
      <c r="D132" s="578">
        <v>9</v>
      </c>
      <c r="E132" s="586"/>
      <c r="F132" s="42"/>
      <c r="G132" s="209">
        <f t="shared" si="11"/>
        <v>9</v>
      </c>
      <c r="H132" s="199"/>
      <c r="I132" s="199"/>
      <c r="J132" s="199"/>
      <c r="K132" s="199"/>
      <c r="L132" s="199"/>
      <c r="M132" s="199"/>
      <c r="N132" s="199"/>
    </row>
    <row r="133" spans="1:16">
      <c r="A133" s="1987"/>
      <c r="B133" s="1988"/>
      <c r="C133" s="116">
        <v>2017</v>
      </c>
      <c r="D133" s="50"/>
      <c r="E133" s="42"/>
      <c r="F133" s="42"/>
      <c r="G133" s="209">
        <f t="shared" si="11"/>
        <v>0</v>
      </c>
      <c r="H133" s="199"/>
      <c r="I133" s="199"/>
      <c r="J133" s="199"/>
      <c r="K133" s="199"/>
      <c r="L133" s="199"/>
      <c r="M133" s="199"/>
      <c r="N133" s="199"/>
    </row>
    <row r="134" spans="1:16">
      <c r="A134" s="1987"/>
      <c r="B134" s="1988"/>
      <c r="C134" s="116">
        <v>2018</v>
      </c>
      <c r="D134" s="50"/>
      <c r="E134" s="42"/>
      <c r="F134" s="42"/>
      <c r="G134" s="209">
        <f t="shared" si="11"/>
        <v>0</v>
      </c>
      <c r="H134" s="199"/>
      <c r="I134" s="199"/>
      <c r="J134" s="199"/>
      <c r="K134" s="199"/>
      <c r="L134" s="199"/>
      <c r="M134" s="199"/>
      <c r="N134" s="199"/>
    </row>
    <row r="135" spans="1:16">
      <c r="A135" s="1987"/>
      <c r="B135" s="1988"/>
      <c r="C135" s="116">
        <v>2019</v>
      </c>
      <c r="D135" s="50"/>
      <c r="E135" s="42"/>
      <c r="F135" s="42"/>
      <c r="G135" s="209">
        <f t="shared" si="11"/>
        <v>0</v>
      </c>
      <c r="H135" s="199"/>
      <c r="I135" s="199"/>
      <c r="J135" s="199"/>
      <c r="K135" s="199"/>
      <c r="L135" s="199"/>
      <c r="M135" s="199"/>
      <c r="N135" s="199"/>
    </row>
    <row r="136" spans="1:16">
      <c r="A136" s="1987"/>
      <c r="B136" s="1988"/>
      <c r="C136" s="116">
        <v>2020</v>
      </c>
      <c r="D136" s="50"/>
      <c r="E136" s="42"/>
      <c r="F136" s="42"/>
      <c r="G136" s="209">
        <f t="shared" si="11"/>
        <v>0</v>
      </c>
      <c r="H136" s="199"/>
      <c r="I136" s="199"/>
      <c r="J136" s="199"/>
      <c r="K136" s="199"/>
      <c r="L136" s="199"/>
      <c r="M136" s="199"/>
      <c r="N136" s="199"/>
    </row>
    <row r="137" spans="1:16" ht="17.25" customHeight="1" thickBot="1">
      <c r="A137" s="1989"/>
      <c r="B137" s="1990"/>
      <c r="C137" s="122" t="s">
        <v>12</v>
      </c>
      <c r="D137" s="151">
        <f>SUM(D131:D136)</f>
        <v>18</v>
      </c>
      <c r="E137" s="151">
        <f t="shared" ref="E137:F137" si="12">SUM(E131:E136)</f>
        <v>0</v>
      </c>
      <c r="F137" s="151">
        <f t="shared" si="12"/>
        <v>0</v>
      </c>
      <c r="G137" s="210">
        <f>SUM(G131:G136)</f>
        <v>18</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273" t="s">
        <v>80</v>
      </c>
      <c r="B142" s="2274" t="s">
        <v>61</v>
      </c>
      <c r="C142" s="2280" t="s">
        <v>8</v>
      </c>
      <c r="D142" s="590" t="s">
        <v>81</v>
      </c>
      <c r="E142" s="591"/>
      <c r="F142" s="591"/>
      <c r="G142" s="591"/>
      <c r="H142" s="591"/>
      <c r="I142" s="592"/>
      <c r="J142" s="2275" t="s">
        <v>82</v>
      </c>
      <c r="K142" s="2276"/>
      <c r="L142" s="2276"/>
      <c r="M142" s="2276"/>
      <c r="N142" s="2277"/>
      <c r="O142" s="177"/>
      <c r="P142" s="177"/>
    </row>
    <row r="143" spans="1:16" ht="113.25" customHeight="1">
      <c r="A143" s="2045"/>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031"/>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024"/>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024"/>
      <c r="B146" s="2025"/>
      <c r="C146" s="116">
        <v>2016</v>
      </c>
      <c r="D146" s="50"/>
      <c r="E146" s="50"/>
      <c r="F146" s="42"/>
      <c r="G146" s="190"/>
      <c r="H146" s="190"/>
      <c r="I146" s="227">
        <f t="shared" si="13"/>
        <v>0</v>
      </c>
      <c r="J146" s="231"/>
      <c r="K146" s="232"/>
      <c r="L146" s="231"/>
      <c r="M146" s="232"/>
      <c r="N146" s="233"/>
      <c r="O146" s="177"/>
      <c r="P146" s="177"/>
    </row>
    <row r="147" spans="1:16" ht="17.25" customHeight="1">
      <c r="A147" s="2024"/>
      <c r="B147" s="2025"/>
      <c r="C147" s="116">
        <v>2017</v>
      </c>
      <c r="D147" s="50"/>
      <c r="E147" s="50"/>
      <c r="F147" s="42"/>
      <c r="G147" s="190"/>
      <c r="H147" s="190"/>
      <c r="I147" s="227">
        <f t="shared" si="13"/>
        <v>0</v>
      </c>
      <c r="J147" s="231"/>
      <c r="K147" s="232"/>
      <c r="L147" s="231"/>
      <c r="M147" s="232"/>
      <c r="N147" s="233"/>
      <c r="O147" s="177"/>
      <c r="P147" s="177"/>
    </row>
    <row r="148" spans="1:16" ht="19.5" customHeight="1">
      <c r="A148" s="2024"/>
      <c r="B148" s="2025"/>
      <c r="C148" s="116">
        <v>2018</v>
      </c>
      <c r="D148" s="50"/>
      <c r="E148" s="50"/>
      <c r="F148" s="42"/>
      <c r="G148" s="190"/>
      <c r="H148" s="190"/>
      <c r="I148" s="227">
        <f t="shared" si="13"/>
        <v>0</v>
      </c>
      <c r="J148" s="231"/>
      <c r="K148" s="232"/>
      <c r="L148" s="231"/>
      <c r="M148" s="232"/>
      <c r="N148" s="233"/>
      <c r="O148" s="177"/>
      <c r="P148" s="177"/>
    </row>
    <row r="149" spans="1:16" ht="19.5" customHeight="1">
      <c r="A149" s="2024"/>
      <c r="B149" s="2025"/>
      <c r="C149" s="116">
        <v>2019</v>
      </c>
      <c r="D149" s="50"/>
      <c r="E149" s="50"/>
      <c r="F149" s="42"/>
      <c r="G149" s="190"/>
      <c r="H149" s="190"/>
      <c r="I149" s="227">
        <f t="shared" si="13"/>
        <v>0</v>
      </c>
      <c r="J149" s="231"/>
      <c r="K149" s="232"/>
      <c r="L149" s="231"/>
      <c r="M149" s="232"/>
      <c r="N149" s="233"/>
      <c r="O149" s="177"/>
      <c r="P149" s="177"/>
    </row>
    <row r="150" spans="1:16" ht="18.75" customHeight="1">
      <c r="A150" s="2024"/>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278" t="s">
        <v>93</v>
      </c>
      <c r="B153" s="2274" t="s">
        <v>61</v>
      </c>
      <c r="C153" s="2279" t="s">
        <v>8</v>
      </c>
      <c r="D153" s="502" t="s">
        <v>94</v>
      </c>
      <c r="E153" s="502"/>
      <c r="F153" s="503"/>
      <c r="G153" s="503"/>
      <c r="H153" s="502" t="s">
        <v>95</v>
      </c>
      <c r="I153" s="502"/>
      <c r="J153" s="504"/>
      <c r="K153" s="31"/>
      <c r="L153" s="31"/>
      <c r="M153" s="31"/>
      <c r="N153" s="31"/>
      <c r="O153" s="177"/>
      <c r="P153" s="177"/>
    </row>
    <row r="154" spans="1:16" ht="49.5" customHeight="1">
      <c r="A154" s="2033"/>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031"/>
      <c r="B155" s="2025"/>
      <c r="C155" s="247">
        <v>2014</v>
      </c>
      <c r="D155" s="228"/>
      <c r="E155" s="187"/>
      <c r="F155" s="229"/>
      <c r="G155" s="227">
        <f>SUM(D155:F155)</f>
        <v>0</v>
      </c>
      <c r="H155" s="228"/>
      <c r="I155" s="187"/>
      <c r="J155" s="188"/>
      <c r="O155" s="177"/>
      <c r="P155" s="177"/>
    </row>
    <row r="156" spans="1:16" ht="19.5" customHeight="1">
      <c r="A156" s="2024"/>
      <c r="B156" s="2025"/>
      <c r="C156" s="248">
        <v>2015</v>
      </c>
      <c r="D156" s="231"/>
      <c r="E156" s="190"/>
      <c r="F156" s="232"/>
      <c r="G156" s="227">
        <f t="shared" ref="G156:G161" si="15">SUM(D156:F156)</f>
        <v>0</v>
      </c>
      <c r="H156" s="231"/>
      <c r="I156" s="190"/>
      <c r="J156" s="193"/>
      <c r="O156" s="177"/>
      <c r="P156" s="177"/>
    </row>
    <row r="157" spans="1:16" ht="17.25" customHeight="1">
      <c r="A157" s="2024"/>
      <c r="B157" s="2025"/>
      <c r="C157" s="248">
        <v>2016</v>
      </c>
      <c r="D157" s="231"/>
      <c r="E157" s="190"/>
      <c r="F157" s="232"/>
      <c r="G157" s="227">
        <f t="shared" si="15"/>
        <v>0</v>
      </c>
      <c r="H157" s="231"/>
      <c r="I157" s="190"/>
      <c r="J157" s="193"/>
      <c r="O157" s="177"/>
      <c r="P157" s="177"/>
    </row>
    <row r="158" spans="1:16" ht="15" customHeight="1">
      <c r="A158" s="2024"/>
      <c r="B158" s="2025"/>
      <c r="C158" s="248">
        <v>2017</v>
      </c>
      <c r="D158" s="231"/>
      <c r="E158" s="190"/>
      <c r="F158" s="232"/>
      <c r="G158" s="227">
        <f t="shared" si="15"/>
        <v>0</v>
      </c>
      <c r="H158" s="231"/>
      <c r="I158" s="190"/>
      <c r="J158" s="193"/>
      <c r="O158" s="177"/>
      <c r="P158" s="177"/>
    </row>
    <row r="159" spans="1:16" ht="19.5" customHeight="1">
      <c r="A159" s="2024"/>
      <c r="B159" s="2025"/>
      <c r="C159" s="248">
        <v>2018</v>
      </c>
      <c r="D159" s="231"/>
      <c r="E159" s="190"/>
      <c r="F159" s="232"/>
      <c r="G159" s="227">
        <f t="shared" si="15"/>
        <v>0</v>
      </c>
      <c r="H159" s="231"/>
      <c r="I159" s="190"/>
      <c r="J159" s="193"/>
      <c r="O159" s="177"/>
      <c r="P159" s="177"/>
    </row>
    <row r="160" spans="1:16" ht="15" customHeight="1">
      <c r="A160" s="2024"/>
      <c r="B160" s="2025"/>
      <c r="C160" s="248">
        <v>2019</v>
      </c>
      <c r="D160" s="231"/>
      <c r="E160" s="190"/>
      <c r="F160" s="232"/>
      <c r="G160" s="227">
        <f t="shared" si="15"/>
        <v>0</v>
      </c>
      <c r="H160" s="231"/>
      <c r="I160" s="190"/>
      <c r="J160" s="193"/>
      <c r="O160" s="177"/>
      <c r="P160" s="177"/>
    </row>
    <row r="161" spans="1:18" ht="17.25" customHeight="1">
      <c r="A161" s="2024"/>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505"/>
      <c r="F163" s="177"/>
      <c r="G163" s="177"/>
      <c r="H163" s="177"/>
      <c r="I163" s="177"/>
      <c r="J163" s="255"/>
      <c r="K163" s="256"/>
    </row>
    <row r="164" spans="1:18" ht="95.25" customHeight="1">
      <c r="A164" s="506" t="s">
        <v>102</v>
      </c>
      <c r="B164" s="258" t="s">
        <v>103</v>
      </c>
      <c r="C164" s="593" t="s">
        <v>8</v>
      </c>
      <c r="D164" s="260" t="s">
        <v>104</v>
      </c>
      <c r="E164" s="260" t="s">
        <v>105</v>
      </c>
      <c r="F164" s="508" t="s">
        <v>106</v>
      </c>
      <c r="G164" s="260" t="s">
        <v>107</v>
      </c>
      <c r="H164" s="260" t="s">
        <v>108</v>
      </c>
      <c r="I164" s="262" t="s">
        <v>109</v>
      </c>
      <c r="J164" s="263" t="s">
        <v>110</v>
      </c>
      <c r="K164" s="263" t="s">
        <v>111</v>
      </c>
      <c r="L164" s="567"/>
    </row>
    <row r="165" spans="1:18" ht="15.75" customHeight="1">
      <c r="A165" s="2011"/>
      <c r="B165" s="2012"/>
      <c r="C165" s="265">
        <v>2014</v>
      </c>
      <c r="D165" s="187"/>
      <c r="E165" s="187"/>
      <c r="F165" s="187"/>
      <c r="G165" s="187"/>
      <c r="H165" s="187"/>
      <c r="I165" s="188"/>
      <c r="J165" s="266">
        <f>SUM(D165,F165,H165)</f>
        <v>0</v>
      </c>
      <c r="K165" s="267">
        <f>SUM(E165,G165,I165)</f>
        <v>0</v>
      </c>
      <c r="L165" s="567"/>
    </row>
    <row r="166" spans="1:18">
      <c r="A166" s="2013"/>
      <c r="B166" s="2014"/>
      <c r="C166" s="268">
        <v>2015</v>
      </c>
      <c r="D166" s="269"/>
      <c r="E166" s="269"/>
      <c r="F166" s="269"/>
      <c r="G166" s="269"/>
      <c r="H166" s="269"/>
      <c r="I166" s="270"/>
      <c r="J166" s="271">
        <f t="shared" ref="J166:K171" si="17">SUM(D166,F166,H166)</f>
        <v>0</v>
      </c>
      <c r="K166" s="272">
        <f t="shared" si="17"/>
        <v>0</v>
      </c>
      <c r="L166" s="567"/>
    </row>
    <row r="167" spans="1:18">
      <c r="A167" s="2013"/>
      <c r="B167" s="2014"/>
      <c r="C167" s="268">
        <v>2016</v>
      </c>
      <c r="D167" s="269"/>
      <c r="E167" s="269"/>
      <c r="F167" s="269"/>
      <c r="G167" s="269"/>
      <c r="H167" s="269"/>
      <c r="I167" s="270"/>
      <c r="J167" s="271">
        <f t="shared" si="17"/>
        <v>0</v>
      </c>
      <c r="K167" s="272">
        <f t="shared" si="17"/>
        <v>0</v>
      </c>
    </row>
    <row r="168" spans="1:18">
      <c r="A168" s="2013"/>
      <c r="B168" s="2014"/>
      <c r="C168" s="268">
        <v>2017</v>
      </c>
      <c r="D168" s="269"/>
      <c r="E168" s="177"/>
      <c r="F168" s="269"/>
      <c r="G168" s="269"/>
      <c r="H168" s="269"/>
      <c r="I168" s="270"/>
      <c r="J168" s="271">
        <f t="shared" si="17"/>
        <v>0</v>
      </c>
      <c r="K168" s="272">
        <f t="shared" si="17"/>
        <v>0</v>
      </c>
    </row>
    <row r="169" spans="1:18">
      <c r="A169" s="2013"/>
      <c r="B169" s="2014"/>
      <c r="C169" s="273">
        <v>2018</v>
      </c>
      <c r="D169" s="269"/>
      <c r="E169" s="269"/>
      <c r="F169" s="269"/>
      <c r="G169" s="274"/>
      <c r="H169" s="269"/>
      <c r="I169" s="270"/>
      <c r="J169" s="271">
        <f t="shared" si="17"/>
        <v>0</v>
      </c>
      <c r="K169" s="272">
        <f t="shared" si="17"/>
        <v>0</v>
      </c>
      <c r="L169" s="567"/>
    </row>
    <row r="170" spans="1:18">
      <c r="A170" s="2013"/>
      <c r="B170" s="2014"/>
      <c r="C170" s="268">
        <v>2019</v>
      </c>
      <c r="D170" s="177"/>
      <c r="E170" s="269"/>
      <c r="F170" s="269"/>
      <c r="G170" s="269"/>
      <c r="H170" s="274"/>
      <c r="I170" s="270"/>
      <c r="J170" s="271">
        <f t="shared" si="17"/>
        <v>0</v>
      </c>
      <c r="K170" s="272">
        <f t="shared" si="17"/>
        <v>0</v>
      </c>
      <c r="L170" s="567"/>
    </row>
    <row r="171" spans="1:18">
      <c r="A171" s="2013"/>
      <c r="B171" s="2014"/>
      <c r="C171" s="273">
        <v>2020</v>
      </c>
      <c r="D171" s="269"/>
      <c r="E171" s="269"/>
      <c r="F171" s="269"/>
      <c r="G171" s="269"/>
      <c r="H171" s="269"/>
      <c r="I171" s="270"/>
      <c r="J171" s="271">
        <f t="shared" si="17"/>
        <v>0</v>
      </c>
      <c r="K171" s="272">
        <f t="shared" si="17"/>
        <v>0</v>
      </c>
      <c r="L171" s="567"/>
    </row>
    <row r="172" spans="1:18" ht="41.25" customHeight="1" thickBot="1">
      <c r="A172" s="2015"/>
      <c r="B172" s="2016"/>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567"/>
    </row>
    <row r="173" spans="1:18" s="77" customFormat="1" ht="26.2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21.75" thickBot="1">
      <c r="A175" s="281"/>
      <c r="B175" s="281"/>
    </row>
    <row r="176" spans="1:18" s="31" customFormat="1" ht="22.5" customHeight="1" thickBot="1">
      <c r="A176" s="2284" t="s">
        <v>113</v>
      </c>
      <c r="B176" s="2285" t="s">
        <v>114</v>
      </c>
      <c r="C176" s="2286" t="s">
        <v>8</v>
      </c>
      <c r="D176" s="510" t="s">
        <v>115</v>
      </c>
      <c r="E176" s="511"/>
      <c r="F176" s="511"/>
      <c r="G176" s="512"/>
      <c r="H176" s="513"/>
      <c r="I176" s="2021" t="s">
        <v>116</v>
      </c>
      <c r="J176" s="2232"/>
      <c r="K176" s="2232"/>
      <c r="L176" s="2232"/>
      <c r="M176" s="2232"/>
      <c r="N176" s="2232"/>
      <c r="O176" s="2233"/>
    </row>
    <row r="177" spans="1:15" s="31" customFormat="1" ht="129.75" customHeight="1">
      <c r="A177" s="2018"/>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5" customHeight="1">
      <c r="A178" s="2031" t="s">
        <v>218</v>
      </c>
      <c r="B178" s="2025"/>
      <c r="C178" s="112">
        <v>2014</v>
      </c>
      <c r="D178" s="33"/>
      <c r="E178" s="34"/>
      <c r="F178" s="34"/>
      <c r="G178" s="293">
        <f>SUM(D178:F178)</f>
        <v>0</v>
      </c>
      <c r="H178" s="167"/>
      <c r="I178" s="167"/>
      <c r="J178" s="34"/>
      <c r="K178" s="34"/>
      <c r="L178" s="34"/>
      <c r="M178" s="34"/>
      <c r="N178" s="34"/>
      <c r="O178" s="37"/>
    </row>
    <row r="179" spans="1:15">
      <c r="A179" s="2024"/>
      <c r="B179" s="2025"/>
      <c r="C179" s="116">
        <v>2015</v>
      </c>
      <c r="D179" s="50">
        <v>2</v>
      </c>
      <c r="E179" s="42">
        <v>4</v>
      </c>
      <c r="F179" s="42">
        <v>2</v>
      </c>
      <c r="G179" s="293">
        <f t="shared" ref="G179:G184" si="19">SUM(D179:F179)</f>
        <v>8</v>
      </c>
      <c r="H179" s="594">
        <v>18</v>
      </c>
      <c r="I179" s="587">
        <v>2</v>
      </c>
      <c r="J179" s="573">
        <v>2</v>
      </c>
      <c r="K179" s="573"/>
      <c r="L179" s="573">
        <v>1</v>
      </c>
      <c r="M179" s="573">
        <v>3</v>
      </c>
      <c r="N179" s="586"/>
      <c r="O179" s="595"/>
    </row>
    <row r="180" spans="1:15">
      <c r="A180" s="2024"/>
      <c r="B180" s="2025"/>
      <c r="C180" s="116">
        <v>2016</v>
      </c>
      <c r="D180" s="578">
        <v>16</v>
      </c>
      <c r="E180" s="573">
        <v>6</v>
      </c>
      <c r="F180" s="42">
        <v>1</v>
      </c>
      <c r="G180" s="293">
        <f t="shared" si="19"/>
        <v>23</v>
      </c>
      <c r="H180" s="594">
        <f>26+56</f>
        <v>82</v>
      </c>
      <c r="I180" s="581"/>
      <c r="J180" s="46">
        <v>5</v>
      </c>
      <c r="K180" s="46">
        <v>4</v>
      </c>
      <c r="L180" s="46">
        <f>3+4</f>
        <v>7</v>
      </c>
      <c r="M180" s="46">
        <v>6</v>
      </c>
      <c r="N180" s="573"/>
      <c r="O180" s="192">
        <v>1</v>
      </c>
    </row>
    <row r="181" spans="1:15">
      <c r="A181" s="2024"/>
      <c r="B181" s="2025"/>
      <c r="C181" s="116">
        <v>2017</v>
      </c>
      <c r="D181" s="50"/>
      <c r="E181" s="42"/>
      <c r="F181" s="42"/>
      <c r="G181" s="293">
        <f t="shared" si="19"/>
        <v>0</v>
      </c>
      <c r="H181" s="294"/>
      <c r="I181" s="118"/>
      <c r="J181" s="586"/>
      <c r="K181" s="586"/>
      <c r="L181" s="586"/>
      <c r="M181" s="586"/>
      <c r="N181" s="42"/>
      <c r="O181" s="99"/>
    </row>
    <row r="182" spans="1:15">
      <c r="A182" s="2024"/>
      <c r="B182" s="2025"/>
      <c r="C182" s="116">
        <v>2018</v>
      </c>
      <c r="D182" s="50"/>
      <c r="E182" s="42"/>
      <c r="F182" s="42"/>
      <c r="G182" s="293">
        <f t="shared" si="19"/>
        <v>0</v>
      </c>
      <c r="H182" s="294"/>
      <c r="I182" s="118"/>
      <c r="J182" s="42"/>
      <c r="K182" s="42"/>
      <c r="L182" s="42"/>
      <c r="M182" s="42"/>
      <c r="N182" s="42"/>
      <c r="O182" s="99"/>
    </row>
    <row r="183" spans="1:15">
      <c r="A183" s="2024"/>
      <c r="B183" s="2025"/>
      <c r="C183" s="116">
        <v>2019</v>
      </c>
      <c r="D183" s="50"/>
      <c r="E183" s="42"/>
      <c r="F183" s="42"/>
      <c r="G183" s="293">
        <f t="shared" si="19"/>
        <v>0</v>
      </c>
      <c r="H183" s="294"/>
      <c r="I183" s="118"/>
      <c r="J183" s="42"/>
      <c r="K183" s="42"/>
      <c r="L183" s="42"/>
      <c r="M183" s="42"/>
      <c r="N183" s="42"/>
      <c r="O183" s="99"/>
    </row>
    <row r="184" spans="1:15">
      <c r="A184" s="2024"/>
      <c r="B184" s="2025"/>
      <c r="C184" s="116">
        <v>2020</v>
      </c>
      <c r="D184" s="50"/>
      <c r="E184" s="42"/>
      <c r="F184" s="42"/>
      <c r="G184" s="293">
        <f t="shared" si="19"/>
        <v>0</v>
      </c>
      <c r="H184" s="294"/>
      <c r="I184" s="118"/>
      <c r="J184" s="42"/>
      <c r="K184" s="42"/>
      <c r="L184" s="42"/>
      <c r="M184" s="42"/>
      <c r="N184" s="42"/>
      <c r="O184" s="99"/>
    </row>
    <row r="185" spans="1:15" ht="45" customHeight="1" thickBot="1">
      <c r="A185" s="2026"/>
      <c r="B185" s="2027"/>
      <c r="C185" s="122" t="s">
        <v>12</v>
      </c>
      <c r="D185" s="151">
        <f>SUM(D178:D184)</f>
        <v>18</v>
      </c>
      <c r="E185" s="125">
        <f>SUM(E178:E184)</f>
        <v>10</v>
      </c>
      <c r="F185" s="125">
        <f>SUM(F178:F184)</f>
        <v>3</v>
      </c>
      <c r="G185" s="234">
        <f t="shared" ref="G185:O185" si="20">SUM(G178:G184)</f>
        <v>31</v>
      </c>
      <c r="H185" s="295">
        <f t="shared" si="20"/>
        <v>100</v>
      </c>
      <c r="I185" s="124">
        <f t="shared" si="20"/>
        <v>2</v>
      </c>
      <c r="J185" s="125">
        <f t="shared" si="20"/>
        <v>7</v>
      </c>
      <c r="K185" s="125">
        <f t="shared" si="20"/>
        <v>4</v>
      </c>
      <c r="L185" s="125">
        <f t="shared" si="20"/>
        <v>8</v>
      </c>
      <c r="M185" s="125">
        <f t="shared" si="20"/>
        <v>9</v>
      </c>
      <c r="N185" s="125">
        <f t="shared" si="20"/>
        <v>0</v>
      </c>
      <c r="O185" s="126">
        <f t="shared" si="20"/>
        <v>1</v>
      </c>
    </row>
    <row r="186" spans="1:15" ht="33" customHeight="1" thickBot="1"/>
    <row r="187" spans="1:15" ht="19.5" customHeight="1">
      <c r="A187" s="1994" t="s">
        <v>122</v>
      </c>
      <c r="B187" s="2285" t="s">
        <v>114</v>
      </c>
      <c r="C187" s="1998" t="s">
        <v>8</v>
      </c>
      <c r="D187" s="2000" t="s">
        <v>123</v>
      </c>
      <c r="E187" s="2219"/>
      <c r="F187" s="2219"/>
      <c r="G187" s="2220"/>
      <c r="H187" s="2221"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005" t="s">
        <v>219</v>
      </c>
      <c r="B189" s="2281"/>
      <c r="C189" s="392">
        <v>2014</v>
      </c>
      <c r="D189" s="142"/>
      <c r="E189" s="115"/>
      <c r="F189" s="115"/>
      <c r="G189" s="301">
        <f>SUM(D189:F189)</f>
        <v>0</v>
      </c>
      <c r="H189" s="114"/>
      <c r="I189" s="115"/>
      <c r="J189" s="115"/>
      <c r="K189" s="115"/>
      <c r="L189" s="143"/>
    </row>
    <row r="190" spans="1:15">
      <c r="A190" s="2007"/>
      <c r="B190" s="2282"/>
      <c r="C190" s="86">
        <v>2015</v>
      </c>
      <c r="D190" s="50">
        <v>182</v>
      </c>
      <c r="E190" s="42">
        <v>118</v>
      </c>
      <c r="F190" s="41">
        <v>176</v>
      </c>
      <c r="G190" s="301">
        <f t="shared" ref="G190:G195" si="21">SUM(D190:F190)</f>
        <v>476</v>
      </c>
      <c r="H190" s="118"/>
      <c r="I190" s="42">
        <v>173</v>
      </c>
      <c r="J190" s="42"/>
      <c r="K190" s="42"/>
      <c r="L190" s="99">
        <v>303</v>
      </c>
    </row>
    <row r="191" spans="1:15">
      <c r="A191" s="2007"/>
      <c r="B191" s="2282"/>
      <c r="C191" s="86">
        <v>2016</v>
      </c>
      <c r="D191" s="45">
        <v>2980</v>
      </c>
      <c r="E191" s="46">
        <v>161</v>
      </c>
      <c r="F191" s="41">
        <v>258</v>
      </c>
      <c r="G191" s="301">
        <f t="shared" si="21"/>
        <v>3399</v>
      </c>
      <c r="H191" s="118"/>
      <c r="I191" s="573">
        <v>226</v>
      </c>
      <c r="J191" s="573"/>
      <c r="K191" s="573"/>
      <c r="L191" s="192">
        <v>3173</v>
      </c>
    </row>
    <row r="192" spans="1:15">
      <c r="A192" s="2007"/>
      <c r="B192" s="2282"/>
      <c r="C192" s="86">
        <v>2017</v>
      </c>
      <c r="D192" s="50"/>
      <c r="E192" s="42"/>
      <c r="F192" s="42"/>
      <c r="G192" s="301">
        <f t="shared" si="21"/>
        <v>0</v>
      </c>
      <c r="H192" s="118"/>
      <c r="I192" s="42"/>
      <c r="J192" s="42"/>
      <c r="K192" s="42"/>
      <c r="L192" s="99"/>
    </row>
    <row r="193" spans="1:14">
      <c r="A193" s="2007"/>
      <c r="B193" s="2282"/>
      <c r="C193" s="86">
        <v>2018</v>
      </c>
      <c r="D193" s="50"/>
      <c r="E193" s="42"/>
      <c r="F193" s="42"/>
      <c r="G193" s="301">
        <f t="shared" si="21"/>
        <v>0</v>
      </c>
      <c r="H193" s="118"/>
      <c r="I193" s="42"/>
      <c r="J193" s="42"/>
      <c r="K193" s="42"/>
      <c r="L193" s="99"/>
    </row>
    <row r="194" spans="1:14">
      <c r="A194" s="2007"/>
      <c r="B194" s="2282"/>
      <c r="C194" s="86">
        <v>2019</v>
      </c>
      <c r="D194" s="50"/>
      <c r="E194" s="42"/>
      <c r="F194" s="42"/>
      <c r="G194" s="301">
        <f t="shared" si="21"/>
        <v>0</v>
      </c>
      <c r="H194" s="118"/>
      <c r="I194" s="42"/>
      <c r="J194" s="42"/>
      <c r="K194" s="42"/>
      <c r="L194" s="99"/>
    </row>
    <row r="195" spans="1:14">
      <c r="A195" s="2007"/>
      <c r="B195" s="2282"/>
      <c r="C195" s="86">
        <v>2020</v>
      </c>
      <c r="D195" s="50"/>
      <c r="E195" s="42"/>
      <c r="F195" s="42"/>
      <c r="G195" s="301">
        <f t="shared" si="21"/>
        <v>0</v>
      </c>
      <c r="H195" s="118"/>
      <c r="I195" s="42"/>
      <c r="J195" s="42"/>
      <c r="K195" s="42"/>
      <c r="L195" s="99"/>
    </row>
    <row r="196" spans="1:14" ht="15.75" thickBot="1">
      <c r="A196" s="2009"/>
      <c r="B196" s="2283"/>
      <c r="C196" s="148" t="s">
        <v>12</v>
      </c>
      <c r="D196" s="151">
        <f t="shared" ref="D196:L196" si="22">SUM(D189:D195)</f>
        <v>3162</v>
      </c>
      <c r="E196" s="125">
        <f t="shared" si="22"/>
        <v>279</v>
      </c>
      <c r="F196" s="125">
        <f t="shared" si="22"/>
        <v>434</v>
      </c>
      <c r="G196" s="304">
        <f t="shared" si="22"/>
        <v>3875</v>
      </c>
      <c r="H196" s="124">
        <f t="shared" si="22"/>
        <v>0</v>
      </c>
      <c r="I196" s="125">
        <f t="shared" si="22"/>
        <v>399</v>
      </c>
      <c r="J196" s="125">
        <f t="shared" si="22"/>
        <v>0</v>
      </c>
      <c r="K196" s="125">
        <f t="shared" si="22"/>
        <v>0</v>
      </c>
      <c r="L196" s="126">
        <f t="shared" si="22"/>
        <v>3476</v>
      </c>
    </row>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596" t="s">
        <v>135</v>
      </c>
      <c r="B201" s="309" t="s">
        <v>114</v>
      </c>
      <c r="C201" s="310" t="s">
        <v>8</v>
      </c>
      <c r="D201" s="515" t="s">
        <v>136</v>
      </c>
      <c r="E201" s="312" t="s">
        <v>137</v>
      </c>
      <c r="F201" s="312" t="s">
        <v>138</v>
      </c>
      <c r="G201" s="310" t="s">
        <v>139</v>
      </c>
      <c r="H201" s="516" t="s">
        <v>140</v>
      </c>
      <c r="I201" s="517" t="s">
        <v>141</v>
      </c>
      <c r="J201" s="518" t="s">
        <v>142</v>
      </c>
      <c r="K201" s="312" t="s">
        <v>143</v>
      </c>
      <c r="L201" s="316" t="s">
        <v>144</v>
      </c>
    </row>
    <row r="202" spans="1:14" ht="15" customHeight="1">
      <c r="A202" s="1987"/>
      <c r="B202" s="1988"/>
      <c r="C202" s="84">
        <v>2014</v>
      </c>
      <c r="D202" s="33"/>
      <c r="E202" s="34"/>
      <c r="F202" s="34"/>
      <c r="G202" s="32"/>
      <c r="H202" s="317"/>
      <c r="I202" s="318"/>
      <c r="J202" s="319"/>
      <c r="K202" s="34"/>
      <c r="L202" s="37"/>
    </row>
    <row r="203" spans="1:14">
      <c r="A203" s="1987"/>
      <c r="B203" s="1988"/>
      <c r="C203" s="86">
        <v>2015</v>
      </c>
      <c r="D203" s="50"/>
      <c r="E203" s="42"/>
      <c r="F203" s="42"/>
      <c r="G203" s="39"/>
      <c r="H203" s="320"/>
      <c r="I203" s="321"/>
      <c r="J203" s="322"/>
      <c r="K203" s="42"/>
      <c r="L203" s="99"/>
    </row>
    <row r="204" spans="1:14">
      <c r="A204" s="1987"/>
      <c r="B204" s="1988"/>
      <c r="C204" s="86">
        <v>2016</v>
      </c>
      <c r="D204" s="50"/>
      <c r="E204" s="42"/>
      <c r="F204" s="42"/>
      <c r="G204" s="39"/>
      <c r="H204" s="320"/>
      <c r="I204" s="321"/>
      <c r="J204" s="322">
        <v>1</v>
      </c>
      <c r="K204" s="42">
        <v>15</v>
      </c>
      <c r="L204" s="99"/>
    </row>
    <row r="205" spans="1:14">
      <c r="A205" s="1987"/>
      <c r="B205" s="1988"/>
      <c r="C205" s="86">
        <v>2017</v>
      </c>
      <c r="D205" s="50"/>
      <c r="E205" s="42"/>
      <c r="F205" s="42"/>
      <c r="G205" s="39"/>
      <c r="H205" s="320"/>
      <c r="I205" s="321"/>
      <c r="J205" s="322"/>
      <c r="K205" s="42"/>
      <c r="L205" s="99"/>
    </row>
    <row r="206" spans="1:14">
      <c r="A206" s="1987"/>
      <c r="B206" s="1988"/>
      <c r="C206" s="86">
        <v>2018</v>
      </c>
      <c r="D206" s="50"/>
      <c r="E206" s="42"/>
      <c r="F206" s="42"/>
      <c r="G206" s="39"/>
      <c r="H206" s="320"/>
      <c r="I206" s="321"/>
      <c r="J206" s="322"/>
      <c r="K206" s="42"/>
      <c r="L206" s="99"/>
    </row>
    <row r="207" spans="1:14">
      <c r="A207" s="1987"/>
      <c r="B207" s="1988"/>
      <c r="C207" s="86">
        <v>2019</v>
      </c>
      <c r="D207" s="50"/>
      <c r="E207" s="42"/>
      <c r="F207" s="42"/>
      <c r="G207" s="39"/>
      <c r="H207" s="320"/>
      <c r="I207" s="321"/>
      <c r="J207" s="322"/>
      <c r="K207" s="42"/>
      <c r="L207" s="99"/>
    </row>
    <row r="208" spans="1:14">
      <c r="A208" s="1987"/>
      <c r="B208" s="1988"/>
      <c r="C208" s="86">
        <v>2020</v>
      </c>
      <c r="D208" s="569"/>
      <c r="E208" s="324"/>
      <c r="F208" s="324"/>
      <c r="G208" s="325"/>
      <c r="H208" s="326"/>
      <c r="I208" s="327"/>
      <c r="J208" s="328"/>
      <c r="K208" s="324"/>
      <c r="L208" s="329"/>
    </row>
    <row r="209" spans="1:12" ht="20.25" customHeight="1" thickBot="1">
      <c r="A209" s="1989"/>
      <c r="B209" s="1990"/>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1</v>
      </c>
      <c r="K209" s="151">
        <f t="shared" si="23"/>
        <v>15</v>
      </c>
      <c r="L209" s="151">
        <f t="shared" si="23"/>
        <v>0</v>
      </c>
    </row>
    <row r="211" spans="1:12" ht="15.75" thickBot="1"/>
    <row r="212" spans="1:12" ht="29.25">
      <c r="A212" s="597" t="s">
        <v>145</v>
      </c>
      <c r="B212" s="331" t="s">
        <v>146</v>
      </c>
      <c r="C212" s="332">
        <v>2014</v>
      </c>
      <c r="D212" s="333">
        <v>2015</v>
      </c>
      <c r="E212" s="333">
        <v>2016</v>
      </c>
      <c r="F212" s="333">
        <v>2017</v>
      </c>
      <c r="G212" s="333">
        <v>2018</v>
      </c>
      <c r="H212" s="333">
        <v>2019</v>
      </c>
      <c r="I212" s="334">
        <v>2020</v>
      </c>
    </row>
    <row r="213" spans="1:12" ht="15" customHeight="1">
      <c r="A213" t="s">
        <v>147</v>
      </c>
      <c r="B213" s="2196" t="s">
        <v>220</v>
      </c>
      <c r="C213" s="84"/>
      <c r="D213" s="598">
        <f>D214+D215+D216+D217</f>
        <v>882825.39</v>
      </c>
      <c r="E213" s="599">
        <f>E214+E215+E216+E217</f>
        <v>2199221.87</v>
      </c>
      <c r="F213" s="147"/>
      <c r="G213" s="147"/>
      <c r="H213" s="147"/>
      <c r="I213" s="335"/>
    </row>
    <row r="214" spans="1:12">
      <c r="A214" t="s">
        <v>149</v>
      </c>
      <c r="B214" s="2168"/>
      <c r="C214" s="84"/>
      <c r="D214" s="403">
        <f>420374.29+126907.1</f>
        <v>547281.39</v>
      </c>
      <c r="E214" s="598">
        <f>574560.64+366670.8</f>
        <v>941231.44</v>
      </c>
      <c r="F214" s="147"/>
      <c r="G214" s="147"/>
      <c r="H214" s="147"/>
      <c r="I214" s="335"/>
    </row>
    <row r="215" spans="1:12">
      <c r="A215" t="s">
        <v>150</v>
      </c>
      <c r="B215" s="2168"/>
      <c r="C215" s="84"/>
      <c r="D215">
        <v>0</v>
      </c>
      <c r="E215" s="600">
        <v>0</v>
      </c>
      <c r="F215" s="147"/>
      <c r="G215" s="147"/>
      <c r="H215" s="147"/>
      <c r="I215" s="335"/>
    </row>
    <row r="216" spans="1:12">
      <c r="A216" t="s">
        <v>151</v>
      </c>
      <c r="B216" s="2168"/>
      <c r="C216" s="84"/>
      <c r="D216" s="403">
        <v>335544</v>
      </c>
      <c r="E216" s="598">
        <v>692052.78</v>
      </c>
      <c r="F216" s="147"/>
      <c r="G216" s="147"/>
      <c r="H216" s="147"/>
      <c r="I216" s="335"/>
    </row>
    <row r="217" spans="1:12">
      <c r="A217" t="s">
        <v>152</v>
      </c>
      <c r="B217" s="2168"/>
      <c r="C217" s="84"/>
      <c r="D217" s="601">
        <v>0</v>
      </c>
      <c r="E217" s="600">
        <v>565937.65</v>
      </c>
      <c r="F217" s="147"/>
      <c r="G217" s="147"/>
      <c r="H217" s="147"/>
      <c r="I217" s="335"/>
    </row>
    <row r="218" spans="1:12" ht="30">
      <c r="A218" s="31" t="s">
        <v>153</v>
      </c>
      <c r="B218" s="2168"/>
      <c r="C218" s="84"/>
      <c r="D218" s="403">
        <v>297319.63</v>
      </c>
      <c r="E218" s="600">
        <f>788329.52-4428</f>
        <v>783901.52</v>
      </c>
      <c r="F218" s="147"/>
      <c r="G218" s="147"/>
      <c r="H218" s="147"/>
      <c r="I218" s="335"/>
    </row>
    <row r="219" spans="1:12" ht="115.5" customHeight="1" thickBot="1">
      <c r="A219" s="568"/>
      <c r="B219" s="2169"/>
      <c r="C219" s="54" t="s">
        <v>12</v>
      </c>
      <c r="D219" s="405">
        <f>D214+D215+D216+D217+D218</f>
        <v>1180145.02</v>
      </c>
      <c r="E219" s="405">
        <f>E214+E215+E216+E217+E218</f>
        <v>2983123.39</v>
      </c>
      <c r="F219" s="337">
        <f t="shared" ref="F219:I219" si="24">SUM(F214:F218)</f>
        <v>0</v>
      </c>
      <c r="G219" s="337">
        <f t="shared" si="24"/>
        <v>0</v>
      </c>
      <c r="H219" s="337">
        <f t="shared" si="24"/>
        <v>0</v>
      </c>
      <c r="I219" s="73">
        <f t="shared" si="24"/>
        <v>0</v>
      </c>
      <c r="J219" s="567"/>
    </row>
    <row r="221" spans="1:12" ht="11.25" customHeight="1"/>
    <row r="222" spans="1:12" hidden="1"/>
    <row r="223" spans="1:12" hidden="1"/>
    <row r="224" spans="1:12" hidden="1"/>
    <row r="225" spans="1:1" hidden="1"/>
    <row r="226" spans="1:1" hidden="1"/>
    <row r="227" spans="1:1" hidden="1">
      <c r="A227" s="31"/>
    </row>
    <row r="228" spans="1:1" hidden="1"/>
    <row r="229" spans="1:1" hidden="1"/>
    <row r="230" spans="1:1" hidden="1"/>
    <row r="231" spans="1:1" hidden="1"/>
    <row r="233" spans="1:1" ht="14.25" customHeight="1"/>
    <row r="234" spans="1:1" hidden="1"/>
    <row r="235" spans="1:1" hidden="1"/>
    <row r="236" spans="1:1" hidden="1"/>
    <row r="237" spans="1:1" hidden="1"/>
    <row r="238" spans="1:1" hidden="1"/>
    <row r="239" spans="1:1" hidden="1"/>
    <row r="240" spans="1:1" hidden="1"/>
    <row r="241" hidden="1"/>
    <row r="243" hidden="1"/>
    <row r="244" hidden="1"/>
    <row r="245" hidden="1"/>
    <row r="246" hidden="1"/>
    <row r="247" hidden="1"/>
    <row r="248" hidden="1"/>
    <row r="249" hidden="1"/>
    <row r="345" ht="11.25" customHeight="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Y220"/>
  <sheetViews>
    <sheetView topLeftCell="A208" workbookViewId="0">
      <selection activeCell="E220" sqref="E220"/>
    </sheetView>
  </sheetViews>
  <sheetFormatPr defaultColWidth="8.85546875" defaultRowHeight="15"/>
  <cols>
    <col min="1" max="1" width="91" customWidth="1"/>
    <col min="2" max="2" width="29.42578125" customWidth="1"/>
    <col min="3" max="3" width="16.140625" customWidth="1"/>
    <col min="4" max="7" width="17.7109375" customWidth="1"/>
    <col min="8" max="8" width="14.42578125" customWidth="1"/>
    <col min="9" max="9" width="16.7109375" customWidth="1"/>
    <col min="10" max="10" width="15.85546875" customWidth="1"/>
    <col min="11" max="11" width="17.42578125" customWidth="1"/>
    <col min="12" max="12" width="15.42578125" customWidth="1"/>
    <col min="13" max="13" width="14.5703125" customWidth="1"/>
    <col min="14" max="14" width="14" customWidth="1"/>
    <col min="15" max="15" width="13.5703125" customWidth="1"/>
    <col min="16" max="25" width="13.7109375" customWidth="1"/>
  </cols>
  <sheetData>
    <row r="1" spans="1:25" s="2" customFormat="1" ht="31.5">
      <c r="A1" s="1" t="s">
        <v>0</v>
      </c>
      <c r="B1" s="2076" t="s">
        <v>255</v>
      </c>
      <c r="C1" s="2077"/>
      <c r="D1" s="2077"/>
      <c r="E1" s="2077"/>
      <c r="F1" s="2077"/>
    </row>
    <row r="2" spans="1:25" s="2" customFormat="1" ht="20.100000000000001" customHeight="1" thickBot="1"/>
    <row r="3" spans="1:25" s="5" customFormat="1" ht="20.100000000000001" customHeight="1">
      <c r="A3" s="522" t="s">
        <v>1</v>
      </c>
      <c r="B3" s="523"/>
      <c r="C3" s="523"/>
      <c r="D3" s="523"/>
      <c r="E3" s="523"/>
      <c r="F3" s="2236"/>
      <c r="G3" s="2236"/>
      <c r="H3" s="2236"/>
      <c r="I3" s="2236"/>
      <c r="J3" s="2236"/>
      <c r="K3" s="2236"/>
      <c r="L3" s="2236"/>
      <c r="M3" s="2236"/>
      <c r="N3" s="2236"/>
      <c r="O3" s="2237"/>
    </row>
    <row r="4" spans="1:25" s="5" customFormat="1" ht="20.100000000000001" customHeight="1">
      <c r="A4" s="2080" t="s">
        <v>2</v>
      </c>
      <c r="B4" s="2081"/>
      <c r="C4" s="2081"/>
      <c r="D4" s="2081"/>
      <c r="E4" s="2081"/>
      <c r="F4" s="2081"/>
      <c r="G4" s="2081"/>
      <c r="H4" s="2081"/>
      <c r="I4" s="2081"/>
      <c r="J4" s="2081"/>
      <c r="K4" s="2081"/>
      <c r="L4" s="2081"/>
      <c r="M4" s="2081"/>
      <c r="N4" s="2081"/>
      <c r="O4" s="2082"/>
    </row>
    <row r="5" spans="1:25" s="5" customFormat="1" ht="20.100000000000001" customHeight="1">
      <c r="A5" s="2080"/>
      <c r="B5" s="2081"/>
      <c r="C5" s="2081"/>
      <c r="D5" s="2081"/>
      <c r="E5" s="2081"/>
      <c r="F5" s="2081"/>
      <c r="G5" s="2081"/>
      <c r="H5" s="2081"/>
      <c r="I5" s="2081"/>
      <c r="J5" s="2081"/>
      <c r="K5" s="2081"/>
      <c r="L5" s="2081"/>
      <c r="M5" s="2081"/>
      <c r="N5" s="2081"/>
      <c r="O5" s="2082"/>
      <c r="P5" s="5" t="s">
        <v>221</v>
      </c>
    </row>
    <row r="6" spans="1:25" s="5" customFormat="1" ht="20.100000000000001" customHeight="1">
      <c r="A6" s="2080"/>
      <c r="B6" s="2081"/>
      <c r="C6" s="2081"/>
      <c r="D6" s="2081"/>
      <c r="E6" s="2081"/>
      <c r="F6" s="2081"/>
      <c r="G6" s="2081"/>
      <c r="H6" s="2081"/>
      <c r="I6" s="2081"/>
      <c r="J6" s="2081"/>
      <c r="K6" s="2081"/>
      <c r="L6" s="2081"/>
      <c r="M6" s="2081"/>
      <c r="N6" s="2081"/>
      <c r="O6" s="2082"/>
    </row>
    <row r="7" spans="1:25" s="5" customFormat="1" ht="20.100000000000001" customHeight="1">
      <c r="A7" s="2080"/>
      <c r="B7" s="2081"/>
      <c r="C7" s="2081"/>
      <c r="D7" s="2081"/>
      <c r="E7" s="2081"/>
      <c r="F7" s="2081"/>
      <c r="G7" s="2081"/>
      <c r="H7" s="2081"/>
      <c r="I7" s="2081"/>
      <c r="J7" s="2081"/>
      <c r="K7" s="2081"/>
      <c r="L7" s="2081"/>
      <c r="M7" s="2081"/>
      <c r="N7" s="2081"/>
      <c r="O7" s="2082"/>
    </row>
    <row r="8" spans="1:25" s="5" customFormat="1" ht="20.100000000000001" customHeight="1">
      <c r="A8" s="2080"/>
      <c r="B8" s="2081"/>
      <c r="C8" s="2081"/>
      <c r="D8" s="2081"/>
      <c r="E8" s="2081"/>
      <c r="F8" s="2081"/>
      <c r="G8" s="2081"/>
      <c r="H8" s="2081"/>
      <c r="I8" s="2081"/>
      <c r="J8" s="2081"/>
      <c r="K8" s="2081"/>
      <c r="L8" s="2081"/>
      <c r="M8" s="2081"/>
      <c r="N8" s="2081"/>
      <c r="O8" s="2082"/>
    </row>
    <row r="9" spans="1:25" s="5" customFormat="1" ht="20.100000000000001" customHeight="1">
      <c r="A9" s="2080"/>
      <c r="B9" s="2081"/>
      <c r="C9" s="2081"/>
      <c r="D9" s="2081"/>
      <c r="E9" s="2081"/>
      <c r="F9" s="2081"/>
      <c r="G9" s="2081"/>
      <c r="H9" s="2081"/>
      <c r="I9" s="2081"/>
      <c r="J9" s="2081"/>
      <c r="K9" s="2081"/>
      <c r="L9" s="2081"/>
      <c r="M9" s="2081"/>
      <c r="N9" s="2081"/>
      <c r="O9" s="2082"/>
    </row>
    <row r="10" spans="1:25" s="5" customFormat="1" ht="87" customHeight="1" thickBot="1">
      <c r="A10" s="2083"/>
      <c r="B10" s="2084"/>
      <c r="C10" s="2084"/>
      <c r="D10" s="2084"/>
      <c r="E10" s="2084"/>
      <c r="F10" s="2084"/>
      <c r="G10" s="2084"/>
      <c r="H10" s="2084"/>
      <c r="I10" s="2084"/>
      <c r="J10" s="2084"/>
      <c r="K10" s="2084"/>
      <c r="L10" s="2084"/>
      <c r="M10" s="2084"/>
      <c r="N10" s="2084"/>
      <c r="O10" s="2085"/>
    </row>
    <row r="11" spans="1:25" s="2" customFormat="1" ht="20.100000000000001" customHeight="1"/>
    <row r="13" spans="1:25" ht="21">
      <c r="A13" s="6" t="s">
        <v>3</v>
      </c>
      <c r="B13" s="6"/>
      <c r="C13" s="7"/>
      <c r="D13" s="7"/>
      <c r="E13" s="7"/>
      <c r="F13" s="7"/>
      <c r="G13" s="7"/>
      <c r="H13" s="7"/>
      <c r="I13" s="7"/>
      <c r="J13" s="7"/>
      <c r="K13" s="7"/>
      <c r="L13" s="7"/>
      <c r="M13" s="7"/>
      <c r="N13" s="7"/>
      <c r="O13" s="7"/>
    </row>
    <row r="14" spans="1:25" ht="15.75" thickBot="1">
      <c r="P14" s="8"/>
      <c r="Q14" s="8"/>
      <c r="R14" s="8"/>
      <c r="S14" s="8"/>
      <c r="T14" s="8"/>
      <c r="U14" s="8"/>
      <c r="V14" s="8"/>
      <c r="W14" s="8"/>
      <c r="X14" s="8"/>
    </row>
    <row r="15" spans="1:25" s="19" customFormat="1" ht="22.5" customHeight="1">
      <c r="A15" s="570"/>
      <c r="B15" s="571"/>
      <c r="C15" s="11"/>
      <c r="D15" s="2238" t="s">
        <v>4</v>
      </c>
      <c r="E15" s="2239"/>
      <c r="F15" s="2239"/>
      <c r="G15" s="2239"/>
      <c r="H15" s="12"/>
      <c r="I15" s="13" t="s">
        <v>5</v>
      </c>
      <c r="J15" s="14"/>
      <c r="K15" s="14"/>
      <c r="L15" s="14"/>
      <c r="M15" s="14"/>
      <c r="N15" s="14"/>
      <c r="O15" s="15"/>
      <c r="P15" s="16"/>
      <c r="Q15" s="17"/>
      <c r="R15" s="18"/>
      <c r="S15" s="18"/>
      <c r="T15" s="18"/>
      <c r="U15" s="18"/>
      <c r="V15" s="18"/>
      <c r="W15" s="16"/>
      <c r="X15" s="16"/>
      <c r="Y15" s="17"/>
    </row>
    <row r="16" spans="1:25" s="31" customFormat="1" ht="129" customHeight="1">
      <c r="A16" s="20" t="s">
        <v>6</v>
      </c>
      <c r="B16" s="21" t="s">
        <v>7</v>
      </c>
      <c r="C16" s="22" t="s">
        <v>8</v>
      </c>
      <c r="D16" s="23" t="s">
        <v>9</v>
      </c>
      <c r="E16" s="24" t="s">
        <v>10</v>
      </c>
      <c r="F16" s="24" t="s">
        <v>11</v>
      </c>
      <c r="G16" s="25" t="s">
        <v>12</v>
      </c>
      <c r="H16" s="26" t="s">
        <v>13</v>
      </c>
      <c r="I16" s="27" t="s">
        <v>14</v>
      </c>
      <c r="J16" s="27" t="s">
        <v>15</v>
      </c>
      <c r="K16" s="27" t="s">
        <v>16</v>
      </c>
      <c r="L16" s="27" t="s">
        <v>17</v>
      </c>
      <c r="M16" s="28" t="s">
        <v>18</v>
      </c>
      <c r="N16" s="27" t="s">
        <v>19</v>
      </c>
      <c r="O16" s="29" t="s">
        <v>20</v>
      </c>
      <c r="P16" s="30"/>
      <c r="Q16" s="30"/>
      <c r="R16" s="30"/>
      <c r="S16" s="30"/>
      <c r="T16" s="30"/>
      <c r="U16" s="30"/>
      <c r="V16" s="30"/>
      <c r="W16" s="30"/>
      <c r="X16" s="30"/>
      <c r="Y16" s="30"/>
    </row>
    <row r="17" spans="1:25" ht="21.75" customHeight="1">
      <c r="A17" s="2007" t="s">
        <v>222</v>
      </c>
      <c r="B17" s="1988"/>
      <c r="C17" s="32">
        <v>2014</v>
      </c>
      <c r="D17" s="33"/>
      <c r="E17" s="34"/>
      <c r="F17" s="34"/>
      <c r="G17" s="35">
        <f t="shared" ref="G17:G23" si="0">SUM(D17:F17)</f>
        <v>0</v>
      </c>
      <c r="H17" s="36"/>
      <c r="I17" s="34"/>
      <c r="J17" s="34"/>
      <c r="K17" s="34"/>
      <c r="L17" s="34"/>
      <c r="M17" s="34"/>
      <c r="N17" s="34"/>
      <c r="O17" s="37"/>
      <c r="P17" s="38"/>
      <c r="Q17" s="38"/>
      <c r="R17" s="38"/>
      <c r="S17" s="38"/>
      <c r="T17" s="38"/>
      <c r="U17" s="38"/>
      <c r="V17" s="38"/>
      <c r="W17" s="38"/>
      <c r="X17" s="38"/>
      <c r="Y17" s="38"/>
    </row>
    <row r="18" spans="1:25" ht="23.25" customHeight="1">
      <c r="A18" s="1987"/>
      <c r="B18" s="1988"/>
      <c r="C18" s="39">
        <v>2015</v>
      </c>
      <c r="D18" s="50">
        <v>7</v>
      </c>
      <c r="E18" s="42"/>
      <c r="F18" s="42">
        <v>3</v>
      </c>
      <c r="G18" s="35">
        <f>SUM(D18:F18)</f>
        <v>10</v>
      </c>
      <c r="H18" s="51"/>
      <c r="I18" s="42">
        <v>1</v>
      </c>
      <c r="J18" s="42">
        <v>1</v>
      </c>
      <c r="K18" s="42"/>
      <c r="L18" s="42">
        <v>3</v>
      </c>
      <c r="M18" s="42"/>
      <c r="N18" s="42"/>
      <c r="O18" s="52">
        <v>5</v>
      </c>
      <c r="P18" s="38"/>
      <c r="Q18" s="38"/>
      <c r="R18" s="38"/>
      <c r="S18" s="38"/>
      <c r="T18" s="38"/>
      <c r="U18" s="38"/>
      <c r="V18" s="38"/>
      <c r="W18" s="38"/>
      <c r="X18" s="38"/>
      <c r="Y18" s="38"/>
    </row>
    <row r="19" spans="1:25" ht="22.5" customHeight="1">
      <c r="A19" s="1987"/>
      <c r="B19" s="1988"/>
      <c r="C19" s="39">
        <v>2016</v>
      </c>
      <c r="D19" s="50">
        <v>40</v>
      </c>
      <c r="E19" s="42">
        <v>3</v>
      </c>
      <c r="F19" s="42">
        <v>12</v>
      </c>
      <c r="G19" s="35">
        <f t="shared" si="0"/>
        <v>55</v>
      </c>
      <c r="H19" s="51"/>
      <c r="I19" s="42">
        <v>2</v>
      </c>
      <c r="J19" s="42">
        <v>3</v>
      </c>
      <c r="K19" s="42">
        <v>42</v>
      </c>
      <c r="L19" s="42">
        <v>5</v>
      </c>
      <c r="M19" s="42"/>
      <c r="N19" s="42"/>
      <c r="O19" s="52">
        <v>3</v>
      </c>
      <c r="P19" s="38"/>
      <c r="Q19" s="38"/>
      <c r="R19" s="38"/>
      <c r="S19" s="38"/>
      <c r="T19" s="38"/>
      <c r="U19" s="38"/>
      <c r="V19" s="38"/>
      <c r="W19" s="38"/>
      <c r="X19" s="38"/>
      <c r="Y19" s="38"/>
    </row>
    <row r="20" spans="1:25" ht="22.5" customHeight="1">
      <c r="A20" s="1987"/>
      <c r="B20" s="1988"/>
      <c r="C20" s="39">
        <v>2017</v>
      </c>
      <c r="D20" s="50"/>
      <c r="E20" s="42"/>
      <c r="F20" s="42"/>
      <c r="G20" s="35">
        <f t="shared" si="0"/>
        <v>0</v>
      </c>
      <c r="H20" s="51"/>
      <c r="I20" s="42"/>
      <c r="J20" s="42"/>
      <c r="K20" s="42"/>
      <c r="L20" s="42"/>
      <c r="M20" s="42"/>
      <c r="N20" s="42"/>
      <c r="O20" s="52"/>
      <c r="P20" s="38"/>
      <c r="Q20" s="38"/>
      <c r="R20" s="38"/>
      <c r="S20" s="38"/>
      <c r="T20" s="38"/>
      <c r="U20" s="38"/>
      <c r="V20" s="38"/>
      <c r="W20" s="38"/>
      <c r="X20" s="38"/>
      <c r="Y20" s="38"/>
    </row>
    <row r="21" spans="1:25" ht="24.75" customHeight="1">
      <c r="A21" s="1987"/>
      <c r="B21" s="1988"/>
      <c r="C21" s="39">
        <v>2018</v>
      </c>
      <c r="D21" s="50"/>
      <c r="E21" s="42"/>
      <c r="F21" s="42"/>
      <c r="G21" s="35">
        <f t="shared" si="0"/>
        <v>0</v>
      </c>
      <c r="H21" s="51"/>
      <c r="I21" s="42"/>
      <c r="J21" s="42"/>
      <c r="K21" s="42"/>
      <c r="L21" s="42"/>
      <c r="M21" s="42"/>
      <c r="N21" s="42"/>
      <c r="O21" s="52"/>
      <c r="P21" s="38"/>
      <c r="Q21" s="38"/>
      <c r="R21" s="38"/>
      <c r="S21" s="38"/>
      <c r="T21" s="38"/>
      <c r="U21" s="38"/>
      <c r="V21" s="38"/>
      <c r="W21" s="38"/>
      <c r="X21" s="38"/>
      <c r="Y21" s="38"/>
    </row>
    <row r="22" spans="1:25" ht="25.5" customHeight="1">
      <c r="A22" s="1987"/>
      <c r="B22" s="1988"/>
      <c r="C22" s="53">
        <v>2019</v>
      </c>
      <c r="D22" s="50"/>
      <c r="E22" s="42"/>
      <c r="F22" s="42"/>
      <c r="G22" s="35">
        <f>SUM(D22:F22)</f>
        <v>0</v>
      </c>
      <c r="H22" s="51"/>
      <c r="I22" s="42"/>
      <c r="J22" s="42"/>
      <c r="K22" s="42"/>
      <c r="L22" s="42"/>
      <c r="M22" s="42"/>
      <c r="N22" s="42"/>
      <c r="O22" s="52"/>
      <c r="P22" s="38"/>
      <c r="Q22" s="38"/>
      <c r="R22" s="38"/>
      <c r="S22" s="38"/>
      <c r="T22" s="38"/>
      <c r="U22" s="38"/>
      <c r="V22" s="38"/>
      <c r="W22" s="38"/>
      <c r="X22" s="38"/>
      <c r="Y22" s="38"/>
    </row>
    <row r="23" spans="1:25" ht="36.75" customHeight="1">
      <c r="A23" s="1987"/>
      <c r="B23" s="1988"/>
      <c r="C23" s="39">
        <v>2020</v>
      </c>
      <c r="D23" s="50"/>
      <c r="E23" s="42"/>
      <c r="F23" s="42"/>
      <c r="G23" s="35">
        <f t="shared" si="0"/>
        <v>0</v>
      </c>
      <c r="H23" s="51"/>
      <c r="I23" s="42"/>
      <c r="J23" s="42"/>
      <c r="K23" s="42"/>
      <c r="L23" s="42"/>
      <c r="M23" s="42"/>
      <c r="N23" s="42"/>
      <c r="O23" s="52"/>
      <c r="P23" s="38"/>
      <c r="Q23" s="38"/>
      <c r="R23" s="38"/>
      <c r="S23" s="38"/>
      <c r="T23" s="38"/>
      <c r="U23" s="38"/>
      <c r="V23" s="38"/>
      <c r="W23" s="38"/>
      <c r="X23" s="38"/>
      <c r="Y23" s="38"/>
    </row>
    <row r="24" spans="1:25" ht="198" customHeight="1" thickBot="1">
      <c r="A24" s="1989"/>
      <c r="B24" s="1990"/>
      <c r="C24" s="54" t="s">
        <v>12</v>
      </c>
      <c r="D24" s="55">
        <f>SUM(D17:D23)</f>
        <v>47</v>
      </c>
      <c r="E24" s="56">
        <f>SUM(E17:E23)</f>
        <v>3</v>
      </c>
      <c r="F24" s="56">
        <f>SUM(F17:F23)</f>
        <v>15</v>
      </c>
      <c r="G24" s="57">
        <f>SUM(D24:F24)</f>
        <v>65</v>
      </c>
      <c r="H24" s="58">
        <f>SUM(H17:H23)</f>
        <v>0</v>
      </c>
      <c r="I24" s="59">
        <f>SUM(I17:I23)</f>
        <v>3</v>
      </c>
      <c r="J24" s="59">
        <f t="shared" ref="J24:N24" si="1">SUM(J17:J23)</f>
        <v>4</v>
      </c>
      <c r="K24" s="59">
        <f t="shared" si="1"/>
        <v>42</v>
      </c>
      <c r="L24" s="59">
        <f t="shared" si="1"/>
        <v>8</v>
      </c>
      <c r="M24" s="59">
        <f t="shared" si="1"/>
        <v>0</v>
      </c>
      <c r="N24" s="59">
        <f t="shared" si="1"/>
        <v>0</v>
      </c>
      <c r="O24" s="60">
        <f>SUM(O17:O23)</f>
        <v>8</v>
      </c>
      <c r="P24" s="38"/>
      <c r="Q24" s="38"/>
      <c r="R24" s="38"/>
      <c r="S24" s="38"/>
      <c r="T24" s="38"/>
      <c r="U24" s="38"/>
      <c r="V24" s="38"/>
      <c r="W24" s="38"/>
      <c r="X24" s="38"/>
      <c r="Y24" s="38"/>
    </row>
    <row r="25" spans="1:25" ht="15.75" thickBot="1">
      <c r="C25" s="62"/>
      <c r="H25" s="8"/>
      <c r="I25" s="8"/>
      <c r="J25" s="8"/>
      <c r="K25" s="8"/>
      <c r="L25" s="8"/>
      <c r="M25" s="8"/>
      <c r="N25" s="8"/>
      <c r="O25" s="8"/>
      <c r="P25" s="8"/>
      <c r="Q25" s="8"/>
    </row>
    <row r="26" spans="1:25" s="19" customFormat="1" ht="30.75" customHeight="1">
      <c r="A26" s="570"/>
      <c r="B26" s="571"/>
      <c r="C26" s="63"/>
      <c r="D26" s="2244" t="s">
        <v>4</v>
      </c>
      <c r="E26" s="2245"/>
      <c r="F26" s="2245"/>
      <c r="G26" s="2246"/>
      <c r="H26" s="16"/>
      <c r="I26" s="17"/>
      <c r="J26" s="18"/>
      <c r="K26" s="18"/>
      <c r="L26" s="18"/>
      <c r="M26" s="18"/>
      <c r="N26" s="18"/>
      <c r="O26" s="16"/>
      <c r="P26" s="16"/>
    </row>
    <row r="27" spans="1:25" s="31" customFormat="1" ht="93" customHeight="1">
      <c r="A27" s="64" t="s">
        <v>22</v>
      </c>
      <c r="B27" s="21" t="s">
        <v>7</v>
      </c>
      <c r="C27" s="65" t="s">
        <v>8</v>
      </c>
      <c r="D27" s="66" t="s">
        <v>9</v>
      </c>
      <c r="E27" s="24" t="s">
        <v>10</v>
      </c>
      <c r="F27" s="24" t="s">
        <v>11</v>
      </c>
      <c r="G27" s="67" t="s">
        <v>12</v>
      </c>
      <c r="H27" s="30"/>
      <c r="I27" s="30"/>
      <c r="J27" s="30"/>
      <c r="K27" s="30"/>
      <c r="L27" s="30"/>
      <c r="M27" s="30"/>
      <c r="N27" s="30"/>
      <c r="O27" s="30"/>
      <c r="P27" s="30"/>
      <c r="Q27" s="19"/>
    </row>
    <row r="28" spans="1:25" ht="23.25" customHeight="1">
      <c r="A28" s="2007" t="s">
        <v>223</v>
      </c>
      <c r="B28" s="1988"/>
      <c r="C28" s="68">
        <v>2014</v>
      </c>
      <c r="D28" s="36"/>
      <c r="E28" s="34"/>
      <c r="F28" s="34"/>
      <c r="G28" s="69">
        <f>SUM(D28:F28)</f>
        <v>0</v>
      </c>
      <c r="H28" s="38"/>
      <c r="I28" s="38"/>
      <c r="J28" s="38"/>
      <c r="K28" s="38"/>
      <c r="L28" s="38"/>
      <c r="M28" s="38"/>
      <c r="N28" s="38"/>
      <c r="O28" s="38"/>
      <c r="P28" s="38"/>
      <c r="Q28" s="8"/>
    </row>
    <row r="29" spans="1:25" ht="27" customHeight="1">
      <c r="A29" s="1987"/>
      <c r="B29" s="1988"/>
      <c r="C29" s="70">
        <v>2015</v>
      </c>
      <c r="D29" s="346">
        <v>881</v>
      </c>
      <c r="E29" s="347"/>
      <c r="F29" s="347">
        <v>51051</v>
      </c>
      <c r="G29" s="348">
        <f t="shared" ref="G29:G35" si="2">SUM(D29:F29)</f>
        <v>51932</v>
      </c>
      <c r="H29" s="38"/>
      <c r="I29" s="38"/>
      <c r="J29" s="38"/>
      <c r="K29" s="38"/>
      <c r="L29" s="38"/>
      <c r="M29" s="38"/>
      <c r="N29" s="38"/>
      <c r="O29" s="38"/>
      <c r="P29" s="38"/>
      <c r="Q29" s="8"/>
    </row>
    <row r="30" spans="1:25" ht="24.75" customHeight="1">
      <c r="A30" s="1987"/>
      <c r="B30" s="1988"/>
      <c r="C30" s="70">
        <v>2016</v>
      </c>
      <c r="D30" s="346">
        <v>18369</v>
      </c>
      <c r="E30" s="347">
        <v>4850</v>
      </c>
      <c r="F30" s="347">
        <v>365500</v>
      </c>
      <c r="G30" s="348">
        <f t="shared" si="2"/>
        <v>388719</v>
      </c>
      <c r="H30" s="38"/>
      <c r="I30" s="38"/>
      <c r="J30" s="38"/>
      <c r="K30" s="38"/>
      <c r="L30" s="38"/>
      <c r="M30" s="38"/>
      <c r="N30" s="38"/>
      <c r="O30" s="38"/>
      <c r="P30" s="38"/>
      <c r="Q30" s="8"/>
    </row>
    <row r="31" spans="1:25" ht="24" customHeight="1">
      <c r="A31" s="1987"/>
      <c r="B31" s="1988"/>
      <c r="C31" s="70">
        <v>2017</v>
      </c>
      <c r="D31" s="346"/>
      <c r="E31" s="347"/>
      <c r="F31" s="347"/>
      <c r="G31" s="348">
        <f t="shared" si="2"/>
        <v>0</v>
      </c>
      <c r="H31" s="38"/>
      <c r="I31" s="38"/>
      <c r="J31" s="38"/>
      <c r="K31" s="38"/>
      <c r="L31" s="38"/>
      <c r="M31" s="38"/>
      <c r="N31" s="38"/>
      <c r="O31" s="38"/>
      <c r="P31" s="38"/>
      <c r="Q31" s="8"/>
    </row>
    <row r="32" spans="1:25" ht="26.25" customHeight="1">
      <c r="A32" s="1987"/>
      <c r="B32" s="1988"/>
      <c r="C32" s="70">
        <v>2018</v>
      </c>
      <c r="D32" s="346"/>
      <c r="E32" s="347"/>
      <c r="F32" s="347"/>
      <c r="G32" s="348">
        <f>SUM(D32:F32)</f>
        <v>0</v>
      </c>
      <c r="H32" s="38"/>
      <c r="I32" s="38"/>
      <c r="J32" s="38"/>
      <c r="K32" s="38"/>
      <c r="L32" s="38"/>
      <c r="M32" s="38"/>
      <c r="N32" s="38"/>
      <c r="O32" s="38"/>
      <c r="P32" s="38"/>
      <c r="Q32" s="8"/>
    </row>
    <row r="33" spans="1:17" ht="29.25" customHeight="1">
      <c r="A33" s="1987"/>
      <c r="B33" s="1988"/>
      <c r="C33" s="72">
        <v>2019</v>
      </c>
      <c r="D33" s="346"/>
      <c r="E33" s="347"/>
      <c r="F33" s="347"/>
      <c r="G33" s="348">
        <f t="shared" si="2"/>
        <v>0</v>
      </c>
      <c r="H33" s="38"/>
      <c r="I33" s="38"/>
      <c r="J33" s="38"/>
      <c r="K33" s="38"/>
      <c r="L33" s="38"/>
      <c r="M33" s="38"/>
      <c r="N33" s="38"/>
      <c r="O33" s="38"/>
      <c r="P33" s="38"/>
      <c r="Q33" s="8"/>
    </row>
    <row r="34" spans="1:17" ht="27" customHeight="1">
      <c r="A34" s="1987"/>
      <c r="B34" s="1988"/>
      <c r="C34" s="70">
        <v>2020</v>
      </c>
      <c r="D34" s="346"/>
      <c r="E34" s="347"/>
      <c r="F34" s="347"/>
      <c r="G34" s="348">
        <f t="shared" si="2"/>
        <v>0</v>
      </c>
      <c r="H34" s="38"/>
      <c r="I34" s="38"/>
      <c r="J34" s="38"/>
      <c r="K34" s="38"/>
      <c r="L34" s="38"/>
      <c r="M34" s="38"/>
      <c r="N34" s="38"/>
      <c r="O34" s="38"/>
      <c r="P34" s="38"/>
      <c r="Q34" s="8"/>
    </row>
    <row r="35" spans="1:17" ht="123" customHeight="1" thickBot="1">
      <c r="A35" s="1989"/>
      <c r="B35" s="1990"/>
      <c r="C35" s="73" t="s">
        <v>12</v>
      </c>
      <c r="D35" s="349">
        <f>SUM(D28:D34)</f>
        <v>19250</v>
      </c>
      <c r="E35" s="350">
        <f>SUM(E28:E34)</f>
        <v>4850</v>
      </c>
      <c r="F35" s="350">
        <f>SUM(F28:F34)</f>
        <v>416551</v>
      </c>
      <c r="G35" s="351">
        <f t="shared" si="2"/>
        <v>440651</v>
      </c>
      <c r="H35" s="38"/>
      <c r="I35" s="38"/>
      <c r="J35" s="38"/>
      <c r="K35" s="38"/>
      <c r="L35" s="38"/>
      <c r="M35" s="38"/>
      <c r="N35" s="38"/>
      <c r="O35" s="38"/>
      <c r="P35" s="38"/>
      <c r="Q35" s="8"/>
    </row>
    <row r="36" spans="1:17">
      <c r="A36" s="74"/>
      <c r="B36" s="74"/>
      <c r="C36" s="62"/>
      <c r="H36" s="8"/>
      <c r="I36" s="8"/>
      <c r="J36" s="8"/>
      <c r="K36" s="8"/>
      <c r="L36" s="8"/>
      <c r="M36" s="8"/>
      <c r="N36" s="8"/>
      <c r="O36" s="8"/>
      <c r="P36" s="8"/>
      <c r="Q36" s="8"/>
    </row>
    <row r="37" spans="1:17" ht="21" customHeight="1">
      <c r="A37" s="75" t="s">
        <v>24</v>
      </c>
      <c r="B37" s="75"/>
      <c r="C37" s="76"/>
      <c r="D37" s="76"/>
      <c r="E37" s="76"/>
      <c r="F37" s="38"/>
      <c r="G37" s="38"/>
      <c r="H37" s="38"/>
      <c r="I37" s="77"/>
      <c r="J37" s="77"/>
      <c r="K37" s="77"/>
    </row>
    <row r="38" spans="1:17" ht="12.75" customHeight="1" thickBot="1">
      <c r="G38" s="38"/>
      <c r="H38" s="38"/>
    </row>
    <row r="39" spans="1:17" ht="88.5" customHeight="1">
      <c r="A39" s="576" t="s">
        <v>25</v>
      </c>
      <c r="B39" s="577" t="s">
        <v>7</v>
      </c>
      <c r="C39" s="80" t="s">
        <v>8</v>
      </c>
      <c r="D39" s="546" t="s">
        <v>26</v>
      </c>
      <c r="E39" s="352" t="s">
        <v>27</v>
      </c>
      <c r="F39" s="353"/>
      <c r="G39" s="30"/>
      <c r="H39" s="30"/>
    </row>
    <row r="40" spans="1:17">
      <c r="A40" s="2287" t="s">
        <v>224</v>
      </c>
      <c r="B40" s="2288"/>
      <c r="C40" s="84">
        <v>2014</v>
      </c>
      <c r="D40" s="33"/>
      <c r="E40" s="32"/>
      <c r="F40" s="8"/>
      <c r="G40" s="38"/>
      <c r="H40" s="38"/>
    </row>
    <row r="41" spans="1:17">
      <c r="A41" s="2289"/>
      <c r="B41" s="2288"/>
      <c r="C41" s="86">
        <v>2015</v>
      </c>
      <c r="D41" s="354">
        <v>8077</v>
      </c>
      <c r="E41" s="355">
        <v>1659</v>
      </c>
      <c r="F41" s="8"/>
      <c r="G41" s="38"/>
      <c r="H41" s="38"/>
    </row>
    <row r="42" spans="1:17">
      <c r="A42" s="2289"/>
      <c r="B42" s="2288"/>
      <c r="C42" s="86">
        <v>2016</v>
      </c>
      <c r="D42" s="354">
        <v>9724</v>
      </c>
      <c r="E42" s="355">
        <v>2646</v>
      </c>
      <c r="F42" s="8"/>
      <c r="G42" s="38"/>
      <c r="H42" s="38"/>
    </row>
    <row r="43" spans="1:17">
      <c r="A43" s="2289"/>
      <c r="B43" s="2288"/>
      <c r="C43" s="86">
        <v>2017</v>
      </c>
      <c r="D43" s="354"/>
      <c r="E43" s="355"/>
      <c r="F43" s="8"/>
      <c r="G43" s="38"/>
      <c r="H43" s="38"/>
    </row>
    <row r="44" spans="1:17">
      <c r="A44" s="2289"/>
      <c r="B44" s="2288"/>
      <c r="C44" s="86">
        <v>2018</v>
      </c>
      <c r="D44" s="354"/>
      <c r="E44" s="355"/>
      <c r="F44" s="8"/>
      <c r="G44" s="38"/>
      <c r="H44" s="38"/>
    </row>
    <row r="45" spans="1:17">
      <c r="A45" s="2289"/>
      <c r="B45" s="2288"/>
      <c r="C45" s="86">
        <v>2019</v>
      </c>
      <c r="D45" s="354"/>
      <c r="E45" s="355"/>
      <c r="F45" s="8"/>
      <c r="G45" s="38"/>
      <c r="H45" s="38"/>
    </row>
    <row r="46" spans="1:17">
      <c r="A46" s="2289"/>
      <c r="B46" s="2288"/>
      <c r="C46" s="86">
        <v>2020</v>
      </c>
      <c r="D46" s="354"/>
      <c r="E46" s="355"/>
      <c r="F46" s="8"/>
      <c r="G46" s="38"/>
      <c r="H46" s="38"/>
    </row>
    <row r="47" spans="1:17" ht="15.75" thickBot="1">
      <c r="A47" s="2290"/>
      <c r="B47" s="2291"/>
      <c r="C47" s="54" t="s">
        <v>12</v>
      </c>
      <c r="D47" s="356">
        <f>SUM(D40:D46)</f>
        <v>17801</v>
      </c>
      <c r="E47" s="357">
        <f>SUM(E40:E46)</f>
        <v>4305</v>
      </c>
      <c r="F47" s="121"/>
      <c r="G47" s="38"/>
      <c r="H47" s="38"/>
    </row>
    <row r="48" spans="1:17" s="38" customFormat="1" ht="15.75" thickBot="1">
      <c r="A48" s="549"/>
      <c r="B48" s="92"/>
      <c r="C48" s="93"/>
    </row>
    <row r="49" spans="1:15" ht="83.25" customHeight="1">
      <c r="A49" s="94" t="s">
        <v>29</v>
      </c>
      <c r="B49" s="577" t="s">
        <v>7</v>
      </c>
      <c r="C49" s="95" t="s">
        <v>8</v>
      </c>
      <c r="D49" s="546" t="s">
        <v>30</v>
      </c>
      <c r="E49" s="96" t="s">
        <v>31</v>
      </c>
      <c r="F49" s="96" t="s">
        <v>32</v>
      </c>
      <c r="G49" s="96" t="s">
        <v>33</v>
      </c>
      <c r="H49" s="96" t="s">
        <v>34</v>
      </c>
      <c r="I49" s="96" t="s">
        <v>35</v>
      </c>
      <c r="J49" s="96" t="s">
        <v>36</v>
      </c>
      <c r="K49" s="97" t="s">
        <v>37</v>
      </c>
    </row>
    <row r="50" spans="1:15" ht="17.25" customHeight="1">
      <c r="A50" s="2005" t="s">
        <v>225</v>
      </c>
      <c r="B50" s="2012"/>
      <c r="C50" s="98" t="s">
        <v>38</v>
      </c>
      <c r="D50" s="33"/>
      <c r="E50" s="34"/>
      <c r="F50" s="34"/>
      <c r="G50" s="34"/>
      <c r="H50" s="34"/>
      <c r="I50" s="34"/>
      <c r="J50" s="34"/>
      <c r="K50" s="37"/>
    </row>
    <row r="51" spans="1:15" ht="15" customHeight="1">
      <c r="A51" s="2007"/>
      <c r="B51" s="2014"/>
      <c r="C51" s="86">
        <v>2014</v>
      </c>
      <c r="D51" s="50"/>
      <c r="E51" s="42"/>
      <c r="F51" s="42"/>
      <c r="G51" s="42"/>
      <c r="H51" s="42"/>
      <c r="I51" s="42"/>
      <c r="J51" s="42"/>
      <c r="K51" s="99"/>
    </row>
    <row r="52" spans="1:15">
      <c r="A52" s="2007"/>
      <c r="B52" s="2014"/>
      <c r="C52" s="86">
        <v>2015</v>
      </c>
      <c r="D52" s="50"/>
      <c r="E52" s="42"/>
      <c r="F52" s="42"/>
      <c r="G52" s="42"/>
      <c r="H52" s="42"/>
      <c r="I52" s="42"/>
      <c r="J52" s="42"/>
      <c r="K52" s="99"/>
    </row>
    <row r="53" spans="1:15">
      <c r="A53" s="2007"/>
      <c r="B53" s="2014"/>
      <c r="C53" s="86">
        <v>2016</v>
      </c>
      <c r="D53" s="50"/>
      <c r="E53" s="42"/>
      <c r="F53" s="42"/>
      <c r="G53" s="42"/>
      <c r="H53" s="42"/>
      <c r="I53" s="42"/>
      <c r="J53" s="42"/>
      <c r="K53" s="99"/>
    </row>
    <row r="54" spans="1:15">
      <c r="A54" s="2007"/>
      <c r="B54" s="2014"/>
      <c r="C54" s="86">
        <v>2017</v>
      </c>
      <c r="D54" s="50"/>
      <c r="E54" s="42"/>
      <c r="F54" s="42"/>
      <c r="G54" s="42"/>
      <c r="H54" s="42"/>
      <c r="I54" s="42"/>
      <c r="J54" s="42"/>
      <c r="K54" s="99"/>
    </row>
    <row r="55" spans="1:15">
      <c r="A55" s="2007"/>
      <c r="B55" s="2014"/>
      <c r="C55" s="86">
        <v>2018</v>
      </c>
      <c r="D55" s="50"/>
      <c r="E55" s="42"/>
      <c r="F55" s="42"/>
      <c r="G55" s="42"/>
      <c r="H55" s="42"/>
      <c r="I55" s="42"/>
      <c r="J55" s="42"/>
      <c r="K55" s="99"/>
    </row>
    <row r="56" spans="1:15">
      <c r="A56" s="2007"/>
      <c r="B56" s="2014"/>
      <c r="C56" s="86">
        <v>2019</v>
      </c>
      <c r="D56" s="50"/>
      <c r="E56" s="42"/>
      <c r="F56" s="42"/>
      <c r="G56" s="42"/>
      <c r="H56" s="42"/>
      <c r="I56" s="42"/>
      <c r="J56" s="42"/>
      <c r="K56" s="99"/>
    </row>
    <row r="57" spans="1:15">
      <c r="A57" s="2007"/>
      <c r="B57" s="2014"/>
      <c r="C57" s="86">
        <v>2020</v>
      </c>
      <c r="D57" s="50"/>
      <c r="E57" s="42"/>
      <c r="F57" s="42"/>
      <c r="G57" s="42"/>
      <c r="H57" s="42"/>
      <c r="I57" s="42"/>
      <c r="J57" s="42"/>
      <c r="K57" s="100"/>
    </row>
    <row r="58" spans="1:15" ht="20.25" customHeight="1" thickBot="1">
      <c r="A58" s="2009"/>
      <c r="B58" s="2016"/>
      <c r="C58" s="54" t="s">
        <v>12</v>
      </c>
      <c r="D58" s="55">
        <f>SUM(D51:D57)</f>
        <v>0</v>
      </c>
      <c r="E58" s="56">
        <f>SUM(E51:E57)</f>
        <v>0</v>
      </c>
      <c r="F58" s="56">
        <f>SUM(F51:F57)</f>
        <v>0</v>
      </c>
      <c r="G58" s="56">
        <f>SUM(G51:G57)</f>
        <v>0</v>
      </c>
      <c r="H58" s="56">
        <f>SUM(H51:H57)</f>
        <v>0</v>
      </c>
      <c r="I58" s="56">
        <f t="shared" ref="I58" si="3">SUM(I51:I57)</f>
        <v>0</v>
      </c>
      <c r="J58" s="56">
        <f>SUM(J51:J57)</f>
        <v>0</v>
      </c>
      <c r="K58" s="60">
        <f>SUM(K50:K56)</f>
        <v>0</v>
      </c>
    </row>
    <row r="59" spans="1:15" ht="15.75" thickBot="1"/>
    <row r="60" spans="1:15" ht="21" customHeight="1">
      <c r="A60" s="2268" t="s">
        <v>39</v>
      </c>
      <c r="B60" s="580"/>
      <c r="C60" s="2269" t="s">
        <v>8</v>
      </c>
      <c r="D60" s="2197" t="s">
        <v>40</v>
      </c>
      <c r="E60" s="102" t="s">
        <v>5</v>
      </c>
      <c r="F60" s="484"/>
      <c r="G60" s="484"/>
      <c r="H60" s="484"/>
      <c r="I60" s="484"/>
      <c r="J60" s="484"/>
      <c r="K60" s="484"/>
      <c r="L60" s="485"/>
    </row>
    <row r="61" spans="1:15" ht="115.5" customHeight="1">
      <c r="A61" s="2100"/>
      <c r="B61" s="105" t="s">
        <v>7</v>
      </c>
      <c r="C61" s="2102"/>
      <c r="D61" s="2075"/>
      <c r="E61" s="106" t="s">
        <v>13</v>
      </c>
      <c r="F61" s="107" t="s">
        <v>14</v>
      </c>
      <c r="G61" s="107" t="s">
        <v>15</v>
      </c>
      <c r="H61" s="108" t="s">
        <v>16</v>
      </c>
      <c r="I61" s="108" t="s">
        <v>17</v>
      </c>
      <c r="J61" s="109" t="s">
        <v>18</v>
      </c>
      <c r="K61" s="107" t="s">
        <v>19</v>
      </c>
      <c r="L61" s="110" t="s">
        <v>20</v>
      </c>
      <c r="M61" s="111"/>
      <c r="N61" s="8"/>
      <c r="O61" s="8"/>
    </row>
    <row r="62" spans="1:15">
      <c r="A62" s="2031"/>
      <c r="B62" s="2025"/>
      <c r="C62" s="112">
        <v>2014</v>
      </c>
      <c r="D62" s="113"/>
      <c r="E62" s="114"/>
      <c r="F62" s="115"/>
      <c r="G62" s="115"/>
      <c r="H62" s="115"/>
      <c r="I62" s="115"/>
      <c r="J62" s="115"/>
      <c r="K62" s="115"/>
      <c r="L62" s="37"/>
      <c r="M62" s="8"/>
      <c r="N62" s="8"/>
      <c r="O62" s="8"/>
    </row>
    <row r="63" spans="1:15">
      <c r="A63" s="2024"/>
      <c r="B63" s="2025"/>
      <c r="C63" s="116">
        <v>2015</v>
      </c>
      <c r="D63" s="117"/>
      <c r="E63" s="118"/>
      <c r="F63" s="42"/>
      <c r="G63" s="42"/>
      <c r="H63" s="42"/>
      <c r="I63" s="42"/>
      <c r="J63" s="42"/>
      <c r="K63" s="42"/>
      <c r="L63" s="99"/>
      <c r="M63" s="8"/>
      <c r="N63" s="8"/>
      <c r="O63" s="8"/>
    </row>
    <row r="64" spans="1:15">
      <c r="A64" s="2024"/>
      <c r="B64" s="2025"/>
      <c r="C64" s="116">
        <v>2016</v>
      </c>
      <c r="D64" s="117">
        <v>12</v>
      </c>
      <c r="E64" s="118"/>
      <c r="F64" s="42">
        <v>3</v>
      </c>
      <c r="G64" s="42"/>
      <c r="H64" s="42">
        <v>9</v>
      </c>
      <c r="I64" s="42"/>
      <c r="J64" s="42"/>
      <c r="K64" s="42"/>
      <c r="L64" s="99"/>
      <c r="M64" s="8"/>
      <c r="N64" s="8"/>
      <c r="O64" s="8"/>
    </row>
    <row r="65" spans="1:20">
      <c r="A65" s="2024"/>
      <c r="B65" s="2025"/>
      <c r="C65" s="116">
        <v>2017</v>
      </c>
      <c r="D65" s="117"/>
      <c r="E65" s="118"/>
      <c r="F65" s="42"/>
      <c r="G65" s="42"/>
      <c r="H65" s="42"/>
      <c r="I65" s="42"/>
      <c r="J65" s="42"/>
      <c r="K65" s="42"/>
      <c r="L65" s="99"/>
      <c r="M65" s="8"/>
      <c r="N65" s="8"/>
      <c r="O65" s="8"/>
    </row>
    <row r="66" spans="1:20">
      <c r="A66" s="2024"/>
      <c r="B66" s="2025"/>
      <c r="C66" s="116">
        <v>2018</v>
      </c>
      <c r="D66" s="117"/>
      <c r="E66" s="118"/>
      <c r="F66" s="42"/>
      <c r="G66" s="42"/>
      <c r="H66" s="42"/>
      <c r="I66" s="42"/>
      <c r="J66" s="42"/>
      <c r="K66" s="42"/>
      <c r="L66" s="99"/>
      <c r="M66" s="8"/>
      <c r="N66" s="8"/>
      <c r="O66" s="8"/>
    </row>
    <row r="67" spans="1:20" ht="17.25" customHeight="1">
      <c r="A67" s="2024"/>
      <c r="B67" s="2025"/>
      <c r="C67" s="116">
        <v>2019</v>
      </c>
      <c r="D67" s="117"/>
      <c r="E67" s="118"/>
      <c r="F67" s="42"/>
      <c r="G67" s="42"/>
      <c r="H67" s="42"/>
      <c r="I67" s="42"/>
      <c r="J67" s="42"/>
      <c r="K67" s="42"/>
      <c r="L67" s="99"/>
      <c r="M67" s="8"/>
      <c r="N67" s="8"/>
      <c r="O67" s="8"/>
    </row>
    <row r="68" spans="1:20" ht="16.5" customHeight="1">
      <c r="A68" s="2024"/>
      <c r="B68" s="2025"/>
      <c r="C68" s="116">
        <v>2020</v>
      </c>
      <c r="D68" s="117"/>
      <c r="E68" s="118"/>
      <c r="F68" s="42"/>
      <c r="G68" s="42"/>
      <c r="H68" s="42"/>
      <c r="I68" s="42"/>
      <c r="J68" s="42"/>
      <c r="K68" s="42"/>
      <c r="L68" s="99"/>
      <c r="M68" s="121"/>
      <c r="N68" s="121"/>
      <c r="O68" s="121"/>
    </row>
    <row r="69" spans="1:20" ht="18" customHeight="1" thickBot="1">
      <c r="A69" s="2134"/>
      <c r="B69" s="2027"/>
      <c r="C69" s="122" t="s">
        <v>12</v>
      </c>
      <c r="D69" s="123">
        <f>SUM(D62:D68)</f>
        <v>12</v>
      </c>
      <c r="E69" s="124">
        <f>SUM(E62:E68)</f>
        <v>0</v>
      </c>
      <c r="F69" s="125">
        <f t="shared" ref="F69:I69" si="4">SUM(F62:F68)</f>
        <v>3</v>
      </c>
      <c r="G69" s="125">
        <f t="shared" si="4"/>
        <v>0</v>
      </c>
      <c r="H69" s="125">
        <f t="shared" si="4"/>
        <v>9</v>
      </c>
      <c r="I69" s="125">
        <f t="shared" si="4"/>
        <v>0</v>
      </c>
      <c r="J69" s="125"/>
      <c r="K69" s="125">
        <f>SUM(K62:K68)</f>
        <v>0</v>
      </c>
      <c r="L69" s="126">
        <f>SUM(L62:L68)</f>
        <v>0</v>
      </c>
      <c r="M69" s="121"/>
      <c r="N69" s="121"/>
      <c r="O69" s="121"/>
    </row>
    <row r="70" spans="1:20" ht="20.25" customHeight="1" thickBot="1">
      <c r="A70" s="127"/>
      <c r="B70" s="128"/>
      <c r="C70" s="129"/>
      <c r="D70" s="130"/>
      <c r="E70" s="130"/>
      <c r="F70" s="130"/>
      <c r="G70" s="130"/>
      <c r="H70" s="129"/>
      <c r="I70" s="131"/>
      <c r="J70" s="131"/>
      <c r="K70" s="131"/>
      <c r="L70" s="131"/>
      <c r="M70" s="131"/>
      <c r="N70" s="131"/>
      <c r="O70" s="131"/>
      <c r="P70" s="31"/>
      <c r="Q70" s="31"/>
      <c r="R70" s="31"/>
      <c r="S70" s="31"/>
      <c r="T70" s="31"/>
    </row>
    <row r="71" spans="1:20" ht="132" customHeight="1">
      <c r="A71" s="576" t="s">
        <v>42</v>
      </c>
      <c r="B71" s="577" t="s">
        <v>7</v>
      </c>
      <c r="C71" s="80" t="s">
        <v>8</v>
      </c>
      <c r="D71" s="132" t="s">
        <v>43</v>
      </c>
      <c r="E71" s="132" t="s">
        <v>44</v>
      </c>
      <c r="F71" s="133" t="s">
        <v>45</v>
      </c>
      <c r="G71" s="488" t="s">
        <v>46</v>
      </c>
      <c r="H71" s="135" t="s">
        <v>13</v>
      </c>
      <c r="I71" s="136" t="s">
        <v>14</v>
      </c>
      <c r="J71" s="137" t="s">
        <v>15</v>
      </c>
      <c r="K71" s="136" t="s">
        <v>16</v>
      </c>
      <c r="L71" s="136" t="s">
        <v>17</v>
      </c>
      <c r="M71" s="138" t="s">
        <v>18</v>
      </c>
      <c r="N71" s="137" t="s">
        <v>19</v>
      </c>
      <c r="O71" s="139" t="s">
        <v>20</v>
      </c>
    </row>
    <row r="72" spans="1:20" ht="15" customHeight="1">
      <c r="A72" s="2007"/>
      <c r="B72" s="2025"/>
      <c r="C72" s="84">
        <v>2014</v>
      </c>
      <c r="D72" s="140"/>
      <c r="E72" s="140"/>
      <c r="F72" s="140"/>
      <c r="G72" s="141">
        <f>SUM(D72:F72)</f>
        <v>0</v>
      </c>
      <c r="H72" s="33"/>
      <c r="I72" s="142"/>
      <c r="J72" s="115"/>
      <c r="K72" s="115"/>
      <c r="L72" s="115"/>
      <c r="M72" s="115"/>
      <c r="N72" s="115"/>
      <c r="O72" s="143"/>
    </row>
    <row r="73" spans="1:20">
      <c r="A73" s="1987"/>
      <c r="B73" s="2025"/>
      <c r="C73" s="86">
        <v>2015</v>
      </c>
      <c r="D73" s="147"/>
      <c r="E73" s="147"/>
      <c r="F73" s="147"/>
      <c r="G73" s="141">
        <f t="shared" ref="G73:G78" si="5">SUM(D73:F73)</f>
        <v>0</v>
      </c>
      <c r="H73" s="50"/>
      <c r="I73" s="50"/>
      <c r="J73" s="42"/>
      <c r="K73" s="42"/>
      <c r="L73" s="42"/>
      <c r="M73" s="42"/>
      <c r="N73" s="42"/>
      <c r="O73" s="99"/>
    </row>
    <row r="74" spans="1:20">
      <c r="A74" s="1987"/>
      <c r="B74" s="2025"/>
      <c r="C74" s="86">
        <v>2016</v>
      </c>
      <c r="D74" s="147">
        <v>7</v>
      </c>
      <c r="E74" s="147">
        <v>3</v>
      </c>
      <c r="F74" s="147"/>
      <c r="G74" s="141">
        <f t="shared" si="5"/>
        <v>10</v>
      </c>
      <c r="H74" s="50"/>
      <c r="I74" s="50"/>
      <c r="J74" s="42"/>
      <c r="K74" s="42">
        <v>10</v>
      </c>
      <c r="L74" s="42"/>
      <c r="M74" s="42"/>
      <c r="N74" s="42"/>
      <c r="O74" s="99"/>
    </row>
    <row r="75" spans="1:20">
      <c r="A75" s="1987"/>
      <c r="B75" s="2025"/>
      <c r="C75" s="86">
        <v>2017</v>
      </c>
      <c r="D75" s="147"/>
      <c r="E75" s="147"/>
      <c r="F75" s="147"/>
      <c r="G75" s="141">
        <f t="shared" si="5"/>
        <v>0</v>
      </c>
      <c r="H75" s="50"/>
      <c r="I75" s="50"/>
      <c r="J75" s="42"/>
      <c r="K75" s="42"/>
      <c r="L75" s="42"/>
      <c r="M75" s="42"/>
      <c r="N75" s="42"/>
      <c r="O75" s="99"/>
    </row>
    <row r="76" spans="1:20">
      <c r="A76" s="1987"/>
      <c r="B76" s="2025"/>
      <c r="C76" s="86">
        <v>2018</v>
      </c>
      <c r="D76" s="147"/>
      <c r="E76" s="147"/>
      <c r="F76" s="147"/>
      <c r="G76" s="141">
        <f t="shared" si="5"/>
        <v>0</v>
      </c>
      <c r="H76" s="50"/>
      <c r="I76" s="50"/>
      <c r="J76" s="42"/>
      <c r="K76" s="42"/>
      <c r="L76" s="42"/>
      <c r="M76" s="42"/>
      <c r="N76" s="42"/>
      <c r="O76" s="99"/>
    </row>
    <row r="77" spans="1:20" ht="15.75" customHeight="1">
      <c r="A77" s="1987"/>
      <c r="B77" s="2025"/>
      <c r="C77" s="86">
        <v>2019</v>
      </c>
      <c r="D77" s="147"/>
      <c r="E77" s="147"/>
      <c r="F77" s="147"/>
      <c r="G77" s="141">
        <f t="shared" si="5"/>
        <v>0</v>
      </c>
      <c r="H77" s="50"/>
      <c r="I77" s="50"/>
      <c r="J77" s="42"/>
      <c r="K77" s="42"/>
      <c r="L77" s="42"/>
      <c r="M77" s="42"/>
      <c r="N77" s="42"/>
      <c r="O77" s="99"/>
    </row>
    <row r="78" spans="1:20" ht="17.25" customHeight="1">
      <c r="A78" s="1987"/>
      <c r="B78" s="2025"/>
      <c r="C78" s="86">
        <v>2020</v>
      </c>
      <c r="D78" s="147"/>
      <c r="E78" s="147"/>
      <c r="F78" s="147"/>
      <c r="G78" s="141">
        <f t="shared" si="5"/>
        <v>0</v>
      </c>
      <c r="H78" s="50"/>
      <c r="I78" s="50"/>
      <c r="J78" s="42"/>
      <c r="K78" s="42"/>
      <c r="L78" s="42"/>
      <c r="M78" s="42"/>
      <c r="N78" s="42"/>
      <c r="O78" s="99"/>
    </row>
    <row r="79" spans="1:20" ht="20.25" customHeight="1" thickBot="1">
      <c r="A79" s="2134"/>
      <c r="B79" s="2027"/>
      <c r="C79" s="148" t="s">
        <v>12</v>
      </c>
      <c r="D79" s="123">
        <f>SUM(D72:D78)</f>
        <v>7</v>
      </c>
      <c r="E79" s="123">
        <f>SUM(E72:E78)</f>
        <v>3</v>
      </c>
      <c r="F79" s="123">
        <f>SUM(F72:F78)</f>
        <v>0</v>
      </c>
      <c r="G79" s="149">
        <f>SUM(G72:G78)</f>
        <v>10</v>
      </c>
      <c r="H79" s="150">
        <v>0</v>
      </c>
      <c r="I79" s="151">
        <f t="shared" ref="I79:O79" si="6">SUM(I72:I78)</f>
        <v>0</v>
      </c>
      <c r="J79" s="125">
        <f t="shared" si="6"/>
        <v>0</v>
      </c>
      <c r="K79" s="125">
        <f t="shared" si="6"/>
        <v>10</v>
      </c>
      <c r="L79" s="125">
        <f t="shared" si="6"/>
        <v>0</v>
      </c>
      <c r="M79" s="125">
        <f t="shared" si="6"/>
        <v>0</v>
      </c>
      <c r="N79" s="125">
        <f t="shared" si="6"/>
        <v>0</v>
      </c>
      <c r="O79" s="126">
        <f t="shared" si="6"/>
        <v>0</v>
      </c>
    </row>
    <row r="81" spans="1:16" ht="36.75" customHeight="1">
      <c r="A81" s="152"/>
      <c r="B81" s="128"/>
      <c r="C81" s="153"/>
      <c r="D81" s="154"/>
      <c r="E81" s="121"/>
      <c r="F81" s="121"/>
      <c r="G81" s="121"/>
      <c r="H81" s="121"/>
      <c r="I81" s="121"/>
      <c r="J81" s="121"/>
      <c r="K81" s="121"/>
    </row>
    <row r="82" spans="1:16" ht="28.5" customHeight="1">
      <c r="A82" s="155" t="s">
        <v>48</v>
      </c>
      <c r="B82" s="155"/>
      <c r="C82" s="156"/>
      <c r="D82" s="156"/>
      <c r="E82" s="156"/>
      <c r="F82" s="156"/>
      <c r="G82" s="156"/>
      <c r="H82" s="156"/>
      <c r="I82" s="156"/>
      <c r="J82" s="156"/>
      <c r="K82" s="156"/>
      <c r="L82" s="157"/>
    </row>
    <row r="83" spans="1:16" ht="14.25" customHeight="1" thickBot="1">
      <c r="A83" s="158"/>
      <c r="B83" s="158"/>
    </row>
    <row r="84" spans="1:16" s="31" customFormat="1" ht="150" customHeight="1">
      <c r="A84" s="583" t="s">
        <v>49</v>
      </c>
      <c r="B84" s="584" t="s">
        <v>50</v>
      </c>
      <c r="C84" s="161" t="s">
        <v>8</v>
      </c>
      <c r="D84" s="491" t="s">
        <v>51</v>
      </c>
      <c r="E84" s="163" t="s">
        <v>52</v>
      </c>
      <c r="F84" s="164" t="s">
        <v>53</v>
      </c>
      <c r="G84" s="164" t="s">
        <v>54</v>
      </c>
      <c r="H84" s="164" t="s">
        <v>55</v>
      </c>
      <c r="I84" s="164" t="s">
        <v>56</v>
      </c>
      <c r="J84" s="164" t="s">
        <v>57</v>
      </c>
      <c r="K84" s="165" t="s">
        <v>58</v>
      </c>
    </row>
    <row r="85" spans="1:16" ht="15" customHeight="1">
      <c r="A85" s="2072"/>
      <c r="B85" s="2292"/>
      <c r="C85" s="84">
        <v>2014</v>
      </c>
      <c r="D85" s="166"/>
      <c r="E85" s="167"/>
      <c r="F85" s="34"/>
      <c r="G85" s="34"/>
      <c r="H85" s="34"/>
      <c r="I85" s="34"/>
      <c r="J85" s="34"/>
      <c r="K85" s="37"/>
    </row>
    <row r="86" spans="1:16">
      <c r="A86" s="2072"/>
      <c r="B86" s="2292"/>
      <c r="C86" s="86">
        <v>2015</v>
      </c>
      <c r="D86" s="168">
        <v>0</v>
      </c>
      <c r="E86" s="118"/>
      <c r="F86" s="42"/>
      <c r="G86" s="42"/>
      <c r="H86" s="42"/>
      <c r="I86" s="42"/>
      <c r="J86" s="42"/>
      <c r="K86" s="99"/>
    </row>
    <row r="87" spans="1:16">
      <c r="A87" s="2072"/>
      <c r="B87" s="2292"/>
      <c r="C87" s="86">
        <v>2016</v>
      </c>
      <c r="D87" s="168">
        <v>0</v>
      </c>
      <c r="E87" s="612"/>
      <c r="F87" s="42"/>
      <c r="G87" s="42"/>
      <c r="H87" s="42"/>
      <c r="I87" s="42"/>
      <c r="J87" s="42"/>
      <c r="K87" s="99"/>
    </row>
    <row r="88" spans="1:16">
      <c r="A88" s="2072"/>
      <c r="B88" s="2292"/>
      <c r="C88" s="86">
        <v>2017</v>
      </c>
      <c r="D88" s="168"/>
      <c r="E88" s="118"/>
      <c r="F88" s="42"/>
      <c r="G88" s="42"/>
      <c r="H88" s="42"/>
      <c r="I88" s="42"/>
      <c r="J88" s="42"/>
      <c r="K88" s="99"/>
    </row>
    <row r="89" spans="1:16">
      <c r="A89" s="2072"/>
      <c r="B89" s="2292"/>
      <c r="C89" s="86">
        <v>2018</v>
      </c>
      <c r="D89" s="168"/>
      <c r="E89" s="118"/>
      <c r="F89" s="42"/>
      <c r="G89" s="42"/>
      <c r="H89" s="42"/>
      <c r="I89" s="42"/>
      <c r="J89" s="42"/>
      <c r="K89" s="99"/>
    </row>
    <row r="90" spans="1:16">
      <c r="A90" s="2072"/>
      <c r="B90" s="2292"/>
      <c r="C90" s="86">
        <v>2019</v>
      </c>
      <c r="D90" s="168"/>
      <c r="E90" s="118"/>
      <c r="F90" s="42"/>
      <c r="G90" s="42"/>
      <c r="H90" s="42"/>
      <c r="I90" s="42"/>
      <c r="J90" s="42"/>
      <c r="K90" s="99"/>
    </row>
    <row r="91" spans="1:16">
      <c r="A91" s="2072"/>
      <c r="B91" s="2292"/>
      <c r="C91" s="86">
        <v>2020</v>
      </c>
      <c r="D91" s="168"/>
      <c r="E91" s="118"/>
      <c r="F91" s="42"/>
      <c r="G91" s="42"/>
      <c r="H91" s="42"/>
      <c r="I91" s="42"/>
      <c r="J91" s="42"/>
      <c r="K91" s="99"/>
    </row>
    <row r="92" spans="1:16" ht="18" customHeight="1" thickBot="1">
      <c r="A92" s="2073"/>
      <c r="B92" s="2293"/>
      <c r="C92" s="148" t="s">
        <v>12</v>
      </c>
      <c r="D92" s="169">
        <f t="shared" ref="D92:I92" si="7">SUM(D85:D91)</f>
        <v>0</v>
      </c>
      <c r="E92" s="124">
        <f t="shared" si="7"/>
        <v>0</v>
      </c>
      <c r="F92" s="125">
        <f t="shared" si="7"/>
        <v>0</v>
      </c>
      <c r="G92" s="125">
        <f t="shared" si="7"/>
        <v>0</v>
      </c>
      <c r="H92" s="125">
        <f t="shared" si="7"/>
        <v>0</v>
      </c>
      <c r="I92" s="125">
        <f t="shared" si="7"/>
        <v>0</v>
      </c>
      <c r="J92" s="125">
        <f>SUM(J85:J91)</f>
        <v>0</v>
      </c>
      <c r="K92" s="126">
        <f>SUM(K85:K91)</f>
        <v>0</v>
      </c>
    </row>
    <row r="93" spans="1:16" ht="20.25" customHeight="1"/>
    <row r="94" spans="1:16" ht="21">
      <c r="A94" s="170" t="s">
        <v>59</v>
      </c>
      <c r="B94" s="170"/>
      <c r="C94" s="171"/>
      <c r="D94" s="171"/>
      <c r="E94" s="171"/>
      <c r="F94" s="171"/>
      <c r="G94" s="171"/>
      <c r="H94" s="171"/>
      <c r="I94" s="171"/>
      <c r="J94" s="171"/>
      <c r="K94" s="171"/>
      <c r="L94" s="171"/>
      <c r="M94" s="171"/>
      <c r="N94" s="172"/>
      <c r="O94" s="172"/>
      <c r="P94" s="172"/>
    </row>
    <row r="95" spans="1:16" s="77" customFormat="1" ht="15" customHeight="1" thickBot="1">
      <c r="A95" s="173"/>
      <c r="B95" s="173"/>
    </row>
    <row r="96" spans="1:16" ht="29.25" customHeight="1">
      <c r="A96" s="2270" t="s">
        <v>60</v>
      </c>
      <c r="B96" s="2271" t="s">
        <v>61</v>
      </c>
      <c r="C96" s="2272" t="s">
        <v>8</v>
      </c>
      <c r="D96" s="2207" t="s">
        <v>62</v>
      </c>
      <c r="E96" s="2208"/>
      <c r="F96" s="174" t="s">
        <v>63</v>
      </c>
      <c r="G96" s="493"/>
      <c r="H96" s="493"/>
      <c r="I96" s="493"/>
      <c r="J96" s="493"/>
      <c r="K96" s="493"/>
      <c r="L96" s="493"/>
      <c r="M96" s="494"/>
      <c r="N96" s="177"/>
      <c r="O96" s="177"/>
      <c r="P96" s="177"/>
    </row>
    <row r="97" spans="1:16" ht="100.5" customHeight="1">
      <c r="A97" s="2041"/>
      <c r="B97" s="2043"/>
      <c r="C97" s="2056"/>
      <c r="D97" s="178" t="s">
        <v>64</v>
      </c>
      <c r="E97" s="179" t="s">
        <v>65</v>
      </c>
      <c r="F97" s="180" t="s">
        <v>13</v>
      </c>
      <c r="G97" s="181" t="s">
        <v>66</v>
      </c>
      <c r="H97" s="182" t="s">
        <v>54</v>
      </c>
      <c r="I97" s="183" t="s">
        <v>55</v>
      </c>
      <c r="J97" s="183" t="s">
        <v>56</v>
      </c>
      <c r="K97" s="184" t="s">
        <v>67</v>
      </c>
      <c r="L97" s="182" t="s">
        <v>57</v>
      </c>
      <c r="M97" s="185" t="s">
        <v>58</v>
      </c>
      <c r="N97" s="177"/>
      <c r="O97" s="177"/>
      <c r="P97" s="177"/>
    </row>
    <row r="98" spans="1:16" ht="17.25" customHeight="1">
      <c r="A98" s="2294" t="s">
        <v>226</v>
      </c>
      <c r="B98" s="2295"/>
      <c r="C98" s="112">
        <v>2014</v>
      </c>
      <c r="D98" s="33"/>
      <c r="E98" s="34"/>
      <c r="F98" s="186"/>
      <c r="G98" s="187"/>
      <c r="H98" s="187"/>
      <c r="I98" s="187"/>
      <c r="J98" s="187"/>
      <c r="K98" s="187"/>
      <c r="L98" s="187"/>
      <c r="M98" s="188"/>
      <c r="N98" s="177"/>
      <c r="O98" s="177"/>
      <c r="P98" s="177"/>
    </row>
    <row r="99" spans="1:16" ht="16.5" customHeight="1">
      <c r="A99" s="2296"/>
      <c r="B99" s="2295"/>
      <c r="C99" s="116">
        <v>2015</v>
      </c>
      <c r="D99" s="557">
        <v>1</v>
      </c>
      <c r="E99" s="342">
        <v>1</v>
      </c>
      <c r="F99" s="189"/>
      <c r="G99" s="190"/>
      <c r="H99" s="190"/>
      <c r="I99" s="190"/>
      <c r="J99" s="190"/>
      <c r="K99" s="190"/>
      <c r="L99" s="190"/>
      <c r="M99" s="193">
        <v>1</v>
      </c>
      <c r="N99" s="177"/>
      <c r="O99" s="177"/>
      <c r="P99" s="177"/>
    </row>
    <row r="100" spans="1:16" ht="16.5" customHeight="1">
      <c r="A100" s="2296"/>
      <c r="B100" s="2295"/>
      <c r="C100" s="116">
        <v>2016</v>
      </c>
      <c r="D100" s="557">
        <v>1</v>
      </c>
      <c r="E100" s="342">
        <v>2</v>
      </c>
      <c r="F100" s="189"/>
      <c r="G100" s="190"/>
      <c r="H100" s="190"/>
      <c r="I100" s="190"/>
      <c r="J100" s="190"/>
      <c r="K100" s="190"/>
      <c r="L100" s="190"/>
      <c r="M100" s="193">
        <v>1</v>
      </c>
      <c r="N100" s="177"/>
      <c r="O100" s="177"/>
      <c r="P100" s="177"/>
    </row>
    <row r="101" spans="1:16" ht="16.5" customHeight="1">
      <c r="A101" s="2296"/>
      <c r="B101" s="2295"/>
      <c r="C101" s="116">
        <v>2017</v>
      </c>
      <c r="D101" s="557"/>
      <c r="E101" s="342"/>
      <c r="F101" s="189"/>
      <c r="G101" s="190"/>
      <c r="H101" s="190"/>
      <c r="I101" s="190"/>
      <c r="J101" s="190"/>
      <c r="K101" s="190"/>
      <c r="L101" s="190"/>
      <c r="M101" s="193"/>
      <c r="N101" s="177"/>
      <c r="O101" s="177"/>
      <c r="P101" s="177"/>
    </row>
    <row r="102" spans="1:16" ht="15.75" customHeight="1">
      <c r="A102" s="2296"/>
      <c r="B102" s="2295"/>
      <c r="C102" s="116">
        <v>2018</v>
      </c>
      <c r="D102" s="50"/>
      <c r="E102" s="42"/>
      <c r="F102" s="189"/>
      <c r="G102" s="190"/>
      <c r="H102" s="190"/>
      <c r="I102" s="190"/>
      <c r="J102" s="190"/>
      <c r="K102" s="190"/>
      <c r="L102" s="190"/>
      <c r="M102" s="193"/>
      <c r="N102" s="177"/>
      <c r="O102" s="177"/>
      <c r="P102" s="177"/>
    </row>
    <row r="103" spans="1:16" ht="14.25" customHeight="1">
      <c r="A103" s="2296"/>
      <c r="B103" s="2295"/>
      <c r="C103" s="116">
        <v>2019</v>
      </c>
      <c r="D103" s="50"/>
      <c r="E103" s="42"/>
      <c r="F103" s="189"/>
      <c r="G103" s="190"/>
      <c r="H103" s="190"/>
      <c r="I103" s="190"/>
      <c r="J103" s="190"/>
      <c r="K103" s="190"/>
      <c r="L103" s="190"/>
      <c r="M103" s="193"/>
      <c r="N103" s="177"/>
      <c r="O103" s="177"/>
      <c r="P103" s="177"/>
    </row>
    <row r="104" spans="1:16" ht="14.25" customHeight="1">
      <c r="A104" s="2296"/>
      <c r="B104" s="2295"/>
      <c r="C104" s="116">
        <v>2020</v>
      </c>
      <c r="D104" s="50"/>
      <c r="E104" s="42"/>
      <c r="F104" s="189"/>
      <c r="G104" s="190"/>
      <c r="H104" s="190"/>
      <c r="I104" s="190"/>
      <c r="J104" s="190"/>
      <c r="K104" s="190"/>
      <c r="L104" s="190"/>
      <c r="M104" s="193"/>
      <c r="N104" s="177"/>
      <c r="O104" s="177"/>
      <c r="P104" s="177"/>
    </row>
    <row r="105" spans="1:16" ht="19.5" customHeight="1" thickBot="1">
      <c r="A105" s="2297"/>
      <c r="B105" s="2298"/>
      <c r="C105" s="122" t="s">
        <v>12</v>
      </c>
      <c r="D105" s="151">
        <f>SUM(D98:D104)</f>
        <v>2</v>
      </c>
      <c r="E105" s="125">
        <f t="shared" ref="E105:K105" si="8">SUM(E98:E104)</f>
        <v>3</v>
      </c>
      <c r="F105" s="194">
        <f t="shared" si="8"/>
        <v>0</v>
      </c>
      <c r="G105" s="195">
        <f t="shared" si="8"/>
        <v>0</v>
      </c>
      <c r="H105" s="195">
        <f t="shared" si="8"/>
        <v>0</v>
      </c>
      <c r="I105" s="195">
        <f>SUM(I98:I104)</f>
        <v>0</v>
      </c>
      <c r="J105" s="195">
        <f t="shared" si="8"/>
        <v>0</v>
      </c>
      <c r="K105" s="195">
        <f t="shared" si="8"/>
        <v>0</v>
      </c>
      <c r="L105" s="195">
        <f>SUM(L98:L104)</f>
        <v>0</v>
      </c>
      <c r="M105" s="196">
        <f>SUM(M98:M104)</f>
        <v>2</v>
      </c>
      <c r="N105" s="177"/>
      <c r="O105" s="177"/>
      <c r="P105" s="177"/>
    </row>
    <row r="106" spans="1:16" ht="15.75" thickBot="1">
      <c r="A106" s="197"/>
      <c r="B106" s="197"/>
      <c r="C106" s="198"/>
      <c r="D106" s="8"/>
      <c r="E106" s="8"/>
      <c r="H106" s="199"/>
      <c r="I106" s="199"/>
      <c r="J106" s="199"/>
      <c r="K106" s="199"/>
      <c r="L106" s="199"/>
      <c r="M106" s="199"/>
      <c r="N106" s="199"/>
    </row>
    <row r="107" spans="1:16" ht="15" customHeight="1">
      <c r="A107" s="2270" t="s">
        <v>69</v>
      </c>
      <c r="B107" s="2271" t="s">
        <v>61</v>
      </c>
      <c r="C107" s="2272" t="s">
        <v>8</v>
      </c>
      <c r="D107" s="2210" t="s">
        <v>70</v>
      </c>
      <c r="E107" s="174" t="s">
        <v>71</v>
      </c>
      <c r="F107" s="493"/>
      <c r="G107" s="493"/>
      <c r="H107" s="493"/>
      <c r="I107" s="493"/>
      <c r="J107" s="493"/>
      <c r="K107" s="493"/>
      <c r="L107" s="494"/>
      <c r="M107" s="199"/>
      <c r="N107" s="199"/>
    </row>
    <row r="108" spans="1:16" ht="103.5" customHeight="1">
      <c r="A108" s="2041"/>
      <c r="B108" s="2043"/>
      <c r="C108" s="2056"/>
      <c r="D108" s="2058"/>
      <c r="E108" s="180" t="s">
        <v>13</v>
      </c>
      <c r="F108" s="181" t="s">
        <v>66</v>
      </c>
      <c r="G108" s="182" t="s">
        <v>54</v>
      </c>
      <c r="H108" s="183" t="s">
        <v>55</v>
      </c>
      <c r="I108" s="183" t="s">
        <v>56</v>
      </c>
      <c r="J108" s="184" t="s">
        <v>67</v>
      </c>
      <c r="K108" s="182" t="s">
        <v>57</v>
      </c>
      <c r="L108" s="185" t="s">
        <v>58</v>
      </c>
      <c r="M108" s="199"/>
      <c r="N108" s="199"/>
    </row>
    <row r="109" spans="1:16">
      <c r="A109" s="2031" t="s">
        <v>225</v>
      </c>
      <c r="B109" s="2025"/>
      <c r="C109" s="112">
        <v>2014</v>
      </c>
      <c r="D109" s="34"/>
      <c r="E109" s="186"/>
      <c r="F109" s="187"/>
      <c r="G109" s="187"/>
      <c r="H109" s="187"/>
      <c r="I109" s="187"/>
      <c r="J109" s="187"/>
      <c r="K109" s="187"/>
      <c r="L109" s="188"/>
      <c r="M109" s="199"/>
      <c r="N109" s="199"/>
    </row>
    <row r="110" spans="1:16">
      <c r="A110" s="2024"/>
      <c r="B110" s="2025"/>
      <c r="C110" s="116">
        <v>2015</v>
      </c>
      <c r="D110" s="42"/>
      <c r="E110" s="189"/>
      <c r="F110" s="190"/>
      <c r="G110" s="190"/>
      <c r="H110" s="190"/>
      <c r="I110" s="190"/>
      <c r="J110" s="190"/>
      <c r="K110" s="190"/>
      <c r="L110" s="193"/>
      <c r="M110" s="199"/>
      <c r="N110" s="199"/>
    </row>
    <row r="111" spans="1:16">
      <c r="A111" s="2024"/>
      <c r="B111" s="2025"/>
      <c r="C111" s="116">
        <v>2016</v>
      </c>
      <c r="D111" s="42"/>
      <c r="E111" s="189"/>
      <c r="F111" s="190"/>
      <c r="G111" s="190"/>
      <c r="H111" s="190"/>
      <c r="I111" s="190"/>
      <c r="J111" s="190"/>
      <c r="K111" s="190"/>
      <c r="L111" s="193"/>
      <c r="M111" s="199"/>
      <c r="N111" s="199"/>
    </row>
    <row r="112" spans="1:16">
      <c r="A112" s="2024"/>
      <c r="B112" s="2025"/>
      <c r="C112" s="116">
        <v>2017</v>
      </c>
      <c r="D112" s="42"/>
      <c r="E112" s="189"/>
      <c r="F112" s="190"/>
      <c r="G112" s="190"/>
      <c r="H112" s="190"/>
      <c r="I112" s="190"/>
      <c r="J112" s="190"/>
      <c r="K112" s="190"/>
      <c r="L112" s="193"/>
      <c r="M112" s="199"/>
      <c r="N112" s="199"/>
    </row>
    <row r="113" spans="1:14">
      <c r="A113" s="2024"/>
      <c r="B113" s="2025"/>
      <c r="C113" s="116">
        <v>2018</v>
      </c>
      <c r="D113" s="42"/>
      <c r="E113" s="189"/>
      <c r="F113" s="190"/>
      <c r="G113" s="190"/>
      <c r="H113" s="190"/>
      <c r="I113" s="190"/>
      <c r="J113" s="190"/>
      <c r="K113" s="190"/>
      <c r="L113" s="193"/>
      <c r="M113" s="199"/>
      <c r="N113" s="199"/>
    </row>
    <row r="114" spans="1:14">
      <c r="A114" s="2024"/>
      <c r="B114" s="2025"/>
      <c r="C114" s="116">
        <v>2019</v>
      </c>
      <c r="D114" s="42"/>
      <c r="E114" s="189"/>
      <c r="F114" s="190"/>
      <c r="G114" s="190"/>
      <c r="H114" s="190"/>
      <c r="I114" s="190"/>
      <c r="J114" s="190"/>
      <c r="K114" s="190"/>
      <c r="L114" s="193"/>
      <c r="M114" s="199"/>
      <c r="N114" s="199"/>
    </row>
    <row r="115" spans="1:14">
      <c r="A115" s="2024"/>
      <c r="B115" s="2025"/>
      <c r="C115" s="116">
        <v>2020</v>
      </c>
      <c r="D115" s="42"/>
      <c r="E115" s="189"/>
      <c r="F115" s="190"/>
      <c r="G115" s="190"/>
      <c r="H115" s="190"/>
      <c r="I115" s="190"/>
      <c r="J115" s="190"/>
      <c r="K115" s="190"/>
      <c r="L115" s="193"/>
      <c r="M115" s="199"/>
      <c r="N115" s="199"/>
    </row>
    <row r="116" spans="1:14" ht="25.5" customHeight="1" thickBot="1">
      <c r="A116" s="2046"/>
      <c r="B116" s="2027"/>
      <c r="C116" s="122" t="s">
        <v>12</v>
      </c>
      <c r="D116" s="125">
        <f t="shared" ref="D116:I116" si="9">SUM(D109:D115)</f>
        <v>0</v>
      </c>
      <c r="E116" s="194">
        <f t="shared" si="9"/>
        <v>0</v>
      </c>
      <c r="F116" s="195">
        <f t="shared" si="9"/>
        <v>0</v>
      </c>
      <c r="G116" s="195">
        <f t="shared" si="9"/>
        <v>0</v>
      </c>
      <c r="H116" s="195">
        <f t="shared" si="9"/>
        <v>0</v>
      </c>
      <c r="I116" s="195">
        <f t="shared" si="9"/>
        <v>0</v>
      </c>
      <c r="J116" s="195"/>
      <c r="K116" s="195">
        <f>SUM(K109:K115)</f>
        <v>0</v>
      </c>
      <c r="L116" s="196">
        <f>SUM(L109:L115)</f>
        <v>0</v>
      </c>
      <c r="M116" s="199"/>
      <c r="N116" s="199"/>
    </row>
    <row r="117" spans="1:14" ht="21.75" thickBot="1">
      <c r="A117" s="200"/>
      <c r="B117" s="201"/>
      <c r="C117" s="77"/>
      <c r="D117" s="77"/>
      <c r="E117" s="77"/>
      <c r="F117" s="77"/>
      <c r="G117" s="77"/>
      <c r="H117" s="77"/>
      <c r="I117" s="77"/>
      <c r="J117" s="77"/>
      <c r="K117" s="77"/>
      <c r="L117" s="77"/>
      <c r="M117" s="199"/>
      <c r="N117" s="199"/>
    </row>
    <row r="118" spans="1:14" ht="15" customHeight="1">
      <c r="A118" s="2270" t="s">
        <v>72</v>
      </c>
      <c r="B118" s="2271" t="s">
        <v>61</v>
      </c>
      <c r="C118" s="2272" t="s">
        <v>8</v>
      </c>
      <c r="D118" s="2210" t="s">
        <v>73</v>
      </c>
      <c r="E118" s="174" t="s">
        <v>71</v>
      </c>
      <c r="F118" s="493"/>
      <c r="G118" s="493"/>
      <c r="H118" s="493"/>
      <c r="I118" s="493"/>
      <c r="J118" s="493"/>
      <c r="K118" s="493"/>
      <c r="L118" s="494"/>
      <c r="M118" s="199"/>
      <c r="N118" s="199"/>
    </row>
    <row r="119" spans="1:14" ht="120.75" customHeight="1">
      <c r="A119" s="2041"/>
      <c r="B119" s="2043"/>
      <c r="C119" s="2056"/>
      <c r="D119" s="2058"/>
      <c r="E119" s="180" t="s">
        <v>13</v>
      </c>
      <c r="F119" s="181" t="s">
        <v>66</v>
      </c>
      <c r="G119" s="182" t="s">
        <v>54</v>
      </c>
      <c r="H119" s="183" t="s">
        <v>55</v>
      </c>
      <c r="I119" s="183" t="s">
        <v>56</v>
      </c>
      <c r="J119" s="184" t="s">
        <v>67</v>
      </c>
      <c r="K119" s="182" t="s">
        <v>57</v>
      </c>
      <c r="L119" s="185" t="s">
        <v>58</v>
      </c>
      <c r="M119" s="199"/>
      <c r="N119" s="199"/>
    </row>
    <row r="120" spans="1:14">
      <c r="A120" s="2031" t="s">
        <v>225</v>
      </c>
      <c r="B120" s="2025"/>
      <c r="C120" s="112">
        <v>2014</v>
      </c>
      <c r="D120" s="34"/>
      <c r="E120" s="186"/>
      <c r="F120" s="187"/>
      <c r="G120" s="187"/>
      <c r="H120" s="187"/>
      <c r="I120" s="187"/>
      <c r="J120" s="187"/>
      <c r="K120" s="187"/>
      <c r="L120" s="188"/>
      <c r="M120" s="199"/>
      <c r="N120" s="199"/>
    </row>
    <row r="121" spans="1:14">
      <c r="A121" s="2024"/>
      <c r="B121" s="2025"/>
      <c r="C121" s="116">
        <v>2015</v>
      </c>
      <c r="D121" s="42"/>
      <c r="E121" s="189"/>
      <c r="F121" s="190"/>
      <c r="G121" s="190"/>
      <c r="H121" s="190"/>
      <c r="I121" s="190"/>
      <c r="J121" s="190"/>
      <c r="K121" s="190"/>
      <c r="L121" s="193"/>
      <c r="M121" s="199"/>
      <c r="N121" s="199"/>
    </row>
    <row r="122" spans="1:14">
      <c r="A122" s="2024"/>
      <c r="B122" s="2025"/>
      <c r="C122" s="116">
        <v>2016</v>
      </c>
      <c r="D122" s="42"/>
      <c r="E122" s="189"/>
      <c r="F122" s="190"/>
      <c r="G122" s="190"/>
      <c r="H122" s="190"/>
      <c r="I122" s="190"/>
      <c r="J122" s="190"/>
      <c r="K122" s="190"/>
      <c r="L122" s="193"/>
      <c r="M122" s="199"/>
      <c r="N122" s="199"/>
    </row>
    <row r="123" spans="1:14">
      <c r="A123" s="2024"/>
      <c r="B123" s="2025"/>
      <c r="C123" s="116">
        <v>2017</v>
      </c>
      <c r="D123" s="42"/>
      <c r="E123" s="189"/>
      <c r="F123" s="190"/>
      <c r="G123" s="190"/>
      <c r="H123" s="190"/>
      <c r="I123" s="190"/>
      <c r="J123" s="190"/>
      <c r="K123" s="190"/>
      <c r="L123" s="193"/>
      <c r="M123" s="199"/>
      <c r="N123" s="199"/>
    </row>
    <row r="124" spans="1:14">
      <c r="A124" s="2024"/>
      <c r="B124" s="2025"/>
      <c r="C124" s="116">
        <v>2018</v>
      </c>
      <c r="D124" s="42"/>
      <c r="E124" s="189"/>
      <c r="F124" s="190"/>
      <c r="G124" s="190"/>
      <c r="H124" s="190"/>
      <c r="I124" s="190"/>
      <c r="J124" s="190"/>
      <c r="K124" s="190"/>
      <c r="L124" s="193"/>
      <c r="M124" s="199"/>
      <c r="N124" s="199"/>
    </row>
    <row r="125" spans="1:14">
      <c r="A125" s="2024"/>
      <c r="B125" s="2025"/>
      <c r="C125" s="116">
        <v>2019</v>
      </c>
      <c r="D125" s="42"/>
      <c r="E125" s="189"/>
      <c r="F125" s="190"/>
      <c r="G125" s="190"/>
      <c r="H125" s="190"/>
      <c r="I125" s="190"/>
      <c r="J125" s="190"/>
      <c r="K125" s="190"/>
      <c r="L125" s="193"/>
      <c r="M125" s="199"/>
      <c r="N125" s="199"/>
    </row>
    <row r="126" spans="1:14">
      <c r="A126" s="2024"/>
      <c r="B126" s="2025"/>
      <c r="C126" s="116">
        <v>2020</v>
      </c>
      <c r="D126" s="42"/>
      <c r="E126" s="189"/>
      <c r="F126" s="190"/>
      <c r="G126" s="190"/>
      <c r="H126" s="190"/>
      <c r="I126" s="190"/>
      <c r="J126" s="190"/>
      <c r="K126" s="190"/>
      <c r="L126" s="193"/>
      <c r="M126" s="199"/>
      <c r="N126" s="199"/>
    </row>
    <row r="127" spans="1:14" ht="15.75" thickBot="1">
      <c r="A127" s="2046"/>
      <c r="B127" s="2027"/>
      <c r="C127" s="122" t="s">
        <v>12</v>
      </c>
      <c r="D127" s="125">
        <f t="shared" ref="D127:I127" si="10">SUM(D120:D126)</f>
        <v>0</v>
      </c>
      <c r="E127" s="194">
        <f t="shared" si="10"/>
        <v>0</v>
      </c>
      <c r="F127" s="195">
        <f t="shared" si="10"/>
        <v>0</v>
      </c>
      <c r="G127" s="195">
        <f t="shared" si="10"/>
        <v>0</v>
      </c>
      <c r="H127" s="195">
        <f t="shared" si="10"/>
        <v>0</v>
      </c>
      <c r="I127" s="195">
        <f t="shared" si="10"/>
        <v>0</v>
      </c>
      <c r="J127" s="195"/>
      <c r="K127" s="195">
        <f>SUM(K120:K126)</f>
        <v>0</v>
      </c>
      <c r="L127" s="196">
        <f>SUM(L120:L126)</f>
        <v>0</v>
      </c>
      <c r="M127" s="199"/>
      <c r="N127" s="199"/>
    </row>
    <row r="128" spans="1:14" ht="15.75" thickBot="1">
      <c r="A128" s="197"/>
      <c r="B128" s="197"/>
      <c r="C128" s="198"/>
      <c r="D128" s="8"/>
      <c r="E128" s="8"/>
      <c r="H128" s="199"/>
      <c r="I128" s="199"/>
      <c r="J128" s="199"/>
      <c r="K128" s="199"/>
      <c r="L128" s="199"/>
      <c r="M128" s="199"/>
      <c r="N128" s="199"/>
    </row>
    <row r="129" spans="1:16" ht="15" customHeight="1">
      <c r="A129" s="2270" t="s">
        <v>74</v>
      </c>
      <c r="B129" s="2271" t="s">
        <v>61</v>
      </c>
      <c r="C129" s="606" t="s">
        <v>8</v>
      </c>
      <c r="D129" s="496" t="s">
        <v>75</v>
      </c>
      <c r="E129" s="497"/>
      <c r="F129" s="497"/>
      <c r="G129" s="498"/>
      <c r="H129" s="199"/>
      <c r="I129" s="199"/>
      <c r="J129" s="199"/>
      <c r="K129" s="199"/>
      <c r="L129" s="199"/>
      <c r="M129" s="199"/>
      <c r="N129" s="199"/>
    </row>
    <row r="130" spans="1:16" ht="77.25" customHeight="1">
      <c r="A130" s="2041"/>
      <c r="B130" s="2043"/>
      <c r="C130" s="602"/>
      <c r="D130" s="178" t="s">
        <v>76</v>
      </c>
      <c r="E130" s="207" t="s">
        <v>77</v>
      </c>
      <c r="F130" s="179" t="s">
        <v>78</v>
      </c>
      <c r="G130" s="208" t="s">
        <v>12</v>
      </c>
      <c r="H130" s="199"/>
      <c r="I130" s="199"/>
      <c r="J130" s="199"/>
      <c r="K130" s="199"/>
      <c r="L130" s="199"/>
      <c r="M130" s="199"/>
      <c r="N130" s="199"/>
    </row>
    <row r="131" spans="1:16" ht="15" customHeight="1">
      <c r="A131" s="2287" t="s">
        <v>227</v>
      </c>
      <c r="B131" s="2288"/>
      <c r="C131" s="340">
        <v>2015</v>
      </c>
      <c r="D131" s="557">
        <v>23</v>
      </c>
      <c r="E131" s="342"/>
      <c r="F131" s="342"/>
      <c r="G131" s="209">
        <f t="shared" ref="G131:G136" si="11">SUM(D131:F131)</f>
        <v>23</v>
      </c>
      <c r="H131" s="199"/>
      <c r="I131" s="199"/>
      <c r="J131" s="199"/>
      <c r="K131" s="199"/>
      <c r="L131" s="199"/>
      <c r="M131" s="199"/>
      <c r="N131" s="199"/>
    </row>
    <row r="132" spans="1:16">
      <c r="A132" s="2289"/>
      <c r="B132" s="2288"/>
      <c r="C132" s="340">
        <v>2016</v>
      </c>
      <c r="D132" s="557">
        <v>46</v>
      </c>
      <c r="E132" s="42"/>
      <c r="F132" s="42"/>
      <c r="G132" s="209">
        <f t="shared" si="11"/>
        <v>46</v>
      </c>
      <c r="H132" s="199"/>
      <c r="I132" s="199"/>
      <c r="J132" s="199"/>
      <c r="K132" s="199"/>
      <c r="L132" s="199"/>
      <c r="M132" s="199"/>
      <c r="N132" s="199"/>
    </row>
    <row r="133" spans="1:16">
      <c r="A133" s="2289"/>
      <c r="B133" s="2288"/>
      <c r="C133" s="340">
        <v>2017</v>
      </c>
      <c r="D133" s="557"/>
      <c r="E133" s="42"/>
      <c r="F133" s="42"/>
      <c r="G133" s="209">
        <f t="shared" si="11"/>
        <v>0</v>
      </c>
      <c r="H133" s="199"/>
      <c r="I133" s="199"/>
      <c r="J133" s="199"/>
      <c r="K133" s="199"/>
      <c r="L133" s="199"/>
      <c r="M133" s="199"/>
      <c r="N133" s="199"/>
    </row>
    <row r="134" spans="1:16">
      <c r="A134" s="2289"/>
      <c r="B134" s="2288"/>
      <c r="C134" s="340">
        <v>2018</v>
      </c>
      <c r="D134" s="557"/>
      <c r="E134" s="42"/>
      <c r="F134" s="42"/>
      <c r="G134" s="209">
        <f t="shared" si="11"/>
        <v>0</v>
      </c>
      <c r="H134" s="199"/>
      <c r="I134" s="199"/>
      <c r="J134" s="199"/>
      <c r="K134" s="199"/>
      <c r="L134" s="199"/>
      <c r="M134" s="199"/>
      <c r="N134" s="199"/>
    </row>
    <row r="135" spans="1:16">
      <c r="A135" s="2289"/>
      <c r="B135" s="2288"/>
      <c r="C135" s="340">
        <v>2019</v>
      </c>
      <c r="D135" s="557"/>
      <c r="E135" s="42"/>
      <c r="F135" s="42"/>
      <c r="G135" s="209">
        <f t="shared" si="11"/>
        <v>0</v>
      </c>
      <c r="H135" s="199"/>
      <c r="I135" s="199"/>
      <c r="J135" s="199"/>
      <c r="K135" s="199"/>
      <c r="L135" s="199"/>
      <c r="M135" s="199"/>
      <c r="N135" s="199"/>
    </row>
    <row r="136" spans="1:16">
      <c r="A136" s="2289"/>
      <c r="B136" s="2288"/>
      <c r="C136" s="340">
        <v>2020</v>
      </c>
      <c r="D136" s="557"/>
      <c r="E136" s="42"/>
      <c r="F136" s="42"/>
      <c r="G136" s="209">
        <f t="shared" si="11"/>
        <v>0</v>
      </c>
      <c r="H136" s="199"/>
      <c r="I136" s="199"/>
      <c r="J136" s="199"/>
      <c r="K136" s="199"/>
      <c r="L136" s="199"/>
      <c r="M136" s="199"/>
      <c r="N136" s="199"/>
    </row>
    <row r="137" spans="1:16" ht="17.25" customHeight="1" thickBot="1">
      <c r="A137" s="2290"/>
      <c r="B137" s="2291"/>
      <c r="C137" s="613" t="s">
        <v>12</v>
      </c>
      <c r="D137" s="614">
        <f>SUM(D131:D136)</f>
        <v>69</v>
      </c>
      <c r="E137" s="151">
        <f t="shared" ref="E137:F137" si="12">SUM(E131:E136)</f>
        <v>0</v>
      </c>
      <c r="F137" s="151">
        <f t="shared" si="12"/>
        <v>0</v>
      </c>
      <c r="G137" s="210">
        <f>SUM(G131:G136)</f>
        <v>69</v>
      </c>
      <c r="H137" s="199"/>
      <c r="I137" s="199"/>
      <c r="J137" s="199"/>
      <c r="K137" s="199"/>
      <c r="L137" s="199"/>
      <c r="M137" s="199"/>
      <c r="N137" s="199"/>
    </row>
    <row r="138" spans="1:16">
      <c r="A138" s="197"/>
      <c r="B138" s="197"/>
      <c r="C138" s="198"/>
      <c r="D138" s="8"/>
      <c r="E138" s="8"/>
      <c r="H138" s="199"/>
      <c r="I138" s="199"/>
      <c r="J138" s="199"/>
      <c r="K138" s="199"/>
      <c r="L138" s="199"/>
      <c r="M138" s="199"/>
      <c r="N138" s="199"/>
    </row>
    <row r="139" spans="1:16" s="77" customFormat="1" ht="33" customHeight="1">
      <c r="A139" s="211"/>
      <c r="B139" s="92"/>
      <c r="C139" s="93"/>
      <c r="D139" s="38"/>
      <c r="E139" s="38"/>
      <c r="F139" s="38"/>
      <c r="G139" s="38"/>
      <c r="H139" s="38"/>
      <c r="I139" s="212"/>
      <c r="J139" s="213"/>
      <c r="K139" s="213"/>
      <c r="L139" s="213"/>
      <c r="M139" s="213"/>
      <c r="N139" s="213"/>
      <c r="O139" s="213"/>
      <c r="P139" s="213"/>
    </row>
    <row r="140" spans="1:16" ht="21">
      <c r="A140" s="214" t="s">
        <v>79</v>
      </c>
      <c r="B140" s="214"/>
      <c r="C140" s="215"/>
      <c r="D140" s="215"/>
      <c r="E140" s="215"/>
      <c r="F140" s="215"/>
      <c r="G140" s="215"/>
      <c r="H140" s="215"/>
      <c r="I140" s="215"/>
      <c r="J140" s="215"/>
      <c r="K140" s="215"/>
      <c r="L140" s="215"/>
      <c r="M140" s="215"/>
      <c r="N140" s="215"/>
      <c r="O140" s="172"/>
      <c r="P140" s="172"/>
    </row>
    <row r="141" spans="1:16" ht="21.75" customHeight="1" thickBot="1">
      <c r="A141" s="216"/>
      <c r="B141" s="128"/>
      <c r="C141" s="153"/>
      <c r="D141" s="121"/>
      <c r="E141" s="121"/>
      <c r="F141" s="121"/>
      <c r="G141" s="121"/>
      <c r="H141" s="121"/>
      <c r="I141" s="177"/>
      <c r="J141" s="177"/>
      <c r="K141" s="177"/>
      <c r="L141" s="177"/>
      <c r="M141" s="177"/>
      <c r="N141" s="177"/>
      <c r="O141" s="177"/>
      <c r="P141" s="177"/>
    </row>
    <row r="142" spans="1:16" ht="21.75" customHeight="1">
      <c r="A142" s="2273" t="s">
        <v>80</v>
      </c>
      <c r="B142" s="2274" t="s">
        <v>61</v>
      </c>
      <c r="C142" s="2280" t="s">
        <v>8</v>
      </c>
      <c r="D142" s="590" t="s">
        <v>81</v>
      </c>
      <c r="E142" s="591"/>
      <c r="F142" s="591"/>
      <c r="G142" s="591"/>
      <c r="H142" s="591"/>
      <c r="I142" s="592"/>
      <c r="J142" s="2275" t="s">
        <v>82</v>
      </c>
      <c r="K142" s="2276"/>
      <c r="L142" s="2276"/>
      <c r="M142" s="2276"/>
      <c r="N142" s="2277"/>
      <c r="O142" s="177"/>
      <c r="P142" s="177"/>
    </row>
    <row r="143" spans="1:16" ht="113.25" customHeight="1">
      <c r="A143" s="2045"/>
      <c r="B143" s="2035"/>
      <c r="C143" s="2039"/>
      <c r="D143" s="220" t="s">
        <v>83</v>
      </c>
      <c r="E143" s="221" t="s">
        <v>84</v>
      </c>
      <c r="F143" s="222" t="s">
        <v>85</v>
      </c>
      <c r="G143" s="222" t="s">
        <v>86</v>
      </c>
      <c r="H143" s="222" t="s">
        <v>87</v>
      </c>
      <c r="I143" s="223" t="s">
        <v>88</v>
      </c>
      <c r="J143" s="224" t="s">
        <v>89</v>
      </c>
      <c r="K143" s="225" t="s">
        <v>90</v>
      </c>
      <c r="L143" s="224" t="s">
        <v>91</v>
      </c>
      <c r="M143" s="225" t="s">
        <v>90</v>
      </c>
      <c r="N143" s="226" t="s">
        <v>92</v>
      </c>
      <c r="O143" s="177"/>
      <c r="P143" s="177"/>
    </row>
    <row r="144" spans="1:16" ht="19.5" customHeight="1">
      <c r="A144" s="2031" t="s">
        <v>225</v>
      </c>
      <c r="B144" s="2025"/>
      <c r="C144" s="112">
        <v>2014</v>
      </c>
      <c r="D144" s="33"/>
      <c r="E144" s="33"/>
      <c r="F144" s="34"/>
      <c r="G144" s="187"/>
      <c r="H144" s="187"/>
      <c r="I144" s="227">
        <f>D144+F144+G144+H144</f>
        <v>0</v>
      </c>
      <c r="J144" s="228"/>
      <c r="K144" s="229"/>
      <c r="L144" s="228"/>
      <c r="M144" s="229"/>
      <c r="N144" s="230"/>
      <c r="O144" s="177"/>
      <c r="P144" s="177"/>
    </row>
    <row r="145" spans="1:16" ht="19.5" customHeight="1">
      <c r="A145" s="2024"/>
      <c r="B145" s="2025"/>
      <c r="C145" s="116">
        <v>2015</v>
      </c>
      <c r="D145" s="50"/>
      <c r="E145" s="50"/>
      <c r="F145" s="42"/>
      <c r="G145" s="190"/>
      <c r="H145" s="190"/>
      <c r="I145" s="227">
        <f t="shared" ref="I145:I150" si="13">D145+F145+G145+H145</f>
        <v>0</v>
      </c>
      <c r="J145" s="231"/>
      <c r="K145" s="232"/>
      <c r="L145" s="231"/>
      <c r="M145" s="232"/>
      <c r="N145" s="233"/>
      <c r="O145" s="177"/>
      <c r="P145" s="177"/>
    </row>
    <row r="146" spans="1:16" ht="20.25" customHeight="1">
      <c r="A146" s="2024"/>
      <c r="B146" s="2025"/>
      <c r="C146" s="116">
        <v>2016</v>
      </c>
      <c r="D146" s="50"/>
      <c r="E146" s="50"/>
      <c r="F146" s="42"/>
      <c r="G146" s="190"/>
      <c r="H146" s="190"/>
      <c r="I146" s="227">
        <f t="shared" si="13"/>
        <v>0</v>
      </c>
      <c r="J146" s="231"/>
      <c r="K146" s="232"/>
      <c r="L146" s="231"/>
      <c r="M146" s="232"/>
      <c r="N146" s="233"/>
      <c r="O146" s="177"/>
      <c r="P146" s="177"/>
    </row>
    <row r="147" spans="1:16" ht="17.25" customHeight="1">
      <c r="A147" s="2024"/>
      <c r="B147" s="2025"/>
      <c r="C147" s="116">
        <v>2017</v>
      </c>
      <c r="D147" s="50"/>
      <c r="E147" s="50"/>
      <c r="F147" s="42"/>
      <c r="G147" s="190"/>
      <c r="H147" s="190"/>
      <c r="I147" s="227">
        <f t="shared" si="13"/>
        <v>0</v>
      </c>
      <c r="J147" s="231"/>
      <c r="K147" s="232"/>
      <c r="L147" s="231"/>
      <c r="M147" s="232"/>
      <c r="N147" s="233"/>
      <c r="O147" s="177"/>
      <c r="P147" s="177"/>
    </row>
    <row r="148" spans="1:16" ht="19.5" customHeight="1">
      <c r="A148" s="2024"/>
      <c r="B148" s="2025"/>
      <c r="C148" s="116">
        <v>2018</v>
      </c>
      <c r="D148" s="50"/>
      <c r="E148" s="50"/>
      <c r="F148" s="42"/>
      <c r="G148" s="190"/>
      <c r="H148" s="190"/>
      <c r="I148" s="227">
        <f t="shared" si="13"/>
        <v>0</v>
      </c>
      <c r="J148" s="231"/>
      <c r="K148" s="232"/>
      <c r="L148" s="231"/>
      <c r="M148" s="232"/>
      <c r="N148" s="233"/>
      <c r="O148" s="177"/>
      <c r="P148" s="177"/>
    </row>
    <row r="149" spans="1:16" ht="19.5" customHeight="1">
      <c r="A149" s="2024"/>
      <c r="B149" s="2025"/>
      <c r="C149" s="116">
        <v>2019</v>
      </c>
      <c r="D149" s="50"/>
      <c r="E149" s="50"/>
      <c r="F149" s="42"/>
      <c r="G149" s="190"/>
      <c r="H149" s="190"/>
      <c r="I149" s="227">
        <f t="shared" si="13"/>
        <v>0</v>
      </c>
      <c r="J149" s="231"/>
      <c r="K149" s="232"/>
      <c r="L149" s="231"/>
      <c r="M149" s="232"/>
      <c r="N149" s="233"/>
      <c r="O149" s="177"/>
      <c r="P149" s="177"/>
    </row>
    <row r="150" spans="1:16" ht="18.75" customHeight="1">
      <c r="A150" s="2024"/>
      <c r="B150" s="2025"/>
      <c r="C150" s="116">
        <v>2020</v>
      </c>
      <c r="D150" s="50"/>
      <c r="E150" s="50"/>
      <c r="F150" s="42"/>
      <c r="G150" s="190"/>
      <c r="H150" s="190"/>
      <c r="I150" s="227">
        <f t="shared" si="13"/>
        <v>0</v>
      </c>
      <c r="J150" s="231"/>
      <c r="K150" s="232"/>
      <c r="L150" s="231"/>
      <c r="M150" s="232"/>
      <c r="N150" s="233"/>
      <c r="O150" s="177"/>
      <c r="P150" s="177"/>
    </row>
    <row r="151" spans="1:16" ht="18" customHeight="1" thickBot="1">
      <c r="A151" s="2026"/>
      <c r="B151" s="2027"/>
      <c r="C151" s="122" t="s">
        <v>12</v>
      </c>
      <c r="D151" s="151">
        <f>SUM(D144:D150)</f>
        <v>0</v>
      </c>
      <c r="E151" s="151">
        <f t="shared" ref="E151:I151" si="14">SUM(E144:E150)</f>
        <v>0</v>
      </c>
      <c r="F151" s="151">
        <f t="shared" si="14"/>
        <v>0</v>
      </c>
      <c r="G151" s="151">
        <f t="shared" si="14"/>
        <v>0</v>
      </c>
      <c r="H151" s="151">
        <f t="shared" si="14"/>
        <v>0</v>
      </c>
      <c r="I151" s="234">
        <f t="shared" si="14"/>
        <v>0</v>
      </c>
      <c r="J151" s="235">
        <f>SUM(J144:J150)</f>
        <v>0</v>
      </c>
      <c r="K151" s="236">
        <f>SUM(K144:K150)</f>
        <v>0</v>
      </c>
      <c r="L151" s="235">
        <f>SUM(L144:L150)</f>
        <v>0</v>
      </c>
      <c r="M151" s="236">
        <f>SUM(M144:M150)</f>
        <v>0</v>
      </c>
      <c r="N151" s="237">
        <f>SUM(N144:N150)</f>
        <v>0</v>
      </c>
      <c r="O151" s="177"/>
      <c r="P151" s="177"/>
    </row>
    <row r="152" spans="1:16" ht="27" customHeight="1" thickBot="1">
      <c r="B152" s="238"/>
      <c r="O152" s="177"/>
      <c r="P152" s="177"/>
    </row>
    <row r="153" spans="1:16" ht="35.25" customHeight="1">
      <c r="A153" s="2278" t="s">
        <v>93</v>
      </c>
      <c r="B153" s="2274" t="s">
        <v>61</v>
      </c>
      <c r="C153" s="2279" t="s">
        <v>8</v>
      </c>
      <c r="D153" s="502" t="s">
        <v>94</v>
      </c>
      <c r="E153" s="502"/>
      <c r="F153" s="503"/>
      <c r="G153" s="503"/>
      <c r="H153" s="502" t="s">
        <v>95</v>
      </c>
      <c r="I153" s="502"/>
      <c r="J153" s="504"/>
      <c r="K153" s="31"/>
      <c r="L153" s="31"/>
      <c r="M153" s="31"/>
      <c r="N153" s="31"/>
      <c r="O153" s="177"/>
      <c r="P153" s="177"/>
    </row>
    <row r="154" spans="1:16" ht="49.5" customHeight="1">
      <c r="A154" s="2033"/>
      <c r="B154" s="2035"/>
      <c r="C154" s="2037"/>
      <c r="D154" s="242" t="s">
        <v>96</v>
      </c>
      <c r="E154" s="243" t="s">
        <v>97</v>
      </c>
      <c r="F154" s="244" t="s">
        <v>98</v>
      </c>
      <c r="G154" s="245" t="s">
        <v>99</v>
      </c>
      <c r="H154" s="242" t="s">
        <v>100</v>
      </c>
      <c r="I154" s="243" t="s">
        <v>101</v>
      </c>
      <c r="J154" s="246" t="s">
        <v>92</v>
      </c>
      <c r="K154" s="31"/>
      <c r="L154" s="31"/>
      <c r="M154" s="31"/>
      <c r="N154" s="31"/>
      <c r="O154" s="177"/>
      <c r="P154" s="177"/>
    </row>
    <row r="155" spans="1:16" ht="18.75" customHeight="1">
      <c r="A155" s="2031" t="s">
        <v>225</v>
      </c>
      <c r="B155" s="2025"/>
      <c r="C155" s="247">
        <v>2014</v>
      </c>
      <c r="D155" s="228"/>
      <c r="E155" s="187"/>
      <c r="F155" s="229"/>
      <c r="G155" s="227">
        <f>SUM(D155:F155)</f>
        <v>0</v>
      </c>
      <c r="H155" s="228"/>
      <c r="I155" s="187"/>
      <c r="J155" s="188"/>
      <c r="O155" s="177"/>
      <c r="P155" s="177"/>
    </row>
    <row r="156" spans="1:16" ht="19.5" customHeight="1">
      <c r="A156" s="2024"/>
      <c r="B156" s="2025"/>
      <c r="C156" s="248">
        <v>2015</v>
      </c>
      <c r="D156" s="231"/>
      <c r="E156" s="190"/>
      <c r="F156" s="232"/>
      <c r="G156" s="227">
        <f t="shared" ref="G156:G161" si="15">SUM(D156:F156)</f>
        <v>0</v>
      </c>
      <c r="H156" s="231"/>
      <c r="I156" s="190"/>
      <c r="J156" s="193"/>
      <c r="O156" s="177"/>
      <c r="P156" s="177"/>
    </row>
    <row r="157" spans="1:16" ht="17.25" customHeight="1">
      <c r="A157" s="2024"/>
      <c r="B157" s="2025"/>
      <c r="C157" s="248">
        <v>2016</v>
      </c>
      <c r="D157" s="231"/>
      <c r="E157" s="190"/>
      <c r="F157" s="232"/>
      <c r="G157" s="227">
        <f t="shared" si="15"/>
        <v>0</v>
      </c>
      <c r="H157" s="231"/>
      <c r="I157" s="190"/>
      <c r="J157" s="193"/>
      <c r="O157" s="177"/>
      <c r="P157" s="177"/>
    </row>
    <row r="158" spans="1:16" ht="15" customHeight="1">
      <c r="A158" s="2024"/>
      <c r="B158" s="2025"/>
      <c r="C158" s="248">
        <v>2017</v>
      </c>
      <c r="D158" s="231"/>
      <c r="E158" s="190"/>
      <c r="F158" s="232"/>
      <c r="G158" s="227">
        <f t="shared" si="15"/>
        <v>0</v>
      </c>
      <c r="H158" s="231"/>
      <c r="I158" s="190"/>
      <c r="J158" s="193"/>
      <c r="O158" s="177"/>
      <c r="P158" s="177"/>
    </row>
    <row r="159" spans="1:16" ht="19.5" customHeight="1">
      <c r="A159" s="2024"/>
      <c r="B159" s="2025"/>
      <c r="C159" s="248">
        <v>2018</v>
      </c>
      <c r="D159" s="231"/>
      <c r="E159" s="190"/>
      <c r="F159" s="232"/>
      <c r="G159" s="227">
        <f t="shared" si="15"/>
        <v>0</v>
      </c>
      <c r="H159" s="231"/>
      <c r="I159" s="190"/>
      <c r="J159" s="193"/>
      <c r="O159" s="177"/>
      <c r="P159" s="177"/>
    </row>
    <row r="160" spans="1:16" ht="15" customHeight="1">
      <c r="A160" s="2024"/>
      <c r="B160" s="2025"/>
      <c r="C160" s="248">
        <v>2019</v>
      </c>
      <c r="D160" s="231"/>
      <c r="E160" s="190"/>
      <c r="F160" s="232"/>
      <c r="G160" s="227">
        <f t="shared" si="15"/>
        <v>0</v>
      </c>
      <c r="H160" s="231"/>
      <c r="I160" s="190"/>
      <c r="J160" s="193"/>
      <c r="O160" s="177"/>
      <c r="P160" s="177"/>
    </row>
    <row r="161" spans="1:18" ht="17.25" customHeight="1">
      <c r="A161" s="2024"/>
      <c r="B161" s="2025"/>
      <c r="C161" s="248">
        <v>2020</v>
      </c>
      <c r="D161" s="231"/>
      <c r="E161" s="190"/>
      <c r="F161" s="232"/>
      <c r="G161" s="227">
        <f t="shared" si="15"/>
        <v>0</v>
      </c>
      <c r="H161" s="231"/>
      <c r="I161" s="190"/>
      <c r="J161" s="193"/>
      <c r="O161" s="177"/>
      <c r="P161" s="177"/>
    </row>
    <row r="162" spans="1:18" ht="15.75" thickBot="1">
      <c r="A162" s="2026"/>
      <c r="B162" s="2027"/>
      <c r="C162" s="249" t="s">
        <v>12</v>
      </c>
      <c r="D162" s="235">
        <f t="shared" ref="D162:G162" si="16">SUM(D155:D161)</f>
        <v>0</v>
      </c>
      <c r="E162" s="195">
        <f t="shared" si="16"/>
        <v>0</v>
      </c>
      <c r="F162" s="236">
        <f t="shared" si="16"/>
        <v>0</v>
      </c>
      <c r="G162" s="236">
        <f t="shared" si="16"/>
        <v>0</v>
      </c>
      <c r="H162" s="235">
        <f>SUM(H155:H161)</f>
        <v>0</v>
      </c>
      <c r="I162" s="195">
        <f>SUM(I155:I161)</f>
        <v>0</v>
      </c>
      <c r="J162" s="250">
        <f>SUM(J155:J161)</f>
        <v>0</v>
      </c>
    </row>
    <row r="163" spans="1:18" ht="24.75" customHeight="1" thickBot="1">
      <c r="A163" s="251"/>
      <c r="B163" s="252"/>
      <c r="C163" s="253"/>
      <c r="D163" s="177"/>
      <c r="E163" s="505"/>
      <c r="F163" s="177"/>
      <c r="G163" s="177"/>
      <c r="H163" s="177"/>
      <c r="I163" s="177"/>
      <c r="J163" s="255"/>
      <c r="K163" s="256"/>
    </row>
    <row r="164" spans="1:18" ht="95.25" customHeight="1">
      <c r="A164" s="506" t="s">
        <v>102</v>
      </c>
      <c r="B164" s="258" t="s">
        <v>103</v>
      </c>
      <c r="C164" s="615" t="s">
        <v>8</v>
      </c>
      <c r="D164" s="260" t="s">
        <v>104</v>
      </c>
      <c r="E164" s="260" t="s">
        <v>105</v>
      </c>
      <c r="F164" s="508" t="s">
        <v>106</v>
      </c>
      <c r="G164" s="260" t="s">
        <v>107</v>
      </c>
      <c r="H164" s="260" t="s">
        <v>108</v>
      </c>
      <c r="I164" s="262" t="s">
        <v>109</v>
      </c>
      <c r="J164" s="263" t="s">
        <v>110</v>
      </c>
      <c r="K164" s="263" t="s">
        <v>111</v>
      </c>
      <c r="L164" s="603"/>
    </row>
    <row r="165" spans="1:18" ht="15.75" customHeight="1">
      <c r="A165" s="2299" t="s">
        <v>225</v>
      </c>
      <c r="B165" s="2112"/>
      <c r="C165" s="265">
        <v>2014</v>
      </c>
      <c r="D165" s="187"/>
      <c r="E165" s="187"/>
      <c r="F165" s="187"/>
      <c r="G165" s="187"/>
      <c r="H165" s="187"/>
      <c r="I165" s="188"/>
      <c r="J165" s="266">
        <f>SUM(D165,F165,H165)</f>
        <v>0</v>
      </c>
      <c r="K165" s="267">
        <f>SUM(E165,G165,I165)</f>
        <v>0</v>
      </c>
      <c r="L165" s="603"/>
    </row>
    <row r="166" spans="1:18">
      <c r="A166" s="2300"/>
      <c r="B166" s="1988"/>
      <c r="C166" s="268">
        <v>2015</v>
      </c>
      <c r="D166" s="269"/>
      <c r="E166" s="269"/>
      <c r="F166" s="269"/>
      <c r="G166" s="269"/>
      <c r="H166" s="269"/>
      <c r="I166" s="270"/>
      <c r="J166" s="271">
        <f t="shared" ref="J166:K171" si="17">SUM(D166,F166,H166)</f>
        <v>0</v>
      </c>
      <c r="K166" s="272">
        <f t="shared" si="17"/>
        <v>0</v>
      </c>
      <c r="L166" s="603"/>
    </row>
    <row r="167" spans="1:18">
      <c r="A167" s="2300"/>
      <c r="B167" s="1988"/>
      <c r="C167" s="268">
        <v>2016</v>
      </c>
      <c r="D167" s="269"/>
      <c r="E167" s="269"/>
      <c r="F167" s="269"/>
      <c r="G167" s="269"/>
      <c r="H167" s="269"/>
      <c r="I167" s="270"/>
      <c r="J167" s="271">
        <f t="shared" si="17"/>
        <v>0</v>
      </c>
      <c r="K167" s="272">
        <f t="shared" si="17"/>
        <v>0</v>
      </c>
    </row>
    <row r="168" spans="1:18">
      <c r="A168" s="2300"/>
      <c r="B168" s="1988"/>
      <c r="C168" s="268">
        <v>2017</v>
      </c>
      <c r="D168" s="269"/>
      <c r="E168" s="177"/>
      <c r="F168" s="269"/>
      <c r="G168" s="269"/>
      <c r="H168" s="269"/>
      <c r="I168" s="270"/>
      <c r="J168" s="271">
        <f t="shared" si="17"/>
        <v>0</v>
      </c>
      <c r="K168" s="272">
        <f t="shared" si="17"/>
        <v>0</v>
      </c>
    </row>
    <row r="169" spans="1:18">
      <c r="A169" s="2300"/>
      <c r="B169" s="1988"/>
      <c r="C169" s="273">
        <v>2018</v>
      </c>
      <c r="D169" s="269"/>
      <c r="E169" s="269"/>
      <c r="F169" s="269"/>
      <c r="G169" s="274"/>
      <c r="H169" s="269"/>
      <c r="I169" s="270"/>
      <c r="J169" s="271">
        <f t="shared" si="17"/>
        <v>0</v>
      </c>
      <c r="K169" s="272">
        <f t="shared" si="17"/>
        <v>0</v>
      </c>
      <c r="L169" s="603"/>
    </row>
    <row r="170" spans="1:18">
      <c r="A170" s="2300"/>
      <c r="B170" s="1988"/>
      <c r="C170" s="268">
        <v>2019</v>
      </c>
      <c r="D170" s="177"/>
      <c r="E170" s="269"/>
      <c r="F170" s="269"/>
      <c r="G170" s="269"/>
      <c r="H170" s="274"/>
      <c r="I170" s="270"/>
      <c r="J170" s="271">
        <f t="shared" si="17"/>
        <v>0</v>
      </c>
      <c r="K170" s="272">
        <f t="shared" si="17"/>
        <v>0</v>
      </c>
      <c r="L170" s="603"/>
    </row>
    <row r="171" spans="1:18">
      <c r="A171" s="2300"/>
      <c r="B171" s="1988"/>
      <c r="C171" s="273">
        <v>2020</v>
      </c>
      <c r="D171" s="269"/>
      <c r="E171" s="269"/>
      <c r="F171" s="269"/>
      <c r="G171" s="269"/>
      <c r="H171" s="269"/>
      <c r="I171" s="270"/>
      <c r="J171" s="271">
        <f t="shared" si="17"/>
        <v>0</v>
      </c>
      <c r="K171" s="272">
        <f t="shared" si="17"/>
        <v>0</v>
      </c>
      <c r="L171" s="603"/>
    </row>
    <row r="172" spans="1:18" ht="41.25" customHeight="1" thickBot="1">
      <c r="A172" s="2301"/>
      <c r="B172" s="1990"/>
      <c r="C172" s="275" t="s">
        <v>12</v>
      </c>
      <c r="D172" s="195">
        <f>SUM(D165:D171)</f>
        <v>0</v>
      </c>
      <c r="E172" s="195">
        <f t="shared" ref="E172:K172" si="18">SUM(E165:E171)</f>
        <v>0</v>
      </c>
      <c r="F172" s="195">
        <f t="shared" si="18"/>
        <v>0</v>
      </c>
      <c r="G172" s="195">
        <f t="shared" si="18"/>
        <v>0</v>
      </c>
      <c r="H172" s="195">
        <f t="shared" si="18"/>
        <v>0</v>
      </c>
      <c r="I172" s="276">
        <f t="shared" si="18"/>
        <v>0</v>
      </c>
      <c r="J172" s="277">
        <f t="shared" si="18"/>
        <v>0</v>
      </c>
      <c r="K172" s="235">
        <f t="shared" si="18"/>
        <v>0</v>
      </c>
      <c r="L172" s="603"/>
    </row>
    <row r="173" spans="1:18" s="77" customFormat="1" ht="18.75" customHeight="1">
      <c r="A173" s="278"/>
      <c r="B173" s="92"/>
      <c r="C173" s="93"/>
      <c r="D173" s="38"/>
      <c r="E173" s="38"/>
      <c r="F173" s="38"/>
      <c r="G173" s="213"/>
      <c r="H173" s="213"/>
      <c r="I173" s="213"/>
      <c r="J173" s="213"/>
      <c r="K173" s="213"/>
      <c r="L173" s="213"/>
      <c r="M173" s="213"/>
      <c r="N173" s="213"/>
      <c r="O173" s="213"/>
      <c r="P173" s="213"/>
      <c r="Q173" s="213"/>
      <c r="R173" s="212"/>
    </row>
    <row r="174" spans="1:18" ht="21">
      <c r="A174" s="279" t="s">
        <v>112</v>
      </c>
      <c r="B174" s="279"/>
      <c r="C174" s="280"/>
      <c r="D174" s="280"/>
      <c r="E174" s="280"/>
      <c r="F174" s="280"/>
      <c r="G174" s="280"/>
      <c r="H174" s="280"/>
      <c r="I174" s="280"/>
      <c r="J174" s="280"/>
      <c r="K174" s="280"/>
      <c r="L174" s="280"/>
      <c r="M174" s="280"/>
      <c r="N174" s="280"/>
      <c r="O174" s="280"/>
    </row>
    <row r="175" spans="1:18" ht="18.75" customHeight="1" thickBot="1">
      <c r="A175" s="281"/>
      <c r="B175" s="281"/>
    </row>
    <row r="176" spans="1:18" s="31" customFormat="1" ht="22.5" customHeight="1" thickBot="1">
      <c r="A176" s="2284" t="s">
        <v>113</v>
      </c>
      <c r="B176" s="2285" t="s">
        <v>114</v>
      </c>
      <c r="C176" s="2286" t="s">
        <v>8</v>
      </c>
      <c r="D176" s="510" t="s">
        <v>115</v>
      </c>
      <c r="E176" s="511"/>
      <c r="F176" s="511"/>
      <c r="G176" s="512"/>
      <c r="H176" s="513"/>
      <c r="I176" s="2021" t="s">
        <v>116</v>
      </c>
      <c r="J176" s="2232"/>
      <c r="K176" s="2232"/>
      <c r="L176" s="2232"/>
      <c r="M176" s="2232"/>
      <c r="N176" s="2232"/>
      <c r="O176" s="2233"/>
    </row>
    <row r="177" spans="1:15" s="31" customFormat="1" ht="129.75" customHeight="1">
      <c r="A177" s="2018"/>
      <c r="B177" s="1997"/>
      <c r="C177" s="2020"/>
      <c r="D177" s="286" t="s">
        <v>117</v>
      </c>
      <c r="E177" s="287" t="s">
        <v>118</v>
      </c>
      <c r="F177" s="287" t="s">
        <v>119</v>
      </c>
      <c r="G177" s="288" t="s">
        <v>120</v>
      </c>
      <c r="H177" s="289" t="s">
        <v>121</v>
      </c>
      <c r="I177" s="290" t="s">
        <v>52</v>
      </c>
      <c r="J177" s="291" t="s">
        <v>53</v>
      </c>
      <c r="K177" s="291" t="s">
        <v>54</v>
      </c>
      <c r="L177" s="291" t="s">
        <v>55</v>
      </c>
      <c r="M177" s="291" t="s">
        <v>56</v>
      </c>
      <c r="N177" s="291" t="s">
        <v>57</v>
      </c>
      <c r="O177" s="292" t="s">
        <v>58</v>
      </c>
    </row>
    <row r="178" spans="1:15" ht="19.5" customHeight="1">
      <c r="A178" s="2031" t="s">
        <v>228</v>
      </c>
      <c r="B178" s="2025"/>
      <c r="C178" s="112">
        <v>2014</v>
      </c>
      <c r="D178" s="33"/>
      <c r="E178" s="34"/>
      <c r="F178" s="34"/>
      <c r="G178" s="293">
        <f>SUM(D178:F178)</f>
        <v>0</v>
      </c>
      <c r="H178" s="167"/>
      <c r="I178" s="167"/>
      <c r="J178" s="34"/>
      <c r="K178" s="34"/>
      <c r="L178" s="34"/>
      <c r="M178" s="34"/>
      <c r="N178" s="34"/>
      <c r="O178" s="37"/>
    </row>
    <row r="179" spans="1:15" ht="21" customHeight="1">
      <c r="A179" s="2024"/>
      <c r="B179" s="2025"/>
      <c r="C179" s="116">
        <v>2015</v>
      </c>
      <c r="D179" s="50">
        <v>4</v>
      </c>
      <c r="E179" s="42">
        <v>1</v>
      </c>
      <c r="F179" s="42"/>
      <c r="G179" s="293">
        <f t="shared" ref="G179:G184" si="19">SUM(D179:F179)</f>
        <v>5</v>
      </c>
      <c r="H179" s="294"/>
      <c r="I179" s="118"/>
      <c r="J179" s="42"/>
      <c r="K179" s="42">
        <v>1</v>
      </c>
      <c r="L179" s="42">
        <v>1</v>
      </c>
      <c r="M179" s="42"/>
      <c r="N179" s="42"/>
      <c r="O179" s="99">
        <v>3</v>
      </c>
    </row>
    <row r="180" spans="1:15" ht="21" customHeight="1">
      <c r="A180" s="2024"/>
      <c r="B180" s="2025"/>
      <c r="C180" s="116">
        <v>2016</v>
      </c>
      <c r="D180" s="50">
        <v>52</v>
      </c>
      <c r="E180" s="42">
        <v>3</v>
      </c>
      <c r="F180" s="42">
        <v>0</v>
      </c>
      <c r="G180" s="293">
        <f t="shared" si="19"/>
        <v>55</v>
      </c>
      <c r="H180" s="294">
        <v>68</v>
      </c>
      <c r="I180" s="118"/>
      <c r="J180" s="42">
        <v>1</v>
      </c>
      <c r="K180" s="42"/>
      <c r="L180" s="42">
        <v>48</v>
      </c>
      <c r="M180" s="42">
        <v>1</v>
      </c>
      <c r="N180" s="42"/>
      <c r="O180" s="99">
        <v>5</v>
      </c>
    </row>
    <row r="181" spans="1:15" ht="20.25" customHeight="1">
      <c r="A181" s="2024"/>
      <c r="B181" s="2025"/>
      <c r="C181" s="116">
        <v>2017</v>
      </c>
      <c r="D181" s="50"/>
      <c r="E181" s="42"/>
      <c r="F181" s="42"/>
      <c r="G181" s="293">
        <f t="shared" si="19"/>
        <v>0</v>
      </c>
      <c r="H181" s="294"/>
      <c r="I181" s="118"/>
      <c r="J181" s="42"/>
      <c r="K181" s="42"/>
      <c r="L181" s="42"/>
      <c r="M181" s="42"/>
      <c r="N181" s="42"/>
      <c r="O181" s="99"/>
    </row>
    <row r="182" spans="1:15" ht="20.25" customHeight="1">
      <c r="A182" s="2024"/>
      <c r="B182" s="2025"/>
      <c r="C182" s="116">
        <v>2018</v>
      </c>
      <c r="D182" s="50"/>
      <c r="E182" s="42"/>
      <c r="F182" s="42"/>
      <c r="G182" s="293">
        <f t="shared" si="19"/>
        <v>0</v>
      </c>
      <c r="H182" s="294"/>
      <c r="I182" s="118"/>
      <c r="J182" s="42"/>
      <c r="K182" s="42"/>
      <c r="L182" s="42"/>
      <c r="M182" s="42"/>
      <c r="N182" s="42"/>
      <c r="O182" s="99"/>
    </row>
    <row r="183" spans="1:15" ht="23.25" customHeight="1">
      <c r="A183" s="2024"/>
      <c r="B183" s="2025"/>
      <c r="C183" s="116">
        <v>2019</v>
      </c>
      <c r="D183" s="50"/>
      <c r="E183" s="42"/>
      <c r="F183" s="42"/>
      <c r="G183" s="293">
        <f t="shared" si="19"/>
        <v>0</v>
      </c>
      <c r="H183" s="294"/>
      <c r="I183" s="118"/>
      <c r="J183" s="42"/>
      <c r="K183" s="42"/>
      <c r="L183" s="42"/>
      <c r="M183" s="42"/>
      <c r="N183" s="42"/>
      <c r="O183" s="99"/>
    </row>
    <row r="184" spans="1:15" ht="24" customHeight="1">
      <c r="A184" s="2024"/>
      <c r="B184" s="2025"/>
      <c r="C184" s="116">
        <v>2020</v>
      </c>
      <c r="D184" s="50"/>
      <c r="E184" s="42"/>
      <c r="F184" s="42"/>
      <c r="G184" s="293">
        <f t="shared" si="19"/>
        <v>0</v>
      </c>
      <c r="H184" s="294"/>
      <c r="I184" s="118"/>
      <c r="J184" s="42"/>
      <c r="K184" s="42"/>
      <c r="L184" s="42"/>
      <c r="M184" s="42"/>
      <c r="N184" s="42"/>
      <c r="O184" s="99"/>
    </row>
    <row r="185" spans="1:15" ht="30.75" customHeight="1" thickBot="1">
      <c r="A185" s="2026"/>
      <c r="B185" s="2027"/>
      <c r="C185" s="122" t="s">
        <v>12</v>
      </c>
      <c r="D185" s="151">
        <f>SUM(D178:D184)</f>
        <v>56</v>
      </c>
      <c r="E185" s="125">
        <f>SUM(E178:E184)</f>
        <v>4</v>
      </c>
      <c r="F185" s="125">
        <f>SUM(F178:F184)</f>
        <v>0</v>
      </c>
      <c r="G185" s="234">
        <f t="shared" ref="G185:O185" si="20">SUM(G178:G184)</f>
        <v>60</v>
      </c>
      <c r="H185" s="295">
        <f t="shared" si="20"/>
        <v>68</v>
      </c>
      <c r="I185" s="124">
        <f t="shared" si="20"/>
        <v>0</v>
      </c>
      <c r="J185" s="125">
        <f t="shared" si="20"/>
        <v>1</v>
      </c>
      <c r="K185" s="125">
        <f t="shared" si="20"/>
        <v>1</v>
      </c>
      <c r="L185" s="125">
        <f t="shared" si="20"/>
        <v>49</v>
      </c>
      <c r="M185" s="125">
        <f t="shared" si="20"/>
        <v>1</v>
      </c>
      <c r="N185" s="125">
        <f t="shared" si="20"/>
        <v>0</v>
      </c>
      <c r="O185" s="126">
        <f t="shared" si="20"/>
        <v>8</v>
      </c>
    </row>
    <row r="186" spans="1:15" ht="21" customHeight="1" thickBot="1"/>
    <row r="187" spans="1:15" ht="19.5" customHeight="1">
      <c r="A187" s="1994" t="s">
        <v>122</v>
      </c>
      <c r="B187" s="2285" t="s">
        <v>114</v>
      </c>
      <c r="C187" s="1998" t="s">
        <v>8</v>
      </c>
      <c r="D187" s="2000" t="s">
        <v>123</v>
      </c>
      <c r="E187" s="2219"/>
      <c r="F187" s="2219"/>
      <c r="G187" s="2220"/>
      <c r="H187" s="2221" t="s">
        <v>124</v>
      </c>
      <c r="I187" s="1998"/>
      <c r="J187" s="1998"/>
      <c r="K187" s="1998"/>
      <c r="L187" s="2004"/>
    </row>
    <row r="188" spans="1:15" ht="90">
      <c r="A188" s="1995"/>
      <c r="B188" s="1997"/>
      <c r="C188" s="1999"/>
      <c r="D188" s="296" t="s">
        <v>125</v>
      </c>
      <c r="E188" s="296" t="s">
        <v>126</v>
      </c>
      <c r="F188" s="296" t="s">
        <v>127</v>
      </c>
      <c r="G188" s="297" t="s">
        <v>12</v>
      </c>
      <c r="H188" s="298" t="s">
        <v>128</v>
      </c>
      <c r="I188" s="296" t="s">
        <v>129</v>
      </c>
      <c r="J188" s="296" t="s">
        <v>130</v>
      </c>
      <c r="K188" s="296" t="s">
        <v>131</v>
      </c>
      <c r="L188" s="299" t="s">
        <v>132</v>
      </c>
    </row>
    <row r="189" spans="1:15" ht="15" customHeight="1">
      <c r="A189" s="2005" t="s">
        <v>229</v>
      </c>
      <c r="B189" s="2281"/>
      <c r="C189" s="392">
        <v>2014</v>
      </c>
      <c r="D189" s="142"/>
      <c r="E189" s="115"/>
      <c r="F189" s="115"/>
      <c r="G189" s="301">
        <f>SUM(D189:F189)</f>
        <v>0</v>
      </c>
      <c r="H189" s="114"/>
      <c r="I189" s="115"/>
      <c r="J189" s="115"/>
      <c r="K189" s="115"/>
      <c r="L189" s="143"/>
    </row>
    <row r="190" spans="1:15">
      <c r="A190" s="2007"/>
      <c r="B190" s="2282"/>
      <c r="C190" s="86">
        <v>2015</v>
      </c>
      <c r="D190" s="50">
        <v>316</v>
      </c>
      <c r="E190" s="42">
        <v>30</v>
      </c>
      <c r="F190" s="42"/>
      <c r="G190" s="301">
        <f t="shared" ref="G190:G195" si="21">SUM(D190:F190)</f>
        <v>346</v>
      </c>
      <c r="H190" s="118"/>
      <c r="I190" s="42"/>
      <c r="J190" s="42"/>
      <c r="K190" s="42"/>
      <c r="L190" s="99">
        <v>346</v>
      </c>
    </row>
    <row r="191" spans="1:15">
      <c r="A191" s="2007"/>
      <c r="B191" s="2282"/>
      <c r="C191" s="86">
        <v>2016</v>
      </c>
      <c r="D191" s="50">
        <v>1175</v>
      </c>
      <c r="E191" s="42">
        <v>49</v>
      </c>
      <c r="F191" s="42">
        <v>0</v>
      </c>
      <c r="G191" s="301">
        <f t="shared" si="21"/>
        <v>1224</v>
      </c>
      <c r="H191" s="118"/>
      <c r="I191" s="42"/>
      <c r="J191" s="342">
        <v>34</v>
      </c>
      <c r="K191" s="342"/>
      <c r="L191" s="616">
        <v>1190</v>
      </c>
    </row>
    <row r="192" spans="1:15">
      <c r="A192" s="2007"/>
      <c r="B192" s="2282"/>
      <c r="C192" s="86">
        <v>2017</v>
      </c>
      <c r="D192" s="50"/>
      <c r="E192" s="42"/>
      <c r="F192" s="42"/>
      <c r="G192" s="301">
        <f t="shared" si="21"/>
        <v>0</v>
      </c>
      <c r="H192" s="118"/>
      <c r="I192" s="42"/>
      <c r="J192" s="42"/>
      <c r="K192" s="42"/>
      <c r="L192" s="99"/>
    </row>
    <row r="193" spans="1:14">
      <c r="A193" s="2007"/>
      <c r="B193" s="2282"/>
      <c r="C193" s="86">
        <v>2018</v>
      </c>
      <c r="D193" s="50"/>
      <c r="E193" s="42"/>
      <c r="F193" s="42"/>
      <c r="G193" s="301">
        <f t="shared" si="21"/>
        <v>0</v>
      </c>
      <c r="H193" s="118"/>
      <c r="I193" s="42"/>
      <c r="J193" s="42"/>
      <c r="K193" s="42"/>
      <c r="L193" s="99"/>
    </row>
    <row r="194" spans="1:14">
      <c r="A194" s="2007"/>
      <c r="B194" s="2282"/>
      <c r="C194" s="86">
        <v>2019</v>
      </c>
      <c r="D194" s="50"/>
      <c r="E194" s="42"/>
      <c r="F194" s="42"/>
      <c r="G194" s="301">
        <f t="shared" si="21"/>
        <v>0</v>
      </c>
      <c r="H194" s="118"/>
      <c r="I194" s="42"/>
      <c r="J194" s="42"/>
      <c r="K194" s="42"/>
      <c r="L194" s="99"/>
    </row>
    <row r="195" spans="1:14">
      <c r="A195" s="2007"/>
      <c r="B195" s="2282"/>
      <c r="C195" s="86">
        <v>2020</v>
      </c>
      <c r="D195" s="50"/>
      <c r="E195" s="42"/>
      <c r="F195" s="42"/>
      <c r="G195" s="301">
        <f t="shared" si="21"/>
        <v>0</v>
      </c>
      <c r="H195" s="118"/>
      <c r="I195" s="42"/>
      <c r="J195" s="42"/>
      <c r="K195" s="42"/>
      <c r="L195" s="99"/>
    </row>
    <row r="196" spans="1:14" ht="15.75" thickBot="1">
      <c r="A196" s="2009"/>
      <c r="B196" s="2283"/>
      <c r="C196" s="148" t="s">
        <v>12</v>
      </c>
      <c r="D196" s="151">
        <f t="shared" ref="D196:L196" si="22">SUM(D189:D195)</f>
        <v>1491</v>
      </c>
      <c r="E196" s="125">
        <f t="shared" si="22"/>
        <v>79</v>
      </c>
      <c r="F196" s="125">
        <f t="shared" si="22"/>
        <v>0</v>
      </c>
      <c r="G196" s="304">
        <f t="shared" si="22"/>
        <v>1570</v>
      </c>
      <c r="H196" s="124">
        <f t="shared" si="22"/>
        <v>0</v>
      </c>
      <c r="I196" s="125">
        <f t="shared" si="22"/>
        <v>0</v>
      </c>
      <c r="J196" s="125">
        <f t="shared" si="22"/>
        <v>34</v>
      </c>
      <c r="K196" s="125">
        <f t="shared" si="22"/>
        <v>0</v>
      </c>
      <c r="L196" s="126">
        <f t="shared" si="22"/>
        <v>1536</v>
      </c>
    </row>
    <row r="197" spans="1:14" ht="10.5" customHeight="1"/>
    <row r="198" spans="1:14" ht="6.75" customHeight="1"/>
    <row r="199" spans="1:14" ht="21">
      <c r="A199" s="305" t="s">
        <v>134</v>
      </c>
      <c r="B199" s="305"/>
      <c r="C199" s="306"/>
      <c r="D199" s="306"/>
      <c r="E199" s="306"/>
      <c r="F199" s="306"/>
      <c r="G199" s="306"/>
      <c r="H199" s="306"/>
      <c r="I199" s="306"/>
      <c r="J199" s="306"/>
      <c r="K199" s="306"/>
      <c r="L199" s="306"/>
      <c r="M199" s="77"/>
      <c r="N199" s="77"/>
    </row>
    <row r="200" spans="1:14" ht="10.5" customHeight="1" thickBot="1">
      <c r="A200" s="307"/>
      <c r="B200" s="307"/>
      <c r="C200" s="306"/>
      <c r="D200" s="306"/>
      <c r="E200" s="306"/>
      <c r="F200" s="306"/>
      <c r="G200" s="306"/>
      <c r="H200" s="306"/>
      <c r="I200" s="306"/>
      <c r="J200" s="306"/>
      <c r="K200" s="306"/>
      <c r="L200" s="306"/>
    </row>
    <row r="201" spans="1:14" s="31" customFormat="1" ht="101.25" customHeight="1">
      <c r="A201" s="596" t="s">
        <v>135</v>
      </c>
      <c r="B201" s="309" t="s">
        <v>114</v>
      </c>
      <c r="C201" s="310" t="s">
        <v>8</v>
      </c>
      <c r="D201" s="515" t="s">
        <v>136</v>
      </c>
      <c r="E201" s="312" t="s">
        <v>137</v>
      </c>
      <c r="F201" s="312" t="s">
        <v>138</v>
      </c>
      <c r="G201" s="310" t="s">
        <v>139</v>
      </c>
      <c r="H201" s="516" t="s">
        <v>140</v>
      </c>
      <c r="I201" s="517" t="s">
        <v>141</v>
      </c>
      <c r="J201" s="518" t="s">
        <v>142</v>
      </c>
      <c r="K201" s="312" t="s">
        <v>143</v>
      </c>
      <c r="L201" s="316" t="s">
        <v>144</v>
      </c>
    </row>
    <row r="202" spans="1:14" ht="15" customHeight="1">
      <c r="A202" s="1987" t="s">
        <v>225</v>
      </c>
      <c r="B202" s="1988"/>
      <c r="C202" s="84">
        <v>2014</v>
      </c>
      <c r="D202" s="33"/>
      <c r="E202" s="34"/>
      <c r="F202" s="34"/>
      <c r="G202" s="32"/>
      <c r="H202" s="317"/>
      <c r="I202" s="318"/>
      <c r="J202" s="319"/>
      <c r="K202" s="34"/>
      <c r="L202" s="37"/>
    </row>
    <row r="203" spans="1:14">
      <c r="A203" s="1987"/>
      <c r="B203" s="1988"/>
      <c r="C203" s="86">
        <v>2015</v>
      </c>
      <c r="D203" s="50"/>
      <c r="E203" s="42"/>
      <c r="F203" s="42"/>
      <c r="G203" s="39"/>
      <c r="H203" s="320"/>
      <c r="I203" s="321"/>
      <c r="J203" s="322"/>
      <c r="K203" s="42"/>
      <c r="L203" s="99"/>
    </row>
    <row r="204" spans="1:14">
      <c r="A204" s="1987"/>
      <c r="B204" s="1988"/>
      <c r="C204" s="86">
        <v>2016</v>
      </c>
      <c r="D204" s="50"/>
      <c r="E204" s="42"/>
      <c r="F204" s="42"/>
      <c r="G204" s="39"/>
      <c r="H204" s="320"/>
      <c r="I204" s="321"/>
      <c r="J204" s="322"/>
      <c r="K204" s="42"/>
      <c r="L204" s="99"/>
    </row>
    <row r="205" spans="1:14">
      <c r="A205" s="1987"/>
      <c r="B205" s="1988"/>
      <c r="C205" s="86">
        <v>2017</v>
      </c>
      <c r="D205" s="50"/>
      <c r="E205" s="42"/>
      <c r="F205" s="42"/>
      <c r="G205" s="39"/>
      <c r="H205" s="320"/>
      <c r="I205" s="321"/>
      <c r="J205" s="322"/>
      <c r="K205" s="42"/>
      <c r="L205" s="99"/>
    </row>
    <row r="206" spans="1:14">
      <c r="A206" s="1987"/>
      <c r="B206" s="1988"/>
      <c r="C206" s="86">
        <v>2018</v>
      </c>
      <c r="D206" s="50"/>
      <c r="E206" s="42"/>
      <c r="F206" s="42"/>
      <c r="G206" s="39"/>
      <c r="H206" s="320"/>
      <c r="I206" s="321"/>
      <c r="J206" s="322"/>
      <c r="K206" s="42"/>
      <c r="L206" s="99"/>
    </row>
    <row r="207" spans="1:14">
      <c r="A207" s="1987"/>
      <c r="B207" s="1988"/>
      <c r="C207" s="86">
        <v>2019</v>
      </c>
      <c r="D207" s="50"/>
      <c r="E207" s="42"/>
      <c r="F207" s="42"/>
      <c r="G207" s="39"/>
      <c r="H207" s="320"/>
      <c r="I207" s="321"/>
      <c r="J207" s="322"/>
      <c r="K207" s="42"/>
      <c r="L207" s="99"/>
    </row>
    <row r="208" spans="1:14">
      <c r="A208" s="1987"/>
      <c r="B208" s="1988"/>
      <c r="C208" s="86">
        <v>2020</v>
      </c>
      <c r="D208" s="605"/>
      <c r="E208" s="324"/>
      <c r="F208" s="324"/>
      <c r="G208" s="325"/>
      <c r="H208" s="326"/>
      <c r="I208" s="327"/>
      <c r="J208" s="328"/>
      <c r="K208" s="324"/>
      <c r="L208" s="329"/>
    </row>
    <row r="209" spans="1:12" ht="20.25" customHeight="1" thickBot="1">
      <c r="A209" s="1989"/>
      <c r="B209" s="1990"/>
      <c r="C209" s="148" t="s">
        <v>12</v>
      </c>
      <c r="D209" s="151">
        <f>SUM(D202:D208)</f>
        <v>0</v>
      </c>
      <c r="E209" s="151">
        <f t="shared" ref="E209:L209" si="23">SUM(E202:E208)</f>
        <v>0</v>
      </c>
      <c r="F209" s="151">
        <f t="shared" si="23"/>
        <v>0</v>
      </c>
      <c r="G209" s="151">
        <f t="shared" si="23"/>
        <v>0</v>
      </c>
      <c r="H209" s="151">
        <f t="shared" si="23"/>
        <v>0</v>
      </c>
      <c r="I209" s="151">
        <f t="shared" si="23"/>
        <v>0</v>
      </c>
      <c r="J209" s="151">
        <f t="shared" si="23"/>
        <v>0</v>
      </c>
      <c r="K209" s="151">
        <f t="shared" si="23"/>
        <v>0</v>
      </c>
      <c r="L209" s="151">
        <f t="shared" si="23"/>
        <v>0</v>
      </c>
    </row>
    <row r="211" spans="1:12" ht="15.75" thickBot="1"/>
    <row r="212" spans="1:12" ht="29.25">
      <c r="A212" s="597" t="s">
        <v>145</v>
      </c>
      <c r="B212" s="331" t="s">
        <v>146</v>
      </c>
      <c r="C212" s="332">
        <v>2014</v>
      </c>
      <c r="D212" s="333">
        <v>2015</v>
      </c>
      <c r="E212" s="333">
        <v>2016</v>
      </c>
      <c r="F212" s="333">
        <v>2017</v>
      </c>
      <c r="G212" s="333">
        <v>2018</v>
      </c>
      <c r="H212" s="333">
        <v>2019</v>
      </c>
      <c r="I212" s="334">
        <v>2020</v>
      </c>
    </row>
    <row r="213" spans="1:12" ht="30.75" customHeight="1">
      <c r="A213" t="s">
        <v>147</v>
      </c>
      <c r="B213" s="2302" t="s">
        <v>230</v>
      </c>
      <c r="C213" s="84"/>
      <c r="D213" s="617">
        <f>SUM(D214:D217)</f>
        <v>122070.19</v>
      </c>
      <c r="E213" s="617">
        <f>SUM(E214:E217)</f>
        <v>667032.96</v>
      </c>
      <c r="F213" s="147"/>
      <c r="G213" s="147"/>
      <c r="H213" s="147"/>
      <c r="I213" s="335"/>
    </row>
    <row r="214" spans="1:12" ht="37.5" customHeight="1">
      <c r="A214" t="s">
        <v>149</v>
      </c>
      <c r="B214" s="2303"/>
      <c r="C214" s="84"/>
      <c r="D214" s="403">
        <v>108328.41</v>
      </c>
      <c r="E214" s="618">
        <v>438403.46</v>
      </c>
      <c r="F214" s="147"/>
      <c r="G214" s="147"/>
      <c r="H214" s="147"/>
      <c r="I214" s="335"/>
    </row>
    <row r="215" spans="1:12" ht="44.25" customHeight="1">
      <c r="A215" t="s">
        <v>150</v>
      </c>
      <c r="B215" s="2303"/>
      <c r="C215" s="84"/>
      <c r="D215" s="403">
        <v>0</v>
      </c>
      <c r="E215" s="618">
        <v>0</v>
      </c>
      <c r="F215" s="147"/>
      <c r="G215" s="147"/>
      <c r="H215" s="147"/>
      <c r="I215" s="335"/>
    </row>
    <row r="216" spans="1:12" ht="39.75" customHeight="1">
      <c r="A216" t="s">
        <v>151</v>
      </c>
      <c r="B216" s="2303"/>
      <c r="C216" s="84"/>
      <c r="D216" s="403">
        <v>0</v>
      </c>
      <c r="E216" s="618">
        <v>108019.75</v>
      </c>
      <c r="F216" s="147"/>
      <c r="G216" s="147"/>
      <c r="H216" s="147"/>
      <c r="I216" s="335"/>
    </row>
    <row r="217" spans="1:12" ht="36.75" customHeight="1">
      <c r="A217" t="s">
        <v>152</v>
      </c>
      <c r="B217" s="2303"/>
      <c r="C217" s="84"/>
      <c r="D217" s="403">
        <v>13741.78</v>
      </c>
      <c r="E217" s="618">
        <v>120609.75</v>
      </c>
      <c r="F217" s="147"/>
      <c r="G217" s="147"/>
      <c r="H217" s="147"/>
      <c r="I217" s="335"/>
    </row>
    <row r="218" spans="1:12" ht="57" customHeight="1">
      <c r="A218" s="31" t="s">
        <v>153</v>
      </c>
      <c r="B218" s="2303"/>
      <c r="C218" s="84"/>
      <c r="D218" s="403">
        <v>189328.14</v>
      </c>
      <c r="E218" s="617">
        <v>292064.26</v>
      </c>
      <c r="F218" s="147"/>
      <c r="G218" s="147"/>
      <c r="H218" s="147"/>
      <c r="I218" s="335"/>
    </row>
    <row r="219" spans="1:12" ht="30" customHeight="1" thickBot="1">
      <c r="A219" s="604"/>
      <c r="B219" s="2304"/>
      <c r="C219" s="54" t="s">
        <v>12</v>
      </c>
      <c r="D219" s="405">
        <f>SUM(D214:D218)</f>
        <v>311398.33</v>
      </c>
      <c r="E219" s="405">
        <f>SUM(E213,E218)</f>
        <v>959097.22</v>
      </c>
      <c r="F219" s="337">
        <f t="shared" ref="F219:I219" si="24">SUM(F214:F218)</f>
        <v>0</v>
      </c>
      <c r="G219" s="337">
        <f t="shared" si="24"/>
        <v>0</v>
      </c>
      <c r="H219" s="337">
        <f t="shared" si="24"/>
        <v>0</v>
      </c>
      <c r="I219" s="337">
        <f t="shared" si="24"/>
        <v>0</v>
      </c>
    </row>
    <row r="220" spans="1:12">
      <c r="D220" s="31"/>
    </row>
  </sheetData>
  <mergeCells count="56">
    <mergeCell ref="A202:B209"/>
    <mergeCell ref="B213:B219"/>
    <mergeCell ref="A187:A188"/>
    <mergeCell ref="B187:B188"/>
    <mergeCell ref="C187:C188"/>
    <mergeCell ref="D187:G187"/>
    <mergeCell ref="H187:L187"/>
    <mergeCell ref="A189:B196"/>
    <mergeCell ref="A165:B172"/>
    <mergeCell ref="A176:A177"/>
    <mergeCell ref="B176:B177"/>
    <mergeCell ref="C176:C177"/>
    <mergeCell ref="I176:O176"/>
    <mergeCell ref="A178:B185"/>
    <mergeCell ref="J142:N142"/>
    <mergeCell ref="A144:B151"/>
    <mergeCell ref="A153:A154"/>
    <mergeCell ref="B153:B154"/>
    <mergeCell ref="C153:C154"/>
    <mergeCell ref="C142:C143"/>
    <mergeCell ref="A155:B162"/>
    <mergeCell ref="A129:A130"/>
    <mergeCell ref="B129:B130"/>
    <mergeCell ref="A131:B137"/>
    <mergeCell ref="A142:A143"/>
    <mergeCell ref="B142:B143"/>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62:B69"/>
    <mergeCell ref="A72:B79"/>
    <mergeCell ref="A85:B92"/>
    <mergeCell ref="A96:A97"/>
    <mergeCell ref="B96:B97"/>
    <mergeCell ref="D60:D61"/>
    <mergeCell ref="B1:F1"/>
    <mergeCell ref="F3:O3"/>
    <mergeCell ref="A4:O10"/>
    <mergeCell ref="D15:G15"/>
    <mergeCell ref="A17:B24"/>
    <mergeCell ref="D26:G26"/>
    <mergeCell ref="A28:B35"/>
    <mergeCell ref="A40:B47"/>
    <mergeCell ref="A50:B58"/>
    <mergeCell ref="A60:A61"/>
    <mergeCell ref="C60:C6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9"/>
  <dimension ref="A1:Y228"/>
  <sheetViews>
    <sheetView topLeftCell="A208" workbookViewId="0">
      <selection activeCell="E222" sqref="E222"/>
    </sheetView>
  </sheetViews>
  <sheetFormatPr defaultColWidth="8.85546875" defaultRowHeight="15"/>
  <cols>
    <col min="1" max="1" width="91" style="625" customWidth="1"/>
    <col min="2" max="2" width="29.42578125" style="625" customWidth="1"/>
    <col min="3" max="3" width="16.140625" style="625" customWidth="1"/>
    <col min="4" max="7" width="17.7109375" style="625" customWidth="1"/>
    <col min="8" max="8" width="14.42578125" style="625" customWidth="1"/>
    <col min="9" max="9" width="16.7109375" style="625" customWidth="1"/>
    <col min="10" max="10" width="15.85546875" style="625" customWidth="1"/>
    <col min="11" max="11" width="17.42578125" style="625" customWidth="1"/>
    <col min="12" max="12" width="15.42578125" style="625" customWidth="1"/>
    <col min="13" max="13" width="14.5703125" style="625" customWidth="1"/>
    <col min="14" max="14" width="14" style="625" customWidth="1"/>
    <col min="15" max="15" width="13.5703125" style="625" customWidth="1"/>
    <col min="16" max="25" width="13.7109375" style="625" customWidth="1"/>
    <col min="26" max="16384" width="8.85546875" style="625"/>
  </cols>
  <sheetData>
    <row r="1" spans="1:25" s="619" customFormat="1" ht="15.75">
      <c r="A1" s="619" t="s">
        <v>0</v>
      </c>
      <c r="B1" s="2373" t="s">
        <v>256</v>
      </c>
      <c r="C1" s="2374"/>
      <c r="D1" s="2374"/>
      <c r="E1" s="2374"/>
      <c r="F1" s="2374"/>
    </row>
    <row r="2" spans="1:25" s="619" customFormat="1" ht="24.75" customHeight="1" thickBot="1"/>
    <row r="3" spans="1:25" s="622" customFormat="1" ht="20.100000000000001" customHeight="1">
      <c r="A3" s="620" t="s">
        <v>1</v>
      </c>
      <c r="B3" s="621"/>
      <c r="C3" s="621"/>
      <c r="D3" s="621"/>
      <c r="E3" s="621"/>
      <c r="F3" s="2375"/>
      <c r="G3" s="2375"/>
      <c r="H3" s="2375"/>
      <c r="I3" s="2375"/>
      <c r="J3" s="2375"/>
      <c r="K3" s="2375"/>
      <c r="L3" s="2375"/>
      <c r="M3" s="2375"/>
      <c r="N3" s="2375"/>
      <c r="O3" s="2376"/>
    </row>
    <row r="4" spans="1:25" s="622" customFormat="1" ht="20.100000000000001" customHeight="1">
      <c r="A4" s="2377" t="s">
        <v>231</v>
      </c>
      <c r="B4" s="2378"/>
      <c r="C4" s="2378"/>
      <c r="D4" s="2378"/>
      <c r="E4" s="2378"/>
      <c r="F4" s="2378"/>
      <c r="G4" s="2378"/>
      <c r="H4" s="2378"/>
      <c r="I4" s="2378"/>
      <c r="J4" s="2378"/>
      <c r="K4" s="2378"/>
      <c r="L4" s="2378"/>
      <c r="M4" s="2378"/>
      <c r="N4" s="2378"/>
      <c r="O4" s="2379"/>
    </row>
    <row r="5" spans="1:25" s="622" customFormat="1" ht="20.100000000000001" customHeight="1">
      <c r="A5" s="2377"/>
      <c r="B5" s="2378"/>
      <c r="C5" s="2378"/>
      <c r="D5" s="2378"/>
      <c r="E5" s="2378"/>
      <c r="F5" s="2378"/>
      <c r="G5" s="2378"/>
      <c r="H5" s="2378"/>
      <c r="I5" s="2378"/>
      <c r="J5" s="2378"/>
      <c r="K5" s="2378"/>
      <c r="L5" s="2378"/>
      <c r="M5" s="2378"/>
      <c r="N5" s="2378"/>
      <c r="O5" s="2379"/>
    </row>
    <row r="6" spans="1:25" s="622" customFormat="1" ht="20.100000000000001" customHeight="1">
      <c r="A6" s="2377"/>
      <c r="B6" s="2378"/>
      <c r="C6" s="2378"/>
      <c r="D6" s="2378"/>
      <c r="E6" s="2378"/>
      <c r="F6" s="2378"/>
      <c r="G6" s="2378"/>
      <c r="H6" s="2378"/>
      <c r="I6" s="2378"/>
      <c r="J6" s="2378"/>
      <c r="K6" s="2378"/>
      <c r="L6" s="2378"/>
      <c r="M6" s="2378"/>
      <c r="N6" s="2378"/>
      <c r="O6" s="2379"/>
    </row>
    <row r="7" spans="1:25" s="622" customFormat="1" ht="20.100000000000001" customHeight="1">
      <c r="A7" s="2377"/>
      <c r="B7" s="2378"/>
      <c r="C7" s="2378"/>
      <c r="D7" s="2378"/>
      <c r="E7" s="2378"/>
      <c r="F7" s="2378"/>
      <c r="G7" s="2378"/>
      <c r="H7" s="2378"/>
      <c r="I7" s="2378"/>
      <c r="J7" s="2378"/>
      <c r="K7" s="2378"/>
      <c r="L7" s="2378"/>
      <c r="M7" s="2378"/>
      <c r="N7" s="2378"/>
      <c r="O7" s="2379"/>
    </row>
    <row r="8" spans="1:25" s="622" customFormat="1" ht="20.100000000000001" customHeight="1">
      <c r="A8" s="2377"/>
      <c r="B8" s="2378"/>
      <c r="C8" s="2378"/>
      <c r="D8" s="2378"/>
      <c r="E8" s="2378"/>
      <c r="F8" s="2378"/>
      <c r="G8" s="2378"/>
      <c r="H8" s="2378"/>
      <c r="I8" s="2378"/>
      <c r="J8" s="2378"/>
      <c r="K8" s="2378"/>
      <c r="L8" s="2378"/>
      <c r="M8" s="2378"/>
      <c r="N8" s="2378"/>
      <c r="O8" s="2379"/>
    </row>
    <row r="9" spans="1:25" s="622" customFormat="1" ht="20.100000000000001" customHeight="1">
      <c r="A9" s="2377"/>
      <c r="B9" s="2378"/>
      <c r="C9" s="2378"/>
      <c r="D9" s="2378"/>
      <c r="E9" s="2378"/>
      <c r="F9" s="2378"/>
      <c r="G9" s="2378"/>
      <c r="H9" s="2378"/>
      <c r="I9" s="2378"/>
      <c r="J9" s="2378"/>
      <c r="K9" s="2378"/>
      <c r="L9" s="2378"/>
      <c r="M9" s="2378"/>
      <c r="N9" s="2378"/>
      <c r="O9" s="2379"/>
    </row>
    <row r="10" spans="1:25" s="622" customFormat="1" ht="87" customHeight="1" thickBot="1">
      <c r="A10" s="2380"/>
      <c r="B10" s="2381"/>
      <c r="C10" s="2381"/>
      <c r="D10" s="2381"/>
      <c r="E10" s="2381"/>
      <c r="F10" s="2381"/>
      <c r="G10" s="2381"/>
      <c r="H10" s="2381"/>
      <c r="I10" s="2381"/>
      <c r="J10" s="2381"/>
      <c r="K10" s="2381"/>
      <c r="L10" s="2381"/>
      <c r="M10" s="2381"/>
      <c r="N10" s="2381"/>
      <c r="O10" s="2382"/>
    </row>
    <row r="11" spans="1:25" s="619" customFormat="1" ht="20.100000000000001" customHeight="1"/>
    <row r="13" spans="1:25" ht="15.75">
      <c r="A13" s="623" t="s">
        <v>3</v>
      </c>
      <c r="B13" s="623"/>
      <c r="C13" s="624"/>
      <c r="D13" s="624"/>
      <c r="E13" s="624"/>
      <c r="F13" s="624"/>
      <c r="G13" s="624"/>
      <c r="H13" s="624"/>
      <c r="I13" s="624"/>
      <c r="J13" s="624"/>
      <c r="K13" s="624"/>
      <c r="L13" s="624"/>
      <c r="M13" s="624"/>
      <c r="N13" s="624"/>
      <c r="O13" s="624"/>
    </row>
    <row r="14" spans="1:25" ht="15.75" thickBot="1">
      <c r="P14" s="626"/>
      <c r="Q14" s="626"/>
      <c r="R14" s="626"/>
      <c r="S14" s="626"/>
      <c r="T14" s="626"/>
      <c r="U14" s="626"/>
      <c r="V14" s="626"/>
      <c r="W14" s="626"/>
      <c r="X14" s="626"/>
    </row>
    <row r="15" spans="1:25" s="636" customFormat="1" ht="22.5" customHeight="1">
      <c r="A15" s="627"/>
      <c r="B15" s="628"/>
      <c r="C15" s="629"/>
      <c r="D15" s="2383" t="s">
        <v>4</v>
      </c>
      <c r="E15" s="2384"/>
      <c r="F15" s="2384"/>
      <c r="G15" s="2384"/>
      <c r="H15" s="630"/>
      <c r="I15" s="631" t="s">
        <v>5</v>
      </c>
      <c r="J15" s="632"/>
      <c r="K15" s="632"/>
      <c r="L15" s="632"/>
      <c r="M15" s="632"/>
      <c r="N15" s="632"/>
      <c r="O15" s="633"/>
      <c r="P15" s="634"/>
      <c r="Q15" s="634"/>
      <c r="R15" s="635"/>
      <c r="S15" s="635"/>
      <c r="T15" s="635"/>
      <c r="U15" s="635"/>
      <c r="V15" s="635"/>
      <c r="W15" s="634"/>
      <c r="X15" s="634"/>
      <c r="Y15" s="634"/>
    </row>
    <row r="16" spans="1:25" s="648" customFormat="1" ht="162.75" customHeight="1">
      <c r="A16" s="637" t="s">
        <v>6</v>
      </c>
      <c r="B16" s="638" t="s">
        <v>232</v>
      </c>
      <c r="C16" s="639" t="s">
        <v>8</v>
      </c>
      <c r="D16" s="640" t="s">
        <v>9</v>
      </c>
      <c r="E16" s="641" t="s">
        <v>10</v>
      </c>
      <c r="F16" s="641" t="s">
        <v>11</v>
      </c>
      <c r="G16" s="642" t="s">
        <v>12</v>
      </c>
      <c r="H16" s="643" t="s">
        <v>13</v>
      </c>
      <c r="I16" s="644" t="s">
        <v>14</v>
      </c>
      <c r="J16" s="644" t="s">
        <v>15</v>
      </c>
      <c r="K16" s="644" t="s">
        <v>16</v>
      </c>
      <c r="L16" s="644" t="s">
        <v>17</v>
      </c>
      <c r="M16" s="645" t="s">
        <v>18</v>
      </c>
      <c r="N16" s="644" t="s">
        <v>19</v>
      </c>
      <c r="O16" s="646" t="s">
        <v>20</v>
      </c>
      <c r="P16" s="647"/>
      <c r="Q16" s="647"/>
      <c r="R16" s="647"/>
      <c r="S16" s="647"/>
      <c r="T16" s="647"/>
      <c r="U16" s="647"/>
      <c r="V16" s="647"/>
      <c r="W16" s="647"/>
      <c r="X16" s="647"/>
      <c r="Y16" s="647"/>
    </row>
    <row r="17" spans="1:25" ht="15" customHeight="1">
      <c r="A17" s="2305" t="s">
        <v>233</v>
      </c>
      <c r="B17" s="2306"/>
      <c r="C17" s="649">
        <v>2014</v>
      </c>
      <c r="D17" s="650"/>
      <c r="E17" s="651"/>
      <c r="F17" s="651"/>
      <c r="G17" s="652">
        <f t="shared" ref="G17:G23" si="0">SUM(D17:F17)</f>
        <v>0</v>
      </c>
      <c r="H17" s="653"/>
      <c r="I17" s="651"/>
      <c r="J17" s="651"/>
      <c r="K17" s="651"/>
      <c r="L17" s="651"/>
      <c r="M17" s="651"/>
      <c r="N17" s="651"/>
      <c r="O17" s="654"/>
      <c r="P17" s="655"/>
      <c r="Q17" s="655"/>
      <c r="R17" s="655"/>
      <c r="S17" s="655"/>
      <c r="T17" s="655"/>
      <c r="U17" s="655"/>
      <c r="V17" s="655"/>
      <c r="W17" s="655"/>
      <c r="X17" s="655"/>
      <c r="Y17" s="655"/>
    </row>
    <row r="18" spans="1:25">
      <c r="A18" s="2305"/>
      <c r="B18" s="2306"/>
      <c r="C18" s="656">
        <v>2015</v>
      </c>
      <c r="D18" s="657">
        <v>31</v>
      </c>
      <c r="E18" s="658"/>
      <c r="F18" s="658"/>
      <c r="G18" s="652">
        <f>SUM(D18:F18)</f>
        <v>31</v>
      </c>
      <c r="H18" s="659"/>
      <c r="I18" s="658"/>
      <c r="J18" s="658"/>
      <c r="K18" s="658">
        <v>27</v>
      </c>
      <c r="L18" s="658">
        <v>1</v>
      </c>
      <c r="M18" s="658"/>
      <c r="N18" s="658"/>
      <c r="O18" s="660">
        <v>3</v>
      </c>
      <c r="P18" s="655"/>
      <c r="Q18" s="655"/>
      <c r="R18" s="655"/>
      <c r="S18" s="655"/>
      <c r="T18" s="655"/>
      <c r="U18" s="655"/>
      <c r="V18" s="655"/>
      <c r="W18" s="655"/>
      <c r="X18" s="655"/>
      <c r="Y18" s="655"/>
    </row>
    <row r="19" spans="1:25">
      <c r="A19" s="2305"/>
      <c r="B19" s="2306"/>
      <c r="C19" s="656">
        <v>2016</v>
      </c>
      <c r="D19" s="657">
        <v>31</v>
      </c>
      <c r="E19" s="658"/>
      <c r="F19" s="658">
        <v>2</v>
      </c>
      <c r="G19" s="652">
        <f t="shared" si="0"/>
        <v>33</v>
      </c>
      <c r="H19" s="659"/>
      <c r="I19" s="658">
        <v>30</v>
      </c>
      <c r="J19" s="658"/>
      <c r="K19" s="658"/>
      <c r="L19" s="658">
        <v>1</v>
      </c>
      <c r="M19" s="658">
        <v>1</v>
      </c>
      <c r="N19" s="658"/>
      <c r="O19" s="660">
        <v>1</v>
      </c>
      <c r="P19" s="655"/>
      <c r="Q19" s="655"/>
      <c r="R19" s="655"/>
      <c r="S19" s="655"/>
      <c r="T19" s="655"/>
      <c r="U19" s="655"/>
      <c r="V19" s="655"/>
      <c r="W19" s="655"/>
      <c r="X19" s="655"/>
      <c r="Y19" s="655"/>
    </row>
    <row r="20" spans="1:25">
      <c r="A20" s="2305"/>
      <c r="B20" s="2306"/>
      <c r="C20" s="656">
        <v>2017</v>
      </c>
      <c r="D20" s="657"/>
      <c r="E20" s="658"/>
      <c r="F20" s="658"/>
      <c r="G20" s="652">
        <f t="shared" si="0"/>
        <v>0</v>
      </c>
      <c r="H20" s="659"/>
      <c r="I20" s="658"/>
      <c r="J20" s="658"/>
      <c r="K20" s="658"/>
      <c r="L20" s="658"/>
      <c r="M20" s="658"/>
      <c r="N20" s="658"/>
      <c r="O20" s="660"/>
      <c r="P20" s="655"/>
      <c r="Q20" s="655"/>
      <c r="R20" s="655"/>
      <c r="S20" s="655"/>
      <c r="T20" s="655"/>
      <c r="U20" s="655"/>
      <c r="V20" s="655"/>
      <c r="W20" s="655"/>
      <c r="X20" s="655"/>
      <c r="Y20" s="655"/>
    </row>
    <row r="21" spans="1:25">
      <c r="A21" s="2305"/>
      <c r="B21" s="2306"/>
      <c r="C21" s="656">
        <v>2018</v>
      </c>
      <c r="D21" s="657"/>
      <c r="E21" s="658"/>
      <c r="F21" s="658"/>
      <c r="G21" s="652">
        <f t="shared" si="0"/>
        <v>0</v>
      </c>
      <c r="H21" s="659"/>
      <c r="I21" s="658"/>
      <c r="J21" s="658"/>
      <c r="K21" s="658"/>
      <c r="L21" s="658"/>
      <c r="M21" s="658"/>
      <c r="N21" s="658"/>
      <c r="O21" s="660"/>
      <c r="P21" s="655"/>
      <c r="Q21" s="655"/>
      <c r="R21" s="655"/>
      <c r="S21" s="655"/>
      <c r="T21" s="655"/>
      <c r="U21" s="655"/>
      <c r="V21" s="655"/>
      <c r="W21" s="655"/>
      <c r="X21" s="655"/>
      <c r="Y21" s="655"/>
    </row>
    <row r="22" spans="1:25">
      <c r="A22" s="2305"/>
      <c r="B22" s="2306"/>
      <c r="C22" s="661">
        <v>2019</v>
      </c>
      <c r="D22" s="657"/>
      <c r="E22" s="658"/>
      <c r="F22" s="658"/>
      <c r="G22" s="652">
        <f>SUM(D22:F22)</f>
        <v>0</v>
      </c>
      <c r="H22" s="659"/>
      <c r="I22" s="658"/>
      <c r="J22" s="658"/>
      <c r="K22" s="658"/>
      <c r="L22" s="658"/>
      <c r="M22" s="658"/>
      <c r="N22" s="658"/>
      <c r="O22" s="660"/>
      <c r="P22" s="655"/>
      <c r="Q22" s="655"/>
      <c r="R22" s="655"/>
      <c r="S22" s="655"/>
      <c r="T22" s="655"/>
      <c r="U22" s="655"/>
      <c r="V22" s="655"/>
      <c r="W22" s="655"/>
      <c r="X22" s="655"/>
      <c r="Y22" s="655"/>
    </row>
    <row r="23" spans="1:25">
      <c r="A23" s="2305"/>
      <c r="B23" s="2306"/>
      <c r="C23" s="656">
        <v>2020</v>
      </c>
      <c r="D23" s="657"/>
      <c r="E23" s="658"/>
      <c r="F23" s="658"/>
      <c r="G23" s="652">
        <f t="shared" si="0"/>
        <v>0</v>
      </c>
      <c r="H23" s="659"/>
      <c r="I23" s="658"/>
      <c r="J23" s="658"/>
      <c r="K23" s="658"/>
      <c r="L23" s="658"/>
      <c r="M23" s="658"/>
      <c r="N23" s="658"/>
      <c r="O23" s="660"/>
      <c r="P23" s="655"/>
      <c r="Q23" s="655"/>
      <c r="R23" s="655"/>
      <c r="S23" s="655"/>
      <c r="T23" s="655"/>
      <c r="U23" s="655"/>
      <c r="V23" s="655"/>
      <c r="W23" s="655"/>
      <c r="X23" s="655"/>
      <c r="Y23" s="655"/>
    </row>
    <row r="24" spans="1:25" ht="19.5" customHeight="1" thickBot="1">
      <c r="A24" s="2307"/>
      <c r="B24" s="2308"/>
      <c r="C24" s="662" t="s">
        <v>12</v>
      </c>
      <c r="D24" s="663">
        <f>SUM(D17:D23)</f>
        <v>62</v>
      </c>
      <c r="E24" s="664">
        <f>SUM(E17:E23)</f>
        <v>0</v>
      </c>
      <c r="F24" s="664">
        <f>SUM(F17:F23)</f>
        <v>2</v>
      </c>
      <c r="G24" s="665">
        <f>SUM(D24:F24)</f>
        <v>64</v>
      </c>
      <c r="H24" s="666">
        <f>SUM(H17:H23)</f>
        <v>0</v>
      </c>
      <c r="I24" s="667">
        <f>SUM(I17:I23)</f>
        <v>30</v>
      </c>
      <c r="J24" s="667">
        <f t="shared" ref="J24:N24" si="1">SUM(J17:J23)</f>
        <v>0</v>
      </c>
      <c r="K24" s="667">
        <f t="shared" si="1"/>
        <v>27</v>
      </c>
      <c r="L24" s="667">
        <f t="shared" si="1"/>
        <v>2</v>
      </c>
      <c r="M24" s="667">
        <f t="shared" si="1"/>
        <v>1</v>
      </c>
      <c r="N24" s="667">
        <f t="shared" si="1"/>
        <v>0</v>
      </c>
      <c r="O24" s="668">
        <f>SUM(O17:O23)</f>
        <v>4</v>
      </c>
      <c r="P24" s="655"/>
      <c r="Q24" s="655"/>
      <c r="R24" s="655"/>
      <c r="S24" s="655"/>
      <c r="T24" s="655"/>
      <c r="U24" s="655"/>
      <c r="V24" s="655"/>
      <c r="W24" s="655"/>
      <c r="X24" s="655"/>
      <c r="Y24" s="655"/>
    </row>
    <row r="25" spans="1:25" ht="16.5" thickBot="1">
      <c r="C25" s="669"/>
      <c r="H25" s="626"/>
      <c r="I25" s="626"/>
      <c r="J25" s="626"/>
      <c r="K25" s="626"/>
      <c r="L25" s="626"/>
      <c r="M25" s="626"/>
      <c r="N25" s="626"/>
      <c r="O25" s="626"/>
      <c r="P25" s="626"/>
      <c r="Q25" s="626"/>
    </row>
    <row r="26" spans="1:25" s="636" customFormat="1" ht="30.75" customHeight="1">
      <c r="A26" s="627"/>
      <c r="B26" s="628"/>
      <c r="C26" s="670"/>
      <c r="D26" s="2385" t="s">
        <v>4</v>
      </c>
      <c r="E26" s="2384"/>
      <c r="F26" s="2384"/>
      <c r="G26" s="2386"/>
      <c r="H26" s="634"/>
      <c r="I26" s="634"/>
      <c r="J26" s="635"/>
      <c r="K26" s="635"/>
      <c r="L26" s="635"/>
      <c r="M26" s="635"/>
      <c r="N26" s="635"/>
      <c r="O26" s="634"/>
      <c r="P26" s="634"/>
    </row>
    <row r="27" spans="1:25" s="648" customFormat="1" ht="93" customHeight="1">
      <c r="A27" s="671" t="s">
        <v>22</v>
      </c>
      <c r="B27" s="638" t="s">
        <v>232</v>
      </c>
      <c r="C27" s="672" t="s">
        <v>8</v>
      </c>
      <c r="D27" s="673" t="s">
        <v>9</v>
      </c>
      <c r="E27" s="641" t="s">
        <v>10</v>
      </c>
      <c r="F27" s="641" t="s">
        <v>11</v>
      </c>
      <c r="G27" s="674" t="s">
        <v>12</v>
      </c>
      <c r="H27" s="647"/>
      <c r="I27" s="647"/>
      <c r="J27" s="647"/>
      <c r="K27" s="647"/>
      <c r="L27" s="647"/>
      <c r="M27" s="647"/>
      <c r="N27" s="647"/>
      <c r="O27" s="647"/>
      <c r="P27" s="647"/>
      <c r="Q27" s="636"/>
    </row>
    <row r="28" spans="1:25" ht="15" customHeight="1">
      <c r="A28" s="2369" t="s">
        <v>234</v>
      </c>
      <c r="B28" s="2387"/>
      <c r="C28" s="675">
        <v>2014</v>
      </c>
      <c r="D28" s="653"/>
      <c r="E28" s="651"/>
      <c r="F28" s="651"/>
      <c r="G28" s="676">
        <f>SUM(D28:F28)</f>
        <v>0</v>
      </c>
      <c r="H28" s="655"/>
      <c r="I28" s="655"/>
      <c r="J28" s="655"/>
      <c r="K28" s="655"/>
      <c r="L28" s="655"/>
      <c r="M28" s="655"/>
      <c r="N28" s="655"/>
      <c r="O28" s="655"/>
      <c r="P28" s="655"/>
      <c r="Q28" s="626"/>
    </row>
    <row r="29" spans="1:25">
      <c r="A29" s="2369"/>
      <c r="B29" s="2387"/>
      <c r="C29" s="677">
        <v>2015</v>
      </c>
      <c r="D29" s="659">
        <v>60373</v>
      </c>
      <c r="E29" s="658"/>
      <c r="F29" s="658"/>
      <c r="G29" s="676">
        <f t="shared" ref="G29:G35" si="2">SUM(D29:F29)</f>
        <v>60373</v>
      </c>
      <c r="H29" s="655"/>
      <c r="I29" s="655"/>
      <c r="J29" s="655"/>
      <c r="K29" s="655"/>
      <c r="L29" s="655"/>
      <c r="M29" s="655"/>
      <c r="N29" s="655"/>
      <c r="O29" s="655"/>
      <c r="P29" s="655"/>
      <c r="Q29" s="626"/>
    </row>
    <row r="30" spans="1:25">
      <c r="A30" s="2369"/>
      <c r="B30" s="2387"/>
      <c r="C30" s="677">
        <v>2016</v>
      </c>
      <c r="D30" s="659">
        <v>74435</v>
      </c>
      <c r="E30" s="658"/>
      <c r="F30" s="658">
        <v>13000</v>
      </c>
      <c r="G30" s="676">
        <f t="shared" si="2"/>
        <v>87435</v>
      </c>
      <c r="H30" s="655"/>
      <c r="I30" s="655"/>
      <c r="J30" s="655"/>
      <c r="K30" s="655"/>
      <c r="L30" s="655"/>
      <c r="M30" s="655"/>
      <c r="N30" s="655"/>
      <c r="O30" s="655"/>
      <c r="P30" s="655"/>
      <c r="Q30" s="626"/>
    </row>
    <row r="31" spans="1:25">
      <c r="A31" s="2369"/>
      <c r="B31" s="2387"/>
      <c r="C31" s="677">
        <v>2017</v>
      </c>
      <c r="D31" s="659"/>
      <c r="E31" s="658"/>
      <c r="F31" s="658"/>
      <c r="G31" s="676">
        <f t="shared" si="2"/>
        <v>0</v>
      </c>
      <c r="H31" s="655"/>
      <c r="I31" s="655"/>
      <c r="J31" s="655"/>
      <c r="K31" s="655"/>
      <c r="L31" s="655"/>
      <c r="M31" s="655"/>
      <c r="N31" s="655"/>
      <c r="O31" s="655"/>
      <c r="P31" s="655"/>
      <c r="Q31" s="626"/>
    </row>
    <row r="32" spans="1:25">
      <c r="A32" s="2369"/>
      <c r="B32" s="2387"/>
      <c r="C32" s="677">
        <v>2018</v>
      </c>
      <c r="D32" s="659"/>
      <c r="E32" s="658"/>
      <c r="F32" s="658"/>
      <c r="G32" s="676">
        <f>SUM(D32:F32)</f>
        <v>0</v>
      </c>
      <c r="H32" s="655"/>
      <c r="I32" s="655"/>
      <c r="J32" s="655"/>
      <c r="K32" s="655"/>
      <c r="L32" s="655"/>
      <c r="M32" s="655"/>
      <c r="N32" s="655"/>
      <c r="O32" s="655"/>
      <c r="P32" s="655"/>
      <c r="Q32" s="626"/>
    </row>
    <row r="33" spans="1:17">
      <c r="A33" s="2369"/>
      <c r="B33" s="2387"/>
      <c r="C33" s="678">
        <v>2019</v>
      </c>
      <c r="D33" s="659"/>
      <c r="E33" s="658"/>
      <c r="F33" s="658"/>
      <c r="G33" s="676">
        <f t="shared" si="2"/>
        <v>0</v>
      </c>
      <c r="H33" s="655"/>
      <c r="I33" s="655"/>
      <c r="J33" s="655"/>
      <c r="K33" s="655"/>
      <c r="L33" s="655"/>
      <c r="M33" s="655"/>
      <c r="N33" s="655"/>
      <c r="O33" s="655"/>
      <c r="P33" s="655"/>
      <c r="Q33" s="626"/>
    </row>
    <row r="34" spans="1:17">
      <c r="A34" s="2369"/>
      <c r="B34" s="2387"/>
      <c r="C34" s="677">
        <v>2020</v>
      </c>
      <c r="D34" s="659"/>
      <c r="E34" s="658"/>
      <c r="F34" s="658"/>
      <c r="G34" s="676">
        <f t="shared" si="2"/>
        <v>0</v>
      </c>
      <c r="H34" s="655"/>
      <c r="I34" s="655"/>
      <c r="J34" s="655"/>
      <c r="K34" s="655"/>
      <c r="L34" s="655"/>
      <c r="M34" s="655"/>
      <c r="N34" s="655"/>
      <c r="O34" s="655"/>
      <c r="P34" s="655"/>
      <c r="Q34" s="626"/>
    </row>
    <row r="35" spans="1:17" ht="20.25" customHeight="1" thickBot="1">
      <c r="A35" s="2388"/>
      <c r="B35" s="2389"/>
      <c r="C35" s="679" t="s">
        <v>12</v>
      </c>
      <c r="D35" s="666">
        <f>SUM(D28:D34)</f>
        <v>134808</v>
      </c>
      <c r="E35" s="664">
        <f>SUM(E28:E34)</f>
        <v>0</v>
      </c>
      <c r="F35" s="664">
        <f>SUM(F28:F34)</f>
        <v>13000</v>
      </c>
      <c r="G35" s="668">
        <f t="shared" si="2"/>
        <v>147808</v>
      </c>
      <c r="H35" s="655"/>
      <c r="I35" s="655"/>
      <c r="J35" s="655"/>
      <c r="K35" s="655"/>
      <c r="L35" s="655"/>
      <c r="M35" s="655"/>
      <c r="N35" s="655"/>
      <c r="O35" s="655"/>
      <c r="P35" s="655"/>
      <c r="Q35" s="626"/>
    </row>
    <row r="36" spans="1:17" ht="15.75">
      <c r="A36" s="680"/>
      <c r="B36" s="680"/>
      <c r="C36" s="669"/>
      <c r="H36" s="626"/>
      <c r="I36" s="626"/>
      <c r="J36" s="626"/>
      <c r="K36" s="626"/>
      <c r="L36" s="626"/>
      <c r="M36" s="626"/>
      <c r="N36" s="626"/>
      <c r="O36" s="626"/>
      <c r="P36" s="626"/>
      <c r="Q36" s="626"/>
    </row>
    <row r="37" spans="1:17" ht="21" customHeight="1">
      <c r="A37" s="681" t="s">
        <v>24</v>
      </c>
      <c r="B37" s="681"/>
      <c r="C37" s="682"/>
      <c r="D37" s="682"/>
      <c r="E37" s="682"/>
      <c r="F37" s="655"/>
      <c r="G37" s="655"/>
      <c r="H37" s="655"/>
      <c r="I37" s="683"/>
      <c r="J37" s="683"/>
      <c r="K37" s="683"/>
    </row>
    <row r="38" spans="1:17" ht="12.75" customHeight="1" thickBot="1">
      <c r="G38" s="655"/>
      <c r="H38" s="655"/>
    </row>
    <row r="39" spans="1:17" ht="88.5" customHeight="1">
      <c r="A39" s="684" t="s">
        <v>25</v>
      </c>
      <c r="B39" s="685" t="s">
        <v>232</v>
      </c>
      <c r="C39" s="686" t="s">
        <v>8</v>
      </c>
      <c r="D39" s="687" t="s">
        <v>26</v>
      </c>
      <c r="E39" s="688" t="s">
        <v>27</v>
      </c>
      <c r="F39" s="689"/>
      <c r="G39" s="647"/>
      <c r="H39" s="647"/>
    </row>
    <row r="40" spans="1:17">
      <c r="A40" s="2305"/>
      <c r="B40" s="2306"/>
      <c r="C40" s="690">
        <v>2014</v>
      </c>
      <c r="D40" s="650"/>
      <c r="E40" s="649"/>
      <c r="F40" s="626"/>
      <c r="G40" s="655"/>
      <c r="H40" s="655"/>
    </row>
    <row r="41" spans="1:17">
      <c r="A41" s="2305"/>
      <c r="B41" s="2306"/>
      <c r="C41" s="691">
        <v>2015</v>
      </c>
      <c r="D41" s="657">
        <v>3160</v>
      </c>
      <c r="E41" s="692">
        <v>2406</v>
      </c>
      <c r="F41" s="626"/>
      <c r="G41" s="655"/>
      <c r="H41" s="655"/>
    </row>
    <row r="42" spans="1:17">
      <c r="A42" s="2305"/>
      <c r="B42" s="2306"/>
      <c r="C42" s="691">
        <v>2016</v>
      </c>
      <c r="D42" s="693">
        <v>88084</v>
      </c>
      <c r="E42" s="694">
        <v>65235</v>
      </c>
      <c r="F42" s="626"/>
      <c r="G42" s="655"/>
      <c r="H42" s="655"/>
    </row>
    <row r="43" spans="1:17">
      <c r="A43" s="2305"/>
      <c r="B43" s="2306"/>
      <c r="C43" s="691">
        <v>2017</v>
      </c>
      <c r="D43" s="657"/>
      <c r="E43" s="656"/>
      <c r="F43" s="626"/>
      <c r="G43" s="655"/>
      <c r="H43" s="655"/>
    </row>
    <row r="44" spans="1:17">
      <c r="A44" s="2305"/>
      <c r="B44" s="2306"/>
      <c r="C44" s="691">
        <v>2018</v>
      </c>
      <c r="D44" s="657"/>
      <c r="E44" s="656"/>
      <c r="F44" s="626"/>
      <c r="G44" s="655"/>
      <c r="H44" s="655"/>
    </row>
    <row r="45" spans="1:17">
      <c r="A45" s="2305"/>
      <c r="B45" s="2306"/>
      <c r="C45" s="691">
        <v>2019</v>
      </c>
      <c r="D45" s="657"/>
      <c r="E45" s="656"/>
      <c r="F45" s="626"/>
      <c r="G45" s="655"/>
      <c r="H45" s="655"/>
    </row>
    <row r="46" spans="1:17">
      <c r="A46" s="2305"/>
      <c r="B46" s="2306"/>
      <c r="C46" s="691">
        <v>2020</v>
      </c>
      <c r="D46" s="657"/>
      <c r="E46" s="656"/>
      <c r="F46" s="626"/>
      <c r="G46" s="655"/>
      <c r="H46" s="655"/>
    </row>
    <row r="47" spans="1:17" ht="16.5" thickBot="1">
      <c r="A47" s="2307"/>
      <c r="B47" s="2308"/>
      <c r="C47" s="662" t="s">
        <v>12</v>
      </c>
      <c r="D47" s="663">
        <f>SUM(D40:D46)</f>
        <v>91244</v>
      </c>
      <c r="E47" s="695">
        <f>SUM(E40:E46)</f>
        <v>67641</v>
      </c>
      <c r="F47" s="696"/>
      <c r="G47" s="655"/>
      <c r="H47" s="655"/>
    </row>
    <row r="48" spans="1:17" s="655" customFormat="1" ht="16.5" thickBot="1">
      <c r="A48" s="697"/>
      <c r="B48" s="698"/>
      <c r="C48" s="699"/>
    </row>
    <row r="49" spans="1:15" ht="83.25" customHeight="1">
      <c r="A49" s="700" t="s">
        <v>29</v>
      </c>
      <c r="B49" s="685" t="s">
        <v>232</v>
      </c>
      <c r="C49" s="701" t="s">
        <v>8</v>
      </c>
      <c r="D49" s="687" t="s">
        <v>30</v>
      </c>
      <c r="E49" s="702" t="s">
        <v>31</v>
      </c>
      <c r="F49" s="702" t="s">
        <v>32</v>
      </c>
      <c r="G49" s="702" t="s">
        <v>33</v>
      </c>
      <c r="H49" s="702" t="s">
        <v>34</v>
      </c>
      <c r="I49" s="702" t="s">
        <v>35</v>
      </c>
      <c r="J49" s="702" t="s">
        <v>36</v>
      </c>
      <c r="K49" s="703" t="s">
        <v>37</v>
      </c>
    </row>
    <row r="50" spans="1:15" ht="17.25" customHeight="1">
      <c r="A50" s="2390"/>
      <c r="B50" s="2328"/>
      <c r="C50" s="690" t="s">
        <v>38</v>
      </c>
      <c r="D50" s="650"/>
      <c r="E50" s="651"/>
      <c r="F50" s="651"/>
      <c r="G50" s="651"/>
      <c r="H50" s="651"/>
      <c r="I50" s="651"/>
      <c r="J50" s="651"/>
      <c r="K50" s="654"/>
    </row>
    <row r="51" spans="1:15" ht="15" customHeight="1">
      <c r="A51" s="2305"/>
      <c r="B51" s="2330"/>
      <c r="C51" s="691">
        <v>2014</v>
      </c>
      <c r="D51" s="657"/>
      <c r="E51" s="658"/>
      <c r="F51" s="658"/>
      <c r="G51" s="658"/>
      <c r="H51" s="658"/>
      <c r="I51" s="658"/>
      <c r="J51" s="658"/>
      <c r="K51" s="704"/>
    </row>
    <row r="52" spans="1:15">
      <c r="A52" s="2305"/>
      <c r="B52" s="2330"/>
      <c r="C52" s="691">
        <v>2015</v>
      </c>
      <c r="D52" s="657"/>
      <c r="E52" s="658"/>
      <c r="F52" s="658"/>
      <c r="G52" s="658"/>
      <c r="H52" s="658"/>
      <c r="I52" s="658"/>
      <c r="J52" s="658"/>
      <c r="K52" s="704"/>
    </row>
    <row r="53" spans="1:15">
      <c r="A53" s="2305"/>
      <c r="B53" s="2330"/>
      <c r="C53" s="691">
        <v>2016</v>
      </c>
      <c r="D53" s="657">
        <v>1</v>
      </c>
      <c r="E53" s="658"/>
      <c r="F53" s="658"/>
      <c r="G53" s="705">
        <v>124</v>
      </c>
      <c r="H53" s="658"/>
      <c r="I53" s="658"/>
      <c r="J53" s="658"/>
      <c r="K53" s="704"/>
    </row>
    <row r="54" spans="1:15">
      <c r="A54" s="2305"/>
      <c r="B54" s="2330"/>
      <c r="C54" s="691">
        <v>2017</v>
      </c>
      <c r="D54" s="657"/>
      <c r="E54" s="658"/>
      <c r="F54" s="658"/>
      <c r="G54" s="658"/>
      <c r="H54" s="658"/>
      <c r="I54" s="658"/>
      <c r="J54" s="658"/>
      <c r="K54" s="704"/>
    </row>
    <row r="55" spans="1:15">
      <c r="A55" s="2305"/>
      <c r="B55" s="2330"/>
      <c r="C55" s="691">
        <v>2018</v>
      </c>
      <c r="D55" s="657"/>
      <c r="E55" s="658"/>
      <c r="F55" s="658"/>
      <c r="G55" s="658"/>
      <c r="H55" s="658"/>
      <c r="I55" s="658"/>
      <c r="J55" s="658"/>
      <c r="K55" s="704"/>
    </row>
    <row r="56" spans="1:15">
      <c r="A56" s="2305"/>
      <c r="B56" s="2330"/>
      <c r="C56" s="691">
        <v>2019</v>
      </c>
      <c r="D56" s="657"/>
      <c r="E56" s="658"/>
      <c r="F56" s="658"/>
      <c r="G56" s="658"/>
      <c r="H56" s="658"/>
      <c r="I56" s="658"/>
      <c r="J56" s="658"/>
      <c r="K56" s="704"/>
    </row>
    <row r="57" spans="1:15">
      <c r="A57" s="2305"/>
      <c r="B57" s="2330"/>
      <c r="C57" s="691">
        <v>2020</v>
      </c>
      <c r="D57" s="657"/>
      <c r="E57" s="658"/>
      <c r="F57" s="658"/>
      <c r="G57" s="658"/>
      <c r="H57" s="658"/>
      <c r="I57" s="658"/>
      <c r="J57" s="658"/>
      <c r="K57" s="706"/>
    </row>
    <row r="58" spans="1:15" ht="20.25" customHeight="1" thickBot="1">
      <c r="A58" s="2307"/>
      <c r="B58" s="2332"/>
      <c r="C58" s="662" t="s">
        <v>12</v>
      </c>
      <c r="D58" s="663">
        <f>SUM(D51:D57)</f>
        <v>1</v>
      </c>
      <c r="E58" s="664">
        <f>SUM(E51:E57)</f>
        <v>0</v>
      </c>
      <c r="F58" s="664">
        <f>SUM(F51:F57)</f>
        <v>0</v>
      </c>
      <c r="G58" s="664">
        <f>SUM(G51:G57)</f>
        <v>124</v>
      </c>
      <c r="H58" s="664">
        <f>SUM(H51:H57)</f>
        <v>0</v>
      </c>
      <c r="I58" s="664">
        <f t="shared" ref="I58" si="3">SUM(I51:I57)</f>
        <v>0</v>
      </c>
      <c r="J58" s="664">
        <f>SUM(J51:J57)</f>
        <v>0</v>
      </c>
      <c r="K58" s="668">
        <f>SUM(K50:K56)</f>
        <v>0</v>
      </c>
    </row>
    <row r="59" spans="1:15" ht="15.75" thickBot="1"/>
    <row r="60" spans="1:15" ht="21" customHeight="1">
      <c r="A60" s="2391" t="s">
        <v>39</v>
      </c>
      <c r="B60" s="707"/>
      <c r="C60" s="2393" t="s">
        <v>8</v>
      </c>
      <c r="D60" s="2371" t="s">
        <v>40</v>
      </c>
      <c r="E60" s="708" t="s">
        <v>5</v>
      </c>
      <c r="F60" s="709"/>
      <c r="G60" s="709"/>
      <c r="H60" s="709"/>
      <c r="I60" s="709"/>
      <c r="J60" s="709"/>
      <c r="K60" s="709"/>
      <c r="L60" s="710"/>
    </row>
    <row r="61" spans="1:15" ht="115.5" customHeight="1">
      <c r="A61" s="2392"/>
      <c r="B61" s="711" t="s">
        <v>232</v>
      </c>
      <c r="C61" s="2394"/>
      <c r="D61" s="2372"/>
      <c r="E61" s="712" t="s">
        <v>13</v>
      </c>
      <c r="F61" s="713" t="s">
        <v>14</v>
      </c>
      <c r="G61" s="713" t="s">
        <v>15</v>
      </c>
      <c r="H61" s="714" t="s">
        <v>16</v>
      </c>
      <c r="I61" s="714" t="s">
        <v>17</v>
      </c>
      <c r="J61" s="715" t="s">
        <v>18</v>
      </c>
      <c r="K61" s="713" t="s">
        <v>19</v>
      </c>
      <c r="L61" s="716" t="s">
        <v>20</v>
      </c>
      <c r="M61" s="717"/>
      <c r="N61" s="626"/>
      <c r="O61" s="626"/>
    </row>
    <row r="62" spans="1:15">
      <c r="A62" s="2340"/>
      <c r="B62" s="2341"/>
      <c r="C62" s="718">
        <v>2014</v>
      </c>
      <c r="D62" s="719"/>
      <c r="E62" s="720"/>
      <c r="F62" s="721"/>
      <c r="G62" s="721"/>
      <c r="H62" s="721"/>
      <c r="I62" s="721"/>
      <c r="J62" s="721"/>
      <c r="K62" s="721"/>
      <c r="L62" s="654"/>
      <c r="M62" s="626"/>
      <c r="N62" s="626"/>
      <c r="O62" s="626"/>
    </row>
    <row r="63" spans="1:15">
      <c r="A63" s="2340"/>
      <c r="B63" s="2341"/>
      <c r="C63" s="722">
        <v>2015</v>
      </c>
      <c r="D63" s="723"/>
      <c r="E63" s="724"/>
      <c r="F63" s="658"/>
      <c r="G63" s="658"/>
      <c r="H63" s="658"/>
      <c r="I63" s="658"/>
      <c r="J63" s="658"/>
      <c r="K63" s="658"/>
      <c r="L63" s="704"/>
      <c r="M63" s="626"/>
      <c r="N63" s="626"/>
      <c r="O63" s="626"/>
    </row>
    <row r="64" spans="1:15">
      <c r="A64" s="2340"/>
      <c r="B64" s="2341"/>
      <c r="C64" s="722">
        <v>2016</v>
      </c>
      <c r="D64" s="723">
        <v>13</v>
      </c>
      <c r="E64" s="724"/>
      <c r="F64" s="658">
        <v>13</v>
      </c>
      <c r="G64" s="658"/>
      <c r="H64" s="658"/>
      <c r="I64" s="658"/>
      <c r="J64" s="658"/>
      <c r="K64" s="658"/>
      <c r="L64" s="704"/>
      <c r="M64" s="626"/>
      <c r="N64" s="626"/>
      <c r="O64" s="626"/>
    </row>
    <row r="65" spans="1:20">
      <c r="A65" s="2340"/>
      <c r="B65" s="2341"/>
      <c r="C65" s="722">
        <v>2017</v>
      </c>
      <c r="D65" s="723"/>
      <c r="E65" s="724"/>
      <c r="F65" s="658"/>
      <c r="G65" s="658"/>
      <c r="H65" s="658"/>
      <c r="I65" s="658"/>
      <c r="J65" s="658"/>
      <c r="K65" s="658"/>
      <c r="L65" s="704"/>
      <c r="M65" s="626"/>
      <c r="N65" s="626"/>
      <c r="O65" s="626"/>
    </row>
    <row r="66" spans="1:20">
      <c r="A66" s="2340"/>
      <c r="B66" s="2341"/>
      <c r="C66" s="722">
        <v>2018</v>
      </c>
      <c r="D66" s="723"/>
      <c r="E66" s="724"/>
      <c r="F66" s="658"/>
      <c r="G66" s="658"/>
      <c r="H66" s="658"/>
      <c r="I66" s="658"/>
      <c r="J66" s="658"/>
      <c r="K66" s="658"/>
      <c r="L66" s="704"/>
      <c r="M66" s="626"/>
      <c r="N66" s="626"/>
      <c r="O66" s="626"/>
    </row>
    <row r="67" spans="1:20" ht="17.25" customHeight="1">
      <c r="A67" s="2340"/>
      <c r="B67" s="2341"/>
      <c r="C67" s="722">
        <v>2019</v>
      </c>
      <c r="D67" s="723"/>
      <c r="E67" s="724"/>
      <c r="F67" s="658"/>
      <c r="G67" s="658"/>
      <c r="H67" s="658"/>
      <c r="I67" s="658"/>
      <c r="J67" s="658"/>
      <c r="K67" s="658"/>
      <c r="L67" s="704"/>
      <c r="M67" s="626"/>
      <c r="N67" s="626"/>
      <c r="O67" s="626"/>
    </row>
    <row r="68" spans="1:20" ht="16.5" customHeight="1">
      <c r="A68" s="2340"/>
      <c r="B68" s="2341"/>
      <c r="C68" s="722">
        <v>2020</v>
      </c>
      <c r="D68" s="723"/>
      <c r="E68" s="724"/>
      <c r="F68" s="658"/>
      <c r="G68" s="658"/>
      <c r="H68" s="658"/>
      <c r="I68" s="658"/>
      <c r="J68" s="658"/>
      <c r="K68" s="658"/>
      <c r="L68" s="704"/>
      <c r="M68" s="696"/>
      <c r="N68" s="696"/>
      <c r="O68" s="696"/>
    </row>
    <row r="69" spans="1:20" ht="18" customHeight="1" thickBot="1">
      <c r="A69" s="2361"/>
      <c r="B69" s="2343"/>
      <c r="C69" s="725" t="s">
        <v>12</v>
      </c>
      <c r="D69" s="726">
        <f>SUM(D62:D68)</f>
        <v>13</v>
      </c>
      <c r="E69" s="727">
        <f>SUM(E62:E68)</f>
        <v>0</v>
      </c>
      <c r="F69" s="728">
        <f t="shared" ref="F69:I69" si="4">SUM(F62:F68)</f>
        <v>13</v>
      </c>
      <c r="G69" s="728">
        <f t="shared" si="4"/>
        <v>0</v>
      </c>
      <c r="H69" s="728">
        <f t="shared" si="4"/>
        <v>0</v>
      </c>
      <c r="I69" s="728">
        <f t="shared" si="4"/>
        <v>0</v>
      </c>
      <c r="J69" s="728"/>
      <c r="K69" s="728">
        <f>SUM(K62:K68)</f>
        <v>0</v>
      </c>
      <c r="L69" s="729">
        <f>SUM(L62:L68)</f>
        <v>0</v>
      </c>
      <c r="M69" s="696"/>
      <c r="N69" s="696"/>
      <c r="O69" s="696"/>
    </row>
    <row r="70" spans="1:20" ht="20.25" customHeight="1" thickBot="1">
      <c r="A70" s="730"/>
      <c r="B70" s="731"/>
      <c r="C70" s="732"/>
      <c r="D70" s="733"/>
      <c r="E70" s="733"/>
      <c r="F70" s="733"/>
      <c r="G70" s="733"/>
      <c r="H70" s="732"/>
      <c r="I70" s="734"/>
      <c r="J70" s="734"/>
      <c r="K70" s="734"/>
      <c r="L70" s="734"/>
      <c r="M70" s="734"/>
      <c r="N70" s="734"/>
      <c r="O70" s="734"/>
      <c r="P70" s="648"/>
      <c r="Q70" s="648"/>
      <c r="R70" s="648"/>
      <c r="S70" s="648"/>
      <c r="T70" s="648"/>
    </row>
    <row r="71" spans="1:20" ht="132" customHeight="1">
      <c r="A71" s="684" t="s">
        <v>42</v>
      </c>
      <c r="B71" s="685" t="s">
        <v>232</v>
      </c>
      <c r="C71" s="686" t="s">
        <v>8</v>
      </c>
      <c r="D71" s="735" t="s">
        <v>43</v>
      </c>
      <c r="E71" s="735" t="s">
        <v>44</v>
      </c>
      <c r="F71" s="736" t="s">
        <v>235</v>
      </c>
      <c r="G71" s="737" t="s">
        <v>46</v>
      </c>
      <c r="H71" s="738" t="s">
        <v>13</v>
      </c>
      <c r="I71" s="739" t="s">
        <v>14</v>
      </c>
      <c r="J71" s="740" t="s">
        <v>15</v>
      </c>
      <c r="K71" s="739" t="s">
        <v>16</v>
      </c>
      <c r="L71" s="739" t="s">
        <v>17</v>
      </c>
      <c r="M71" s="741" t="s">
        <v>18</v>
      </c>
      <c r="N71" s="740" t="s">
        <v>19</v>
      </c>
      <c r="O71" s="742" t="s">
        <v>20</v>
      </c>
    </row>
    <row r="72" spans="1:20" ht="15" customHeight="1">
      <c r="A72" s="2305"/>
      <c r="B72" s="2341"/>
      <c r="C72" s="690">
        <v>2014</v>
      </c>
      <c r="D72" s="743"/>
      <c r="E72" s="743"/>
      <c r="F72" s="743"/>
      <c r="G72" s="744">
        <f>SUM(D72:F72)</f>
        <v>0</v>
      </c>
      <c r="H72" s="650"/>
      <c r="I72" s="745"/>
      <c r="J72" s="721"/>
      <c r="K72" s="721"/>
      <c r="L72" s="721"/>
      <c r="M72" s="721"/>
      <c r="N72" s="721"/>
      <c r="O72" s="746"/>
    </row>
    <row r="73" spans="1:20">
      <c r="A73" s="2305"/>
      <c r="B73" s="2341"/>
      <c r="C73" s="691">
        <v>2015</v>
      </c>
      <c r="D73" s="747">
        <v>6</v>
      </c>
      <c r="E73" s="747"/>
      <c r="F73" s="747"/>
      <c r="G73" s="744">
        <f t="shared" ref="G73:G78" si="5">SUM(D73:F73)</f>
        <v>6</v>
      </c>
      <c r="H73" s="657"/>
      <c r="I73" s="657"/>
      <c r="J73" s="658"/>
      <c r="K73" s="658"/>
      <c r="L73" s="658"/>
      <c r="M73" s="658"/>
      <c r="N73" s="658"/>
      <c r="O73" s="704"/>
    </row>
    <row r="74" spans="1:20">
      <c r="A74" s="2305"/>
      <c r="B74" s="2341"/>
      <c r="C74" s="691">
        <v>2016</v>
      </c>
      <c r="D74" s="748">
        <v>26</v>
      </c>
      <c r="E74" s="747"/>
      <c r="F74" s="747"/>
      <c r="G74" s="744">
        <f t="shared" si="5"/>
        <v>26</v>
      </c>
      <c r="H74" s="657"/>
      <c r="I74" s="749">
        <v>26</v>
      </c>
      <c r="J74" s="658"/>
      <c r="K74" s="658"/>
      <c r="L74" s="658"/>
      <c r="M74" s="658"/>
      <c r="N74" s="658"/>
      <c r="O74" s="704"/>
    </row>
    <row r="75" spans="1:20">
      <c r="A75" s="2305"/>
      <c r="B75" s="2341"/>
      <c r="C75" s="691">
        <v>2017</v>
      </c>
      <c r="D75" s="747"/>
      <c r="E75" s="747"/>
      <c r="F75" s="747"/>
      <c r="G75" s="744">
        <f t="shared" si="5"/>
        <v>0</v>
      </c>
      <c r="H75" s="657"/>
      <c r="I75" s="657"/>
      <c r="J75" s="658"/>
      <c r="K75" s="658"/>
      <c r="L75" s="658"/>
      <c r="M75" s="658"/>
      <c r="N75" s="658"/>
      <c r="O75" s="704"/>
    </row>
    <row r="76" spans="1:20">
      <c r="A76" s="2305"/>
      <c r="B76" s="2341"/>
      <c r="C76" s="691">
        <v>2018</v>
      </c>
      <c r="D76" s="747"/>
      <c r="E76" s="747"/>
      <c r="F76" s="747"/>
      <c r="G76" s="744">
        <f t="shared" si="5"/>
        <v>0</v>
      </c>
      <c r="H76" s="657"/>
      <c r="I76" s="657"/>
      <c r="J76" s="658"/>
      <c r="K76" s="658"/>
      <c r="L76" s="658"/>
      <c r="M76" s="658"/>
      <c r="N76" s="658"/>
      <c r="O76" s="704"/>
    </row>
    <row r="77" spans="1:20" ht="15.75" customHeight="1">
      <c r="A77" s="2305"/>
      <c r="B77" s="2341"/>
      <c r="C77" s="691">
        <v>2019</v>
      </c>
      <c r="D77" s="747"/>
      <c r="E77" s="747"/>
      <c r="F77" s="747"/>
      <c r="G77" s="744">
        <f t="shared" si="5"/>
        <v>0</v>
      </c>
      <c r="H77" s="657"/>
      <c r="I77" s="657"/>
      <c r="J77" s="658"/>
      <c r="K77" s="658"/>
      <c r="L77" s="658"/>
      <c r="M77" s="658"/>
      <c r="N77" s="658"/>
      <c r="O77" s="704"/>
    </row>
    <row r="78" spans="1:20" ht="17.25" customHeight="1">
      <c r="A78" s="2305"/>
      <c r="B78" s="2341"/>
      <c r="C78" s="691">
        <v>2020</v>
      </c>
      <c r="D78" s="747"/>
      <c r="E78" s="747"/>
      <c r="F78" s="747"/>
      <c r="G78" s="744">
        <f t="shared" si="5"/>
        <v>0</v>
      </c>
      <c r="H78" s="657"/>
      <c r="I78" s="657"/>
      <c r="J78" s="658"/>
      <c r="K78" s="658"/>
      <c r="L78" s="658"/>
      <c r="M78" s="658"/>
      <c r="N78" s="658"/>
      <c r="O78" s="704"/>
    </row>
    <row r="79" spans="1:20" ht="20.25" customHeight="1" thickBot="1">
      <c r="A79" s="2361"/>
      <c r="B79" s="2343"/>
      <c r="C79" s="750" t="s">
        <v>12</v>
      </c>
      <c r="D79" s="726">
        <f>SUM(D72:D78)</f>
        <v>32</v>
      </c>
      <c r="E79" s="726">
        <f>SUM(E72:E78)</f>
        <v>0</v>
      </c>
      <c r="F79" s="726">
        <f>SUM(F72:F78)</f>
        <v>0</v>
      </c>
      <c r="G79" s="751">
        <f>SUM(G72:G78)</f>
        <v>32</v>
      </c>
      <c r="H79" s="752">
        <v>0</v>
      </c>
      <c r="I79" s="753">
        <f t="shared" ref="I79:O79" si="6">SUM(I72:I78)</f>
        <v>26</v>
      </c>
      <c r="J79" s="728">
        <f t="shared" si="6"/>
        <v>0</v>
      </c>
      <c r="K79" s="728">
        <f t="shared" si="6"/>
        <v>0</v>
      </c>
      <c r="L79" s="728">
        <f t="shared" si="6"/>
        <v>0</v>
      </c>
      <c r="M79" s="728">
        <f t="shared" si="6"/>
        <v>0</v>
      </c>
      <c r="N79" s="728">
        <f t="shared" si="6"/>
        <v>0</v>
      </c>
      <c r="O79" s="729">
        <f t="shared" si="6"/>
        <v>0</v>
      </c>
    </row>
    <row r="81" spans="1:16" ht="36.75" customHeight="1">
      <c r="A81" s="754"/>
      <c r="B81" s="731"/>
      <c r="C81" s="755"/>
      <c r="D81" s="756"/>
      <c r="E81" s="696"/>
      <c r="F81" s="696"/>
      <c r="G81" s="696"/>
      <c r="H81" s="696"/>
      <c r="I81" s="696"/>
      <c r="J81" s="696"/>
      <c r="K81" s="696"/>
    </row>
    <row r="82" spans="1:16" ht="28.5" customHeight="1">
      <c r="A82" s="757" t="s">
        <v>48</v>
      </c>
      <c r="B82" s="757"/>
      <c r="C82" s="758"/>
      <c r="D82" s="758"/>
      <c r="E82" s="758"/>
      <c r="F82" s="758"/>
      <c r="G82" s="758"/>
      <c r="H82" s="758"/>
      <c r="I82" s="758"/>
      <c r="J82" s="758"/>
      <c r="K82" s="758"/>
      <c r="L82" s="759"/>
    </row>
    <row r="83" spans="1:16" ht="14.25" customHeight="1" thickBot="1">
      <c r="A83" s="619"/>
      <c r="B83" s="619"/>
    </row>
    <row r="84" spans="1:16" s="648" customFormat="1" ht="128.25" customHeight="1">
      <c r="A84" s="760" t="s">
        <v>49</v>
      </c>
      <c r="B84" s="761" t="s">
        <v>236</v>
      </c>
      <c r="C84" s="762" t="s">
        <v>8</v>
      </c>
      <c r="D84" s="763" t="s">
        <v>51</v>
      </c>
      <c r="E84" s="764" t="s">
        <v>52</v>
      </c>
      <c r="F84" s="765" t="s">
        <v>53</v>
      </c>
      <c r="G84" s="765" t="s">
        <v>54</v>
      </c>
      <c r="H84" s="765" t="s">
        <v>55</v>
      </c>
      <c r="I84" s="765" t="s">
        <v>56</v>
      </c>
      <c r="J84" s="765" t="s">
        <v>57</v>
      </c>
      <c r="K84" s="766" t="s">
        <v>58</v>
      </c>
    </row>
    <row r="85" spans="1:16" ht="15" customHeight="1">
      <c r="A85" s="2368"/>
      <c r="B85" s="2341"/>
      <c r="C85" s="690">
        <v>2014</v>
      </c>
      <c r="D85" s="767"/>
      <c r="E85" s="768"/>
      <c r="F85" s="651"/>
      <c r="G85" s="651"/>
      <c r="H85" s="651"/>
      <c r="I85" s="651"/>
      <c r="J85" s="651"/>
      <c r="K85" s="654"/>
    </row>
    <row r="86" spans="1:16">
      <c r="A86" s="2369"/>
      <c r="B86" s="2341"/>
      <c r="C86" s="691">
        <v>2015</v>
      </c>
      <c r="D86" s="769"/>
      <c r="E86" s="724"/>
      <c r="F86" s="658"/>
      <c r="G86" s="658"/>
      <c r="H86" s="658"/>
      <c r="I86" s="658"/>
      <c r="J86" s="658"/>
      <c r="K86" s="704"/>
    </row>
    <row r="87" spans="1:16">
      <c r="A87" s="2369"/>
      <c r="B87" s="2341"/>
      <c r="C87" s="691">
        <v>2016</v>
      </c>
      <c r="D87" s="769"/>
      <c r="E87" s="724"/>
      <c r="F87" s="658"/>
      <c r="G87" s="658"/>
      <c r="H87" s="658"/>
      <c r="I87" s="658"/>
      <c r="J87" s="658"/>
      <c r="K87" s="704"/>
    </row>
    <row r="88" spans="1:16">
      <c r="A88" s="2369"/>
      <c r="B88" s="2341"/>
      <c r="C88" s="691">
        <v>2017</v>
      </c>
      <c r="D88" s="769"/>
      <c r="E88" s="724"/>
      <c r="F88" s="658"/>
      <c r="G88" s="658"/>
      <c r="H88" s="658"/>
      <c r="I88" s="658"/>
      <c r="J88" s="658"/>
      <c r="K88" s="704"/>
    </row>
    <row r="89" spans="1:16">
      <c r="A89" s="2369"/>
      <c r="B89" s="2341"/>
      <c r="C89" s="691">
        <v>2018</v>
      </c>
      <c r="D89" s="769"/>
      <c r="E89" s="724"/>
      <c r="F89" s="658"/>
      <c r="G89" s="658"/>
      <c r="H89" s="658"/>
      <c r="I89" s="658"/>
      <c r="J89" s="658"/>
      <c r="K89" s="704"/>
    </row>
    <row r="90" spans="1:16">
      <c r="A90" s="2369"/>
      <c r="B90" s="2341"/>
      <c r="C90" s="691">
        <v>2019</v>
      </c>
      <c r="D90" s="769"/>
      <c r="E90" s="724"/>
      <c r="F90" s="658"/>
      <c r="G90" s="658"/>
      <c r="H90" s="658"/>
      <c r="I90" s="658"/>
      <c r="J90" s="658"/>
      <c r="K90" s="704"/>
    </row>
    <row r="91" spans="1:16">
      <c r="A91" s="2369"/>
      <c r="B91" s="2341"/>
      <c r="C91" s="691">
        <v>2020</v>
      </c>
      <c r="D91" s="769"/>
      <c r="E91" s="724"/>
      <c r="F91" s="658"/>
      <c r="G91" s="658"/>
      <c r="H91" s="658"/>
      <c r="I91" s="658"/>
      <c r="J91" s="658"/>
      <c r="K91" s="704"/>
    </row>
    <row r="92" spans="1:16" ht="18" customHeight="1" thickBot="1">
      <c r="A92" s="2370"/>
      <c r="B92" s="2343"/>
      <c r="C92" s="750" t="s">
        <v>12</v>
      </c>
      <c r="D92" s="770">
        <f t="shared" ref="D92:I92" si="7">SUM(D85:D91)</f>
        <v>0</v>
      </c>
      <c r="E92" s="727">
        <f t="shared" si="7"/>
        <v>0</v>
      </c>
      <c r="F92" s="728">
        <f t="shared" si="7"/>
        <v>0</v>
      </c>
      <c r="G92" s="728">
        <f t="shared" si="7"/>
        <v>0</v>
      </c>
      <c r="H92" s="728">
        <f t="shared" si="7"/>
        <v>0</v>
      </c>
      <c r="I92" s="728">
        <f t="shared" si="7"/>
        <v>0</v>
      </c>
      <c r="J92" s="728">
        <f>SUM(J85:J91)</f>
        <v>0</v>
      </c>
      <c r="K92" s="729">
        <f>SUM(K85:K91)</f>
        <v>0</v>
      </c>
    </row>
    <row r="93" spans="1:16" ht="20.25" customHeight="1"/>
    <row r="94" spans="1:16" ht="15.75">
      <c r="A94" s="771" t="s">
        <v>59</v>
      </c>
      <c r="B94" s="771"/>
      <c r="C94" s="772"/>
      <c r="D94" s="772"/>
      <c r="E94" s="772"/>
      <c r="F94" s="772"/>
      <c r="G94" s="772"/>
      <c r="H94" s="772"/>
      <c r="I94" s="772"/>
      <c r="J94" s="772"/>
      <c r="K94" s="772"/>
      <c r="L94" s="772"/>
      <c r="M94" s="772"/>
      <c r="N94" s="773"/>
      <c r="O94" s="773"/>
      <c r="P94" s="773"/>
    </row>
    <row r="95" spans="1:16" s="683" customFormat="1" ht="15" customHeight="1" thickBot="1">
      <c r="A95" s="774"/>
      <c r="B95" s="774"/>
    </row>
    <row r="96" spans="1:16" ht="29.25" customHeight="1">
      <c r="A96" s="2355" t="s">
        <v>60</v>
      </c>
      <c r="B96" s="2357" t="s">
        <v>232</v>
      </c>
      <c r="C96" s="2364" t="s">
        <v>8</v>
      </c>
      <c r="D96" s="2362" t="s">
        <v>62</v>
      </c>
      <c r="E96" s="2363"/>
      <c r="F96" s="775" t="s">
        <v>63</v>
      </c>
      <c r="G96" s="776"/>
      <c r="H96" s="776"/>
      <c r="I96" s="776"/>
      <c r="J96" s="776"/>
      <c r="K96" s="776"/>
      <c r="L96" s="776"/>
      <c r="M96" s="777"/>
      <c r="N96" s="696"/>
      <c r="O96" s="696"/>
      <c r="P96" s="696"/>
    </row>
    <row r="97" spans="1:16" ht="100.5" customHeight="1">
      <c r="A97" s="2356"/>
      <c r="B97" s="2358"/>
      <c r="C97" s="2365"/>
      <c r="D97" s="778" t="s">
        <v>64</v>
      </c>
      <c r="E97" s="779" t="s">
        <v>65</v>
      </c>
      <c r="F97" s="780" t="s">
        <v>13</v>
      </c>
      <c r="G97" s="781" t="s">
        <v>66</v>
      </c>
      <c r="H97" s="781" t="s">
        <v>54</v>
      </c>
      <c r="I97" s="782" t="s">
        <v>55</v>
      </c>
      <c r="J97" s="782" t="s">
        <v>56</v>
      </c>
      <c r="K97" s="783" t="s">
        <v>67</v>
      </c>
      <c r="L97" s="781" t="s">
        <v>57</v>
      </c>
      <c r="M97" s="784" t="s">
        <v>58</v>
      </c>
      <c r="N97" s="696"/>
      <c r="O97" s="696"/>
      <c r="P97" s="696"/>
    </row>
    <row r="98" spans="1:16" ht="17.25" customHeight="1">
      <c r="A98" s="2340" t="s">
        <v>237</v>
      </c>
      <c r="B98" s="2341"/>
      <c r="C98" s="718">
        <v>2014</v>
      </c>
      <c r="D98" s="650"/>
      <c r="E98" s="651"/>
      <c r="F98" s="768"/>
      <c r="G98" s="651"/>
      <c r="H98" s="651"/>
      <c r="I98" s="651"/>
      <c r="J98" s="651"/>
      <c r="K98" s="651"/>
      <c r="L98" s="651"/>
      <c r="M98" s="654"/>
      <c r="N98" s="696"/>
      <c r="O98" s="696"/>
      <c r="P98" s="696"/>
    </row>
    <row r="99" spans="1:16" ht="16.5" customHeight="1">
      <c r="A99" s="2340"/>
      <c r="B99" s="2341"/>
      <c r="C99" s="722">
        <v>2015</v>
      </c>
      <c r="D99" s="657">
        <v>1</v>
      </c>
      <c r="E99" s="658">
        <v>1</v>
      </c>
      <c r="F99" s="724"/>
      <c r="G99" s="658"/>
      <c r="H99" s="658"/>
      <c r="I99" s="658"/>
      <c r="J99" s="658"/>
      <c r="K99" s="658"/>
      <c r="L99" s="658"/>
      <c r="M99" s="704">
        <v>1</v>
      </c>
      <c r="N99" s="696"/>
      <c r="O99" s="696"/>
      <c r="P99" s="696"/>
    </row>
    <row r="100" spans="1:16" ht="16.5" customHeight="1">
      <c r="A100" s="2340"/>
      <c r="B100" s="2341"/>
      <c r="C100" s="722">
        <v>2016</v>
      </c>
      <c r="D100" s="657">
        <v>1</v>
      </c>
      <c r="E100" s="658">
        <v>7</v>
      </c>
      <c r="F100" s="724"/>
      <c r="G100" s="658"/>
      <c r="H100" s="658"/>
      <c r="I100" s="658"/>
      <c r="J100" s="658"/>
      <c r="K100" s="658"/>
      <c r="L100" s="658"/>
      <c r="M100" s="704">
        <v>1</v>
      </c>
      <c r="N100" s="696"/>
      <c r="O100" s="696"/>
      <c r="P100" s="696"/>
    </row>
    <row r="101" spans="1:16" ht="16.5" customHeight="1">
      <c r="A101" s="2340"/>
      <c r="B101" s="2341"/>
      <c r="C101" s="722">
        <v>2017</v>
      </c>
      <c r="D101" s="657"/>
      <c r="E101" s="658"/>
      <c r="F101" s="724"/>
      <c r="G101" s="658"/>
      <c r="H101" s="658"/>
      <c r="I101" s="658"/>
      <c r="J101" s="658"/>
      <c r="K101" s="658"/>
      <c r="L101" s="658"/>
      <c r="M101" s="704"/>
      <c r="N101" s="696"/>
      <c r="O101" s="696"/>
      <c r="P101" s="696"/>
    </row>
    <row r="102" spans="1:16" ht="15.75" customHeight="1">
      <c r="A102" s="2340"/>
      <c r="B102" s="2341"/>
      <c r="C102" s="722">
        <v>2018</v>
      </c>
      <c r="D102" s="657"/>
      <c r="E102" s="658"/>
      <c r="F102" s="724"/>
      <c r="G102" s="658"/>
      <c r="H102" s="658"/>
      <c r="I102" s="658"/>
      <c r="J102" s="658"/>
      <c r="K102" s="658"/>
      <c r="L102" s="658"/>
      <c r="M102" s="704"/>
      <c r="N102" s="696"/>
      <c r="O102" s="696"/>
      <c r="P102" s="696"/>
    </row>
    <row r="103" spans="1:16" ht="14.25" customHeight="1">
      <c r="A103" s="2340"/>
      <c r="B103" s="2341"/>
      <c r="C103" s="722">
        <v>2019</v>
      </c>
      <c r="D103" s="657"/>
      <c r="E103" s="658"/>
      <c r="F103" s="724"/>
      <c r="G103" s="658"/>
      <c r="H103" s="658"/>
      <c r="I103" s="658"/>
      <c r="J103" s="658"/>
      <c r="K103" s="658"/>
      <c r="L103" s="658"/>
      <c r="M103" s="704"/>
      <c r="N103" s="696"/>
      <c r="O103" s="696"/>
      <c r="P103" s="696"/>
    </row>
    <row r="104" spans="1:16" ht="14.25" customHeight="1">
      <c r="A104" s="2340"/>
      <c r="B104" s="2341"/>
      <c r="C104" s="722">
        <v>2020</v>
      </c>
      <c r="D104" s="657"/>
      <c r="E104" s="658"/>
      <c r="F104" s="724"/>
      <c r="G104" s="658"/>
      <c r="H104" s="658"/>
      <c r="I104" s="658"/>
      <c r="J104" s="658"/>
      <c r="K104" s="658"/>
      <c r="L104" s="658"/>
      <c r="M104" s="704"/>
      <c r="N104" s="696"/>
      <c r="O104" s="696"/>
      <c r="P104" s="696"/>
    </row>
    <row r="105" spans="1:16" ht="19.5" customHeight="1" thickBot="1">
      <c r="A105" s="2361"/>
      <c r="B105" s="2343"/>
      <c r="C105" s="725" t="s">
        <v>12</v>
      </c>
      <c r="D105" s="753">
        <f>SUM(D98:D104)</f>
        <v>2</v>
      </c>
      <c r="E105" s="728">
        <f t="shared" ref="E105:K105" si="8">SUM(E98:E104)</f>
        <v>8</v>
      </c>
      <c r="F105" s="727">
        <f t="shared" si="8"/>
        <v>0</v>
      </c>
      <c r="G105" s="728">
        <f t="shared" si="8"/>
        <v>0</v>
      </c>
      <c r="H105" s="728">
        <f t="shared" si="8"/>
        <v>0</v>
      </c>
      <c r="I105" s="728">
        <f>SUM(I98:I104)</f>
        <v>0</v>
      </c>
      <c r="J105" s="728">
        <f t="shared" si="8"/>
        <v>0</v>
      </c>
      <c r="K105" s="728">
        <f t="shared" si="8"/>
        <v>0</v>
      </c>
      <c r="L105" s="728">
        <f>SUM(L98:L104)</f>
        <v>0</v>
      </c>
      <c r="M105" s="729">
        <f>SUM(M98:M104)</f>
        <v>2</v>
      </c>
      <c r="N105" s="696"/>
      <c r="O105" s="696"/>
      <c r="P105" s="696"/>
    </row>
    <row r="106" spans="1:16" ht="16.5" thickBot="1">
      <c r="A106" s="785"/>
      <c r="B106" s="785"/>
      <c r="C106" s="786"/>
      <c r="D106" s="626"/>
      <c r="E106" s="626"/>
      <c r="H106" s="626"/>
      <c r="I106" s="626"/>
      <c r="J106" s="626"/>
      <c r="K106" s="626"/>
      <c r="L106" s="626"/>
      <c r="M106" s="626"/>
      <c r="N106" s="626"/>
    </row>
    <row r="107" spans="1:16" ht="15" customHeight="1">
      <c r="A107" s="2355" t="s">
        <v>69</v>
      </c>
      <c r="B107" s="2357" t="s">
        <v>232</v>
      </c>
      <c r="C107" s="2364" t="s">
        <v>8</v>
      </c>
      <c r="D107" s="2366" t="s">
        <v>70</v>
      </c>
      <c r="E107" s="775" t="s">
        <v>71</v>
      </c>
      <c r="F107" s="776"/>
      <c r="G107" s="776"/>
      <c r="H107" s="776"/>
      <c r="I107" s="776"/>
      <c r="J107" s="776"/>
      <c r="K107" s="776"/>
      <c r="L107" s="777"/>
      <c r="M107" s="626"/>
      <c r="N107" s="626"/>
    </row>
    <row r="108" spans="1:16" ht="103.5" customHeight="1">
      <c r="A108" s="2356"/>
      <c r="B108" s="2358"/>
      <c r="C108" s="2365"/>
      <c r="D108" s="2367"/>
      <c r="E108" s="780" t="s">
        <v>13</v>
      </c>
      <c r="F108" s="781" t="s">
        <v>66</v>
      </c>
      <c r="G108" s="781" t="s">
        <v>54</v>
      </c>
      <c r="H108" s="782" t="s">
        <v>55</v>
      </c>
      <c r="I108" s="782" t="s">
        <v>56</v>
      </c>
      <c r="J108" s="783" t="s">
        <v>67</v>
      </c>
      <c r="K108" s="781" t="s">
        <v>57</v>
      </c>
      <c r="L108" s="784" t="s">
        <v>58</v>
      </c>
      <c r="M108" s="626"/>
      <c r="N108" s="626"/>
    </row>
    <row r="109" spans="1:16">
      <c r="A109" s="2340"/>
      <c r="B109" s="2341"/>
      <c r="C109" s="718">
        <v>2014</v>
      </c>
      <c r="D109" s="651"/>
      <c r="E109" s="768"/>
      <c r="F109" s="651"/>
      <c r="G109" s="651"/>
      <c r="H109" s="651"/>
      <c r="I109" s="651"/>
      <c r="J109" s="651"/>
      <c r="K109" s="651"/>
      <c r="L109" s="654"/>
      <c r="M109" s="626"/>
      <c r="N109" s="626"/>
    </row>
    <row r="110" spans="1:16">
      <c r="A110" s="2340"/>
      <c r="B110" s="2341"/>
      <c r="C110" s="722">
        <v>2015</v>
      </c>
      <c r="D110" s="658"/>
      <c r="E110" s="724"/>
      <c r="F110" s="658"/>
      <c r="G110" s="658"/>
      <c r="H110" s="658"/>
      <c r="I110" s="658"/>
      <c r="J110" s="658"/>
      <c r="K110" s="658"/>
      <c r="L110" s="704"/>
      <c r="M110" s="626"/>
      <c r="N110" s="626"/>
    </row>
    <row r="111" spans="1:16">
      <c r="A111" s="2340"/>
      <c r="B111" s="2341"/>
      <c r="C111" s="722">
        <v>2016</v>
      </c>
      <c r="D111" s="658"/>
      <c r="E111" s="724"/>
      <c r="F111" s="658"/>
      <c r="G111" s="658"/>
      <c r="H111" s="658"/>
      <c r="I111" s="658"/>
      <c r="J111" s="658"/>
      <c r="K111" s="658"/>
      <c r="L111" s="704"/>
      <c r="M111" s="626"/>
      <c r="N111" s="626"/>
    </row>
    <row r="112" spans="1:16">
      <c r="A112" s="2340"/>
      <c r="B112" s="2341"/>
      <c r="C112" s="722">
        <v>2017</v>
      </c>
      <c r="D112" s="658"/>
      <c r="E112" s="724"/>
      <c r="F112" s="658"/>
      <c r="G112" s="658"/>
      <c r="H112" s="658"/>
      <c r="I112" s="658"/>
      <c r="J112" s="658"/>
      <c r="K112" s="658"/>
      <c r="L112" s="704"/>
      <c r="M112" s="626"/>
      <c r="N112" s="626"/>
    </row>
    <row r="113" spans="1:14">
      <c r="A113" s="2340"/>
      <c r="B113" s="2341"/>
      <c r="C113" s="722">
        <v>2018</v>
      </c>
      <c r="D113" s="658"/>
      <c r="E113" s="724"/>
      <c r="F113" s="658"/>
      <c r="G113" s="658"/>
      <c r="H113" s="658"/>
      <c r="I113" s="658"/>
      <c r="J113" s="658"/>
      <c r="K113" s="658"/>
      <c r="L113" s="704"/>
      <c r="M113" s="626"/>
      <c r="N113" s="626"/>
    </row>
    <row r="114" spans="1:14">
      <c r="A114" s="2340"/>
      <c r="B114" s="2341"/>
      <c r="C114" s="722">
        <v>2019</v>
      </c>
      <c r="D114" s="658"/>
      <c r="E114" s="724"/>
      <c r="F114" s="658"/>
      <c r="G114" s="658"/>
      <c r="H114" s="658"/>
      <c r="I114" s="658"/>
      <c r="J114" s="658"/>
      <c r="K114" s="658"/>
      <c r="L114" s="704"/>
      <c r="M114" s="626"/>
      <c r="N114" s="626"/>
    </row>
    <row r="115" spans="1:14">
      <c r="A115" s="2340"/>
      <c r="B115" s="2341"/>
      <c r="C115" s="722">
        <v>2020</v>
      </c>
      <c r="D115" s="658"/>
      <c r="E115" s="724"/>
      <c r="F115" s="658"/>
      <c r="G115" s="658"/>
      <c r="H115" s="658"/>
      <c r="I115" s="658"/>
      <c r="J115" s="658"/>
      <c r="K115" s="658"/>
      <c r="L115" s="704"/>
      <c r="M115" s="626"/>
      <c r="N115" s="626"/>
    </row>
    <row r="116" spans="1:14" ht="25.5" customHeight="1" thickBot="1">
      <c r="A116" s="2361"/>
      <c r="B116" s="2343"/>
      <c r="C116" s="725" t="s">
        <v>12</v>
      </c>
      <c r="D116" s="728">
        <f t="shared" ref="D116:I116" si="9">SUM(D109:D115)</f>
        <v>0</v>
      </c>
      <c r="E116" s="727">
        <f t="shared" si="9"/>
        <v>0</v>
      </c>
      <c r="F116" s="728">
        <f t="shared" si="9"/>
        <v>0</v>
      </c>
      <c r="G116" s="728">
        <f t="shared" si="9"/>
        <v>0</v>
      </c>
      <c r="H116" s="728">
        <f t="shared" si="9"/>
        <v>0</v>
      </c>
      <c r="I116" s="728">
        <f t="shared" si="9"/>
        <v>0</v>
      </c>
      <c r="J116" s="728"/>
      <c r="K116" s="728">
        <f>SUM(K109:K115)</f>
        <v>0</v>
      </c>
      <c r="L116" s="729">
        <f>SUM(L109:L115)</f>
        <v>0</v>
      </c>
      <c r="M116" s="626"/>
      <c r="N116" s="626"/>
    </row>
    <row r="117" spans="1:14" ht="16.5" thickBot="1">
      <c r="A117" s="787"/>
      <c r="B117" s="787"/>
      <c r="C117" s="683"/>
      <c r="D117" s="683"/>
      <c r="E117" s="683"/>
      <c r="F117" s="683"/>
      <c r="G117" s="683"/>
      <c r="H117" s="683"/>
      <c r="I117" s="683"/>
      <c r="J117" s="683"/>
      <c r="K117" s="683"/>
      <c r="L117" s="683"/>
      <c r="M117" s="626"/>
      <c r="N117" s="626"/>
    </row>
    <row r="118" spans="1:14" ht="15" customHeight="1">
      <c r="A118" s="2355" t="s">
        <v>72</v>
      </c>
      <c r="B118" s="2357" t="s">
        <v>232</v>
      </c>
      <c r="C118" s="2364" t="s">
        <v>8</v>
      </c>
      <c r="D118" s="2366" t="s">
        <v>73</v>
      </c>
      <c r="E118" s="775" t="s">
        <v>71</v>
      </c>
      <c r="F118" s="776"/>
      <c r="G118" s="776"/>
      <c r="H118" s="776"/>
      <c r="I118" s="776"/>
      <c r="J118" s="776"/>
      <c r="K118" s="776"/>
      <c r="L118" s="777"/>
      <c r="M118" s="626"/>
      <c r="N118" s="626"/>
    </row>
    <row r="119" spans="1:14" ht="120.75" customHeight="1">
      <c r="A119" s="2356"/>
      <c r="B119" s="2358"/>
      <c r="C119" s="2365"/>
      <c r="D119" s="2367"/>
      <c r="E119" s="780" t="s">
        <v>13</v>
      </c>
      <c r="F119" s="781" t="s">
        <v>66</v>
      </c>
      <c r="G119" s="781" t="s">
        <v>54</v>
      </c>
      <c r="H119" s="782" t="s">
        <v>55</v>
      </c>
      <c r="I119" s="782" t="s">
        <v>56</v>
      </c>
      <c r="J119" s="783" t="s">
        <v>67</v>
      </c>
      <c r="K119" s="781" t="s">
        <v>57</v>
      </c>
      <c r="L119" s="784" t="s">
        <v>58</v>
      </c>
      <c r="M119" s="626"/>
      <c r="N119" s="626"/>
    </row>
    <row r="120" spans="1:14">
      <c r="A120" s="2340"/>
      <c r="B120" s="2341"/>
      <c r="C120" s="718">
        <v>2014</v>
      </c>
      <c r="D120" s="651"/>
      <c r="E120" s="768"/>
      <c r="F120" s="651"/>
      <c r="G120" s="651"/>
      <c r="H120" s="651"/>
      <c r="I120" s="651"/>
      <c r="J120" s="651"/>
      <c r="K120" s="651"/>
      <c r="L120" s="654"/>
      <c r="M120" s="626"/>
      <c r="N120" s="626"/>
    </row>
    <row r="121" spans="1:14">
      <c r="A121" s="2340"/>
      <c r="B121" s="2341"/>
      <c r="C121" s="722">
        <v>2015</v>
      </c>
      <c r="D121" s="658"/>
      <c r="E121" s="724"/>
      <c r="F121" s="658"/>
      <c r="G121" s="658"/>
      <c r="H121" s="658"/>
      <c r="I121" s="658"/>
      <c r="J121" s="658"/>
      <c r="K121" s="658"/>
      <c r="L121" s="704"/>
      <c r="M121" s="626"/>
      <c r="N121" s="626"/>
    </row>
    <row r="122" spans="1:14">
      <c r="A122" s="2340"/>
      <c r="B122" s="2341"/>
      <c r="C122" s="722">
        <v>2016</v>
      </c>
      <c r="D122" s="658"/>
      <c r="E122" s="724"/>
      <c r="F122" s="658"/>
      <c r="G122" s="658"/>
      <c r="H122" s="658"/>
      <c r="I122" s="658"/>
      <c r="J122" s="658"/>
      <c r="K122" s="658"/>
      <c r="L122" s="704"/>
      <c r="M122" s="626"/>
      <c r="N122" s="626"/>
    </row>
    <row r="123" spans="1:14">
      <c r="A123" s="2340"/>
      <c r="B123" s="2341"/>
      <c r="C123" s="722">
        <v>2017</v>
      </c>
      <c r="D123" s="658"/>
      <c r="E123" s="724"/>
      <c r="F123" s="658"/>
      <c r="G123" s="658"/>
      <c r="H123" s="658"/>
      <c r="I123" s="658"/>
      <c r="J123" s="658"/>
      <c r="K123" s="658"/>
      <c r="L123" s="704"/>
      <c r="M123" s="626"/>
      <c r="N123" s="626"/>
    </row>
    <row r="124" spans="1:14">
      <c r="A124" s="2340"/>
      <c r="B124" s="2341"/>
      <c r="C124" s="722">
        <v>2018</v>
      </c>
      <c r="D124" s="658"/>
      <c r="E124" s="724"/>
      <c r="F124" s="658"/>
      <c r="G124" s="658"/>
      <c r="H124" s="658"/>
      <c r="I124" s="658"/>
      <c r="J124" s="658"/>
      <c r="K124" s="658"/>
      <c r="L124" s="704"/>
      <c r="M124" s="626"/>
      <c r="N124" s="626"/>
    </row>
    <row r="125" spans="1:14">
      <c r="A125" s="2340"/>
      <c r="B125" s="2341"/>
      <c r="C125" s="722">
        <v>2019</v>
      </c>
      <c r="D125" s="658"/>
      <c r="E125" s="724"/>
      <c r="F125" s="658"/>
      <c r="G125" s="658"/>
      <c r="H125" s="658"/>
      <c r="I125" s="658"/>
      <c r="J125" s="658"/>
      <c r="K125" s="658"/>
      <c r="L125" s="704"/>
      <c r="M125" s="626"/>
      <c r="N125" s="626"/>
    </row>
    <row r="126" spans="1:14">
      <c r="A126" s="2340"/>
      <c r="B126" s="2341"/>
      <c r="C126" s="722">
        <v>2020</v>
      </c>
      <c r="D126" s="658"/>
      <c r="E126" s="724"/>
      <c r="F126" s="658"/>
      <c r="G126" s="658"/>
      <c r="H126" s="658"/>
      <c r="I126" s="658"/>
      <c r="J126" s="658"/>
      <c r="K126" s="658"/>
      <c r="L126" s="704"/>
      <c r="M126" s="626"/>
      <c r="N126" s="626"/>
    </row>
    <row r="127" spans="1:14" ht="16.5" thickBot="1">
      <c r="A127" s="2361"/>
      <c r="B127" s="2343"/>
      <c r="C127" s="725" t="s">
        <v>12</v>
      </c>
      <c r="D127" s="728">
        <f t="shared" ref="D127:I127" si="10">SUM(D120:D126)</f>
        <v>0</v>
      </c>
      <c r="E127" s="727">
        <f t="shared" si="10"/>
        <v>0</v>
      </c>
      <c r="F127" s="728">
        <f t="shared" si="10"/>
        <v>0</v>
      </c>
      <c r="G127" s="728">
        <f t="shared" si="10"/>
        <v>0</v>
      </c>
      <c r="H127" s="728">
        <f t="shared" si="10"/>
        <v>0</v>
      </c>
      <c r="I127" s="728">
        <f t="shared" si="10"/>
        <v>0</v>
      </c>
      <c r="J127" s="728"/>
      <c r="K127" s="728">
        <f>SUM(K120:K126)</f>
        <v>0</v>
      </c>
      <c r="L127" s="729">
        <f>SUM(L120:L126)</f>
        <v>0</v>
      </c>
      <c r="M127" s="626"/>
      <c r="N127" s="626"/>
    </row>
    <row r="128" spans="1:14" ht="16.5" thickBot="1">
      <c r="A128" s="785"/>
      <c r="B128" s="785"/>
      <c r="C128" s="786"/>
      <c r="D128" s="626"/>
      <c r="E128" s="626"/>
      <c r="H128" s="626"/>
      <c r="I128" s="626"/>
      <c r="J128" s="626"/>
      <c r="K128" s="626"/>
      <c r="L128" s="626"/>
      <c r="M128" s="626"/>
      <c r="N128" s="626"/>
    </row>
    <row r="129" spans="1:16" ht="15" customHeight="1">
      <c r="A129" s="2355" t="s">
        <v>74</v>
      </c>
      <c r="B129" s="2357" t="s">
        <v>232</v>
      </c>
      <c r="C129" s="788" t="s">
        <v>8</v>
      </c>
      <c r="D129" s="789" t="s">
        <v>75</v>
      </c>
      <c r="E129" s="790"/>
      <c r="F129" s="790"/>
      <c r="G129" s="791"/>
      <c r="H129" s="626"/>
      <c r="I129" s="626"/>
      <c r="J129" s="626"/>
      <c r="K129" s="626"/>
      <c r="L129" s="626"/>
      <c r="M129" s="626"/>
      <c r="N129" s="626"/>
    </row>
    <row r="130" spans="1:16" ht="77.25" customHeight="1">
      <c r="A130" s="2356"/>
      <c r="B130" s="2358"/>
      <c r="C130" s="792"/>
      <c r="D130" s="778" t="s">
        <v>76</v>
      </c>
      <c r="E130" s="793" t="s">
        <v>77</v>
      </c>
      <c r="F130" s="779" t="s">
        <v>78</v>
      </c>
      <c r="G130" s="794" t="s">
        <v>12</v>
      </c>
      <c r="H130" s="626"/>
      <c r="I130" s="626"/>
      <c r="J130" s="626"/>
      <c r="K130" s="626"/>
      <c r="L130" s="626"/>
      <c r="M130" s="626"/>
      <c r="N130" s="626"/>
    </row>
    <row r="131" spans="1:16" ht="15" customHeight="1">
      <c r="A131" s="2305"/>
      <c r="B131" s="2306"/>
      <c r="C131" s="718">
        <v>2015</v>
      </c>
      <c r="D131" s="650">
        <v>15</v>
      </c>
      <c r="E131" s="651"/>
      <c r="F131" s="651"/>
      <c r="G131" s="795">
        <f t="shared" ref="G131:G136" si="11">SUM(D131:F131)</f>
        <v>15</v>
      </c>
      <c r="H131" s="626"/>
      <c r="I131" s="626"/>
      <c r="J131" s="626"/>
      <c r="K131" s="626"/>
      <c r="L131" s="626"/>
      <c r="M131" s="626"/>
      <c r="N131" s="626"/>
    </row>
    <row r="132" spans="1:16">
      <c r="A132" s="2305"/>
      <c r="B132" s="2306"/>
      <c r="C132" s="722">
        <v>2016</v>
      </c>
      <c r="D132" s="657">
        <v>78</v>
      </c>
      <c r="E132" s="658"/>
      <c r="F132" s="658"/>
      <c r="G132" s="795">
        <f t="shared" si="11"/>
        <v>78</v>
      </c>
      <c r="H132" s="626"/>
      <c r="I132" s="626"/>
      <c r="J132" s="626"/>
      <c r="K132" s="626"/>
      <c r="L132" s="626"/>
      <c r="M132" s="626"/>
      <c r="N132" s="626"/>
    </row>
    <row r="133" spans="1:16">
      <c r="A133" s="2305"/>
      <c r="B133" s="2306"/>
      <c r="C133" s="722">
        <v>2017</v>
      </c>
      <c r="D133" s="657"/>
      <c r="E133" s="658"/>
      <c r="F133" s="658"/>
      <c r="G133" s="795">
        <f t="shared" si="11"/>
        <v>0</v>
      </c>
      <c r="H133" s="626"/>
      <c r="I133" s="626"/>
      <c r="J133" s="626"/>
      <c r="K133" s="626"/>
      <c r="L133" s="626"/>
      <c r="M133" s="626"/>
      <c r="N133" s="626"/>
    </row>
    <row r="134" spans="1:16">
      <c r="A134" s="2305"/>
      <c r="B134" s="2306"/>
      <c r="C134" s="722">
        <v>2018</v>
      </c>
      <c r="D134" s="657"/>
      <c r="E134" s="658"/>
      <c r="F134" s="658"/>
      <c r="G134" s="795">
        <f t="shared" si="11"/>
        <v>0</v>
      </c>
      <c r="H134" s="626"/>
      <c r="I134" s="626"/>
      <c r="J134" s="626"/>
      <c r="K134" s="626"/>
      <c r="L134" s="626"/>
      <c r="M134" s="626"/>
      <c r="N134" s="626"/>
    </row>
    <row r="135" spans="1:16">
      <c r="A135" s="2305"/>
      <c r="B135" s="2306"/>
      <c r="C135" s="722">
        <v>2019</v>
      </c>
      <c r="D135" s="657"/>
      <c r="E135" s="658"/>
      <c r="F135" s="658"/>
      <c r="G135" s="795">
        <f t="shared" si="11"/>
        <v>0</v>
      </c>
      <c r="H135" s="626"/>
      <c r="I135" s="626"/>
      <c r="J135" s="626"/>
      <c r="K135" s="626"/>
      <c r="L135" s="626"/>
      <c r="M135" s="626"/>
      <c r="N135" s="626"/>
    </row>
    <row r="136" spans="1:16">
      <c r="A136" s="2305"/>
      <c r="B136" s="2306"/>
      <c r="C136" s="722">
        <v>2020</v>
      </c>
      <c r="D136" s="657"/>
      <c r="E136" s="658"/>
      <c r="F136" s="658"/>
      <c r="G136" s="795">
        <f t="shared" si="11"/>
        <v>0</v>
      </c>
      <c r="H136" s="626"/>
      <c r="I136" s="626"/>
      <c r="J136" s="626"/>
      <c r="K136" s="626"/>
      <c r="L136" s="626"/>
      <c r="M136" s="626"/>
      <c r="N136" s="626"/>
    </row>
    <row r="137" spans="1:16" ht="17.25" customHeight="1" thickBot="1">
      <c r="A137" s="2307"/>
      <c r="B137" s="2308"/>
      <c r="C137" s="725" t="s">
        <v>12</v>
      </c>
      <c r="D137" s="753">
        <f>SUM(D131:D136)</f>
        <v>93</v>
      </c>
      <c r="E137" s="753">
        <f t="shared" ref="E137:F137" si="12">SUM(E131:E136)</f>
        <v>0</v>
      </c>
      <c r="F137" s="753">
        <f t="shared" si="12"/>
        <v>0</v>
      </c>
      <c r="G137" s="796">
        <f>SUM(G131:G136)</f>
        <v>93</v>
      </c>
      <c r="H137" s="626"/>
      <c r="I137" s="626"/>
      <c r="J137" s="626"/>
      <c r="K137" s="626"/>
      <c r="L137" s="626"/>
      <c r="M137" s="626"/>
      <c r="N137" s="626"/>
    </row>
    <row r="138" spans="1:16" ht="15.75">
      <c r="A138" s="785"/>
      <c r="B138" s="785"/>
      <c r="C138" s="786"/>
      <c r="D138" s="626"/>
      <c r="E138" s="626"/>
      <c r="H138" s="626"/>
      <c r="I138" s="626"/>
      <c r="J138" s="626"/>
      <c r="K138" s="626"/>
      <c r="L138" s="626"/>
      <c r="M138" s="626"/>
      <c r="N138" s="626"/>
    </row>
    <row r="139" spans="1:16" s="683" customFormat="1" ht="33" customHeight="1">
      <c r="A139" s="797"/>
      <c r="B139" s="698"/>
      <c r="C139" s="699"/>
      <c r="D139" s="655"/>
      <c r="E139" s="655"/>
      <c r="F139" s="655"/>
      <c r="G139" s="655"/>
      <c r="H139" s="655"/>
      <c r="I139" s="798"/>
      <c r="J139" s="655"/>
      <c r="K139" s="655"/>
      <c r="L139" s="655"/>
      <c r="M139" s="655"/>
      <c r="N139" s="655"/>
      <c r="O139" s="655"/>
      <c r="P139" s="655"/>
    </row>
    <row r="140" spans="1:16" ht="15.75">
      <c r="A140" s="799" t="s">
        <v>79</v>
      </c>
      <c r="B140" s="799"/>
      <c r="C140" s="800"/>
      <c r="D140" s="800"/>
      <c r="E140" s="800"/>
      <c r="F140" s="800"/>
      <c r="G140" s="800"/>
      <c r="H140" s="800"/>
      <c r="I140" s="800"/>
      <c r="J140" s="800"/>
      <c r="K140" s="800"/>
      <c r="L140" s="800"/>
      <c r="M140" s="800"/>
      <c r="N140" s="800"/>
      <c r="O140" s="773"/>
      <c r="P140" s="773"/>
    </row>
    <row r="141" spans="1:16" ht="21.75" customHeight="1" thickBot="1">
      <c r="A141" s="801"/>
      <c r="B141" s="731"/>
      <c r="C141" s="755"/>
      <c r="D141" s="696"/>
      <c r="E141" s="696"/>
      <c r="F141" s="696"/>
      <c r="G141" s="696"/>
      <c r="H141" s="696"/>
      <c r="I141" s="696"/>
      <c r="J141" s="696"/>
      <c r="K141" s="696"/>
      <c r="L141" s="696"/>
      <c r="M141" s="696"/>
      <c r="N141" s="696"/>
      <c r="O141" s="696"/>
      <c r="P141" s="696"/>
    </row>
    <row r="142" spans="1:16" ht="21.75" customHeight="1">
      <c r="A142" s="2359" t="s">
        <v>80</v>
      </c>
      <c r="B142" s="2349" t="s">
        <v>232</v>
      </c>
      <c r="C142" s="2353" t="s">
        <v>8</v>
      </c>
      <c r="D142" s="802" t="s">
        <v>81</v>
      </c>
      <c r="E142" s="803"/>
      <c r="F142" s="803"/>
      <c r="G142" s="803"/>
      <c r="H142" s="803"/>
      <c r="I142" s="804"/>
      <c r="J142" s="2344" t="s">
        <v>82</v>
      </c>
      <c r="K142" s="2345"/>
      <c r="L142" s="2345"/>
      <c r="M142" s="2345"/>
      <c r="N142" s="2346"/>
      <c r="O142" s="696"/>
      <c r="P142" s="696"/>
    </row>
    <row r="143" spans="1:16" ht="113.25" customHeight="1">
      <c r="A143" s="2360"/>
      <c r="B143" s="2350"/>
      <c r="C143" s="2354"/>
      <c r="D143" s="805" t="s">
        <v>83</v>
      </c>
      <c r="E143" s="806" t="s">
        <v>84</v>
      </c>
      <c r="F143" s="807" t="s">
        <v>85</v>
      </c>
      <c r="G143" s="807" t="s">
        <v>86</v>
      </c>
      <c r="H143" s="807" t="s">
        <v>87</v>
      </c>
      <c r="I143" s="808" t="s">
        <v>88</v>
      </c>
      <c r="J143" s="809" t="s">
        <v>89</v>
      </c>
      <c r="K143" s="810" t="s">
        <v>90</v>
      </c>
      <c r="L143" s="809" t="s">
        <v>91</v>
      </c>
      <c r="M143" s="810" t="s">
        <v>90</v>
      </c>
      <c r="N143" s="811" t="s">
        <v>92</v>
      </c>
      <c r="O143" s="696"/>
      <c r="P143" s="696"/>
    </row>
    <row r="144" spans="1:16" ht="19.5" customHeight="1">
      <c r="A144" s="2340"/>
      <c r="B144" s="2341"/>
      <c r="C144" s="718">
        <v>2014</v>
      </c>
      <c r="D144" s="650"/>
      <c r="E144" s="650"/>
      <c r="F144" s="651"/>
      <c r="G144" s="651"/>
      <c r="H144" s="651"/>
      <c r="I144" s="812">
        <f>D144+F144+G144+H144</f>
        <v>0</v>
      </c>
      <c r="J144" s="650"/>
      <c r="K144" s="649"/>
      <c r="L144" s="650"/>
      <c r="M144" s="649"/>
      <c r="N144" s="767"/>
      <c r="O144" s="696"/>
      <c r="P144" s="696"/>
    </row>
    <row r="145" spans="1:16" ht="19.5" customHeight="1">
      <c r="A145" s="2340"/>
      <c r="B145" s="2341"/>
      <c r="C145" s="722">
        <v>2015</v>
      </c>
      <c r="D145" s="657"/>
      <c r="E145" s="657"/>
      <c r="F145" s="658"/>
      <c r="G145" s="658"/>
      <c r="H145" s="658"/>
      <c r="I145" s="812">
        <f t="shared" ref="I145:I150" si="13">D145+F145+G145+H145</f>
        <v>0</v>
      </c>
      <c r="J145" s="657"/>
      <c r="K145" s="656"/>
      <c r="L145" s="657"/>
      <c r="M145" s="656"/>
      <c r="N145" s="769"/>
      <c r="O145" s="696"/>
      <c r="P145" s="696"/>
    </row>
    <row r="146" spans="1:16" ht="20.25" customHeight="1">
      <c r="A146" s="2340"/>
      <c r="B146" s="2341"/>
      <c r="C146" s="722">
        <v>2016</v>
      </c>
      <c r="D146" s="657"/>
      <c r="E146" s="657"/>
      <c r="F146" s="658"/>
      <c r="G146" s="658"/>
      <c r="H146" s="658"/>
      <c r="I146" s="812">
        <f t="shared" si="13"/>
        <v>0</v>
      </c>
      <c r="J146" s="657"/>
      <c r="K146" s="656"/>
      <c r="L146" s="657"/>
      <c r="M146" s="656"/>
      <c r="N146" s="769"/>
      <c r="O146" s="696"/>
      <c r="P146" s="696"/>
    </row>
    <row r="147" spans="1:16" ht="17.25" customHeight="1">
      <c r="A147" s="2340"/>
      <c r="B147" s="2341"/>
      <c r="C147" s="722">
        <v>2017</v>
      </c>
      <c r="D147" s="657"/>
      <c r="E147" s="657"/>
      <c r="F147" s="658"/>
      <c r="G147" s="658"/>
      <c r="H147" s="658"/>
      <c r="I147" s="812">
        <f t="shared" si="13"/>
        <v>0</v>
      </c>
      <c r="J147" s="657"/>
      <c r="K147" s="656"/>
      <c r="L147" s="657"/>
      <c r="M147" s="656"/>
      <c r="N147" s="769"/>
      <c r="O147" s="696"/>
      <c r="P147" s="696"/>
    </row>
    <row r="148" spans="1:16" ht="19.5" customHeight="1">
      <c r="A148" s="2340"/>
      <c r="B148" s="2341"/>
      <c r="C148" s="722">
        <v>2018</v>
      </c>
      <c r="D148" s="657"/>
      <c r="E148" s="657"/>
      <c r="F148" s="658"/>
      <c r="G148" s="658"/>
      <c r="H148" s="658"/>
      <c r="I148" s="812">
        <f t="shared" si="13"/>
        <v>0</v>
      </c>
      <c r="J148" s="657"/>
      <c r="K148" s="656"/>
      <c r="L148" s="657"/>
      <c r="M148" s="656"/>
      <c r="N148" s="769"/>
      <c r="O148" s="696"/>
      <c r="P148" s="696"/>
    </row>
    <row r="149" spans="1:16" ht="19.5" customHeight="1">
      <c r="A149" s="2340"/>
      <c r="B149" s="2341"/>
      <c r="C149" s="722">
        <v>2019</v>
      </c>
      <c r="D149" s="657"/>
      <c r="E149" s="657"/>
      <c r="F149" s="658"/>
      <c r="G149" s="658"/>
      <c r="H149" s="658"/>
      <c r="I149" s="812">
        <f t="shared" si="13"/>
        <v>0</v>
      </c>
      <c r="J149" s="657"/>
      <c r="K149" s="656"/>
      <c r="L149" s="657"/>
      <c r="M149" s="656"/>
      <c r="N149" s="769"/>
      <c r="O149" s="696"/>
      <c r="P149" s="696"/>
    </row>
    <row r="150" spans="1:16" ht="18.75" customHeight="1">
      <c r="A150" s="2340"/>
      <c r="B150" s="2341"/>
      <c r="C150" s="722">
        <v>2020</v>
      </c>
      <c r="D150" s="657"/>
      <c r="E150" s="657"/>
      <c r="F150" s="658"/>
      <c r="G150" s="658"/>
      <c r="H150" s="658"/>
      <c r="I150" s="812">
        <f t="shared" si="13"/>
        <v>0</v>
      </c>
      <c r="J150" s="657"/>
      <c r="K150" s="656"/>
      <c r="L150" s="657"/>
      <c r="M150" s="656"/>
      <c r="N150" s="769"/>
      <c r="O150" s="696"/>
      <c r="P150" s="696"/>
    </row>
    <row r="151" spans="1:16" ht="18" customHeight="1" thickBot="1">
      <c r="A151" s="2342"/>
      <c r="B151" s="2343"/>
      <c r="C151" s="725" t="s">
        <v>12</v>
      </c>
      <c r="D151" s="753">
        <f>SUM(D144:D150)</f>
        <v>0</v>
      </c>
      <c r="E151" s="753">
        <f t="shared" ref="E151:I151" si="14">SUM(E144:E150)</f>
        <v>0</v>
      </c>
      <c r="F151" s="753">
        <f t="shared" si="14"/>
        <v>0</v>
      </c>
      <c r="G151" s="753">
        <f t="shared" si="14"/>
        <v>0</v>
      </c>
      <c r="H151" s="753">
        <f t="shared" si="14"/>
        <v>0</v>
      </c>
      <c r="I151" s="813">
        <f t="shared" si="14"/>
        <v>0</v>
      </c>
      <c r="J151" s="753">
        <f>SUM(J144:J150)</f>
        <v>0</v>
      </c>
      <c r="K151" s="813">
        <f>SUM(K144:K150)</f>
        <v>0</v>
      </c>
      <c r="L151" s="753">
        <f>SUM(L144:L150)</f>
        <v>0</v>
      </c>
      <c r="M151" s="813">
        <f>SUM(M144:M150)</f>
        <v>0</v>
      </c>
      <c r="N151" s="814">
        <f>SUM(N144:N150)</f>
        <v>0</v>
      </c>
      <c r="O151" s="696"/>
      <c r="P151" s="696"/>
    </row>
    <row r="152" spans="1:16" ht="27" customHeight="1" thickBot="1">
      <c r="O152" s="696"/>
      <c r="P152" s="696"/>
    </row>
    <row r="153" spans="1:16" ht="35.25" customHeight="1">
      <c r="A153" s="2347" t="s">
        <v>93</v>
      </c>
      <c r="B153" s="2349" t="s">
        <v>232</v>
      </c>
      <c r="C153" s="2351" t="s">
        <v>8</v>
      </c>
      <c r="D153" s="815" t="s">
        <v>94</v>
      </c>
      <c r="E153" s="815"/>
      <c r="F153" s="816"/>
      <c r="G153" s="816"/>
      <c r="H153" s="815" t="s">
        <v>95</v>
      </c>
      <c r="I153" s="815"/>
      <c r="J153" s="817"/>
      <c r="K153" s="648"/>
      <c r="L153" s="648"/>
      <c r="M153" s="648"/>
      <c r="N153" s="648"/>
      <c r="O153" s="696"/>
      <c r="P153" s="696"/>
    </row>
    <row r="154" spans="1:16" ht="49.5" customHeight="1">
      <c r="A154" s="2348"/>
      <c r="B154" s="2350"/>
      <c r="C154" s="2352"/>
      <c r="D154" s="818" t="s">
        <v>96</v>
      </c>
      <c r="E154" s="819" t="s">
        <v>97</v>
      </c>
      <c r="F154" s="820" t="s">
        <v>98</v>
      </c>
      <c r="G154" s="821" t="s">
        <v>99</v>
      </c>
      <c r="H154" s="818" t="s">
        <v>100</v>
      </c>
      <c r="I154" s="819" t="s">
        <v>101</v>
      </c>
      <c r="J154" s="822" t="s">
        <v>92</v>
      </c>
      <c r="K154" s="648"/>
      <c r="L154" s="648"/>
      <c r="M154" s="648"/>
      <c r="N154" s="648"/>
      <c r="O154" s="696"/>
      <c r="P154" s="696"/>
    </row>
    <row r="155" spans="1:16" ht="18.75" customHeight="1">
      <c r="A155" s="2340"/>
      <c r="B155" s="2341"/>
      <c r="C155" s="823">
        <v>2014</v>
      </c>
      <c r="D155" s="650"/>
      <c r="E155" s="651"/>
      <c r="F155" s="649"/>
      <c r="G155" s="812">
        <f>SUM(D155:F155)</f>
        <v>0</v>
      </c>
      <c r="H155" s="650"/>
      <c r="I155" s="651"/>
      <c r="J155" s="654"/>
      <c r="O155" s="696"/>
      <c r="P155" s="696"/>
    </row>
    <row r="156" spans="1:16" ht="19.5" customHeight="1">
      <c r="A156" s="2340"/>
      <c r="B156" s="2341"/>
      <c r="C156" s="824">
        <v>2015</v>
      </c>
      <c r="D156" s="657"/>
      <c r="E156" s="658"/>
      <c r="F156" s="656"/>
      <c r="G156" s="812">
        <f t="shared" ref="G156:G161" si="15">SUM(D156:F156)</f>
        <v>0</v>
      </c>
      <c r="H156" s="657"/>
      <c r="I156" s="658"/>
      <c r="J156" s="704"/>
      <c r="O156" s="696"/>
      <c r="P156" s="696"/>
    </row>
    <row r="157" spans="1:16" ht="17.25" customHeight="1">
      <c r="A157" s="2340"/>
      <c r="B157" s="2341"/>
      <c r="C157" s="824">
        <v>2016</v>
      </c>
      <c r="D157" s="657"/>
      <c r="E157" s="658"/>
      <c r="F157" s="656"/>
      <c r="G157" s="812">
        <f t="shared" si="15"/>
        <v>0</v>
      </c>
      <c r="H157" s="657"/>
      <c r="I157" s="658"/>
      <c r="J157" s="704"/>
      <c r="O157" s="696"/>
      <c r="P157" s="696"/>
    </row>
    <row r="158" spans="1:16" ht="15" customHeight="1">
      <c r="A158" s="2340"/>
      <c r="B158" s="2341"/>
      <c r="C158" s="824">
        <v>2017</v>
      </c>
      <c r="D158" s="657"/>
      <c r="E158" s="658"/>
      <c r="F158" s="656"/>
      <c r="G158" s="812">
        <f t="shared" si="15"/>
        <v>0</v>
      </c>
      <c r="H158" s="657"/>
      <c r="I158" s="658"/>
      <c r="J158" s="704"/>
      <c r="O158" s="696"/>
      <c r="P158" s="696"/>
    </row>
    <row r="159" spans="1:16" ht="19.5" customHeight="1">
      <c r="A159" s="2340"/>
      <c r="B159" s="2341"/>
      <c r="C159" s="824">
        <v>2018</v>
      </c>
      <c r="D159" s="657"/>
      <c r="E159" s="658"/>
      <c r="F159" s="656"/>
      <c r="G159" s="812">
        <f t="shared" si="15"/>
        <v>0</v>
      </c>
      <c r="H159" s="657"/>
      <c r="I159" s="658"/>
      <c r="J159" s="704"/>
      <c r="O159" s="696"/>
      <c r="P159" s="696"/>
    </row>
    <row r="160" spans="1:16" ht="15" customHeight="1">
      <c r="A160" s="2340"/>
      <c r="B160" s="2341"/>
      <c r="C160" s="824">
        <v>2019</v>
      </c>
      <c r="D160" s="657"/>
      <c r="E160" s="658"/>
      <c r="F160" s="656"/>
      <c r="G160" s="812">
        <f t="shared" si="15"/>
        <v>0</v>
      </c>
      <c r="H160" s="657"/>
      <c r="I160" s="658"/>
      <c r="J160" s="704"/>
      <c r="O160" s="696"/>
      <c r="P160" s="696"/>
    </row>
    <row r="161" spans="1:18" ht="17.25" customHeight="1">
      <c r="A161" s="2340"/>
      <c r="B161" s="2341"/>
      <c r="C161" s="824">
        <v>2020</v>
      </c>
      <c r="D161" s="657"/>
      <c r="E161" s="658"/>
      <c r="F161" s="656"/>
      <c r="G161" s="812">
        <f t="shared" si="15"/>
        <v>0</v>
      </c>
      <c r="H161" s="657"/>
      <c r="I161" s="658"/>
      <c r="J161" s="704"/>
      <c r="O161" s="696"/>
      <c r="P161" s="696"/>
    </row>
    <row r="162" spans="1:18" ht="16.5" thickBot="1">
      <c r="A162" s="2342"/>
      <c r="B162" s="2343"/>
      <c r="C162" s="825" t="s">
        <v>12</v>
      </c>
      <c r="D162" s="753">
        <f t="shared" ref="D162:G162" si="16">SUM(D155:D161)</f>
        <v>0</v>
      </c>
      <c r="E162" s="728">
        <f t="shared" si="16"/>
        <v>0</v>
      </c>
      <c r="F162" s="813">
        <f t="shared" si="16"/>
        <v>0</v>
      </c>
      <c r="G162" s="813">
        <f t="shared" si="16"/>
        <v>0</v>
      </c>
      <c r="H162" s="753">
        <f>SUM(H155:H161)</f>
        <v>0</v>
      </c>
      <c r="I162" s="728">
        <f>SUM(I155:I161)</f>
        <v>0</v>
      </c>
      <c r="J162" s="826">
        <f>SUM(J155:J161)</f>
        <v>0</v>
      </c>
    </row>
    <row r="163" spans="1:18" ht="24.75" customHeight="1" thickBot="1">
      <c r="A163" s="827"/>
      <c r="B163" s="828"/>
      <c r="C163" s="829"/>
      <c r="D163" s="696"/>
      <c r="E163" s="830"/>
      <c r="F163" s="696"/>
      <c r="G163" s="696"/>
      <c r="H163" s="696"/>
      <c r="I163" s="696"/>
      <c r="J163" s="831"/>
      <c r="K163" s="832"/>
    </row>
    <row r="164" spans="1:18" ht="95.25" customHeight="1">
      <c r="A164" s="833" t="s">
        <v>102</v>
      </c>
      <c r="B164" s="834" t="s">
        <v>238</v>
      </c>
      <c r="C164" s="835" t="s">
        <v>8</v>
      </c>
      <c r="D164" s="836" t="s">
        <v>104</v>
      </c>
      <c r="E164" s="836" t="s">
        <v>105</v>
      </c>
      <c r="F164" s="837" t="s">
        <v>106</v>
      </c>
      <c r="G164" s="836" t="s">
        <v>107</v>
      </c>
      <c r="H164" s="836" t="s">
        <v>108</v>
      </c>
      <c r="I164" s="838" t="s">
        <v>109</v>
      </c>
      <c r="J164" s="839" t="s">
        <v>110</v>
      </c>
      <c r="K164" s="839" t="s">
        <v>111</v>
      </c>
      <c r="L164" s="840"/>
    </row>
    <row r="165" spans="1:18" ht="15.75" customHeight="1">
      <c r="A165" s="2327"/>
      <c r="B165" s="2328"/>
      <c r="C165" s="841">
        <v>2014</v>
      </c>
      <c r="D165" s="651"/>
      <c r="E165" s="651"/>
      <c r="F165" s="651"/>
      <c r="G165" s="651"/>
      <c r="H165" s="651"/>
      <c r="I165" s="654"/>
      <c r="J165" s="842">
        <f>SUM(D165,F165,H165)</f>
        <v>0</v>
      </c>
      <c r="K165" s="843">
        <f>SUM(E165,G165,I165)</f>
        <v>0</v>
      </c>
      <c r="L165" s="840"/>
    </row>
    <row r="166" spans="1:18" ht="15.75">
      <c r="A166" s="2329"/>
      <c r="B166" s="2330"/>
      <c r="C166" s="844">
        <v>2015</v>
      </c>
      <c r="D166" s="845"/>
      <c r="E166" s="845"/>
      <c r="F166" s="845"/>
      <c r="G166" s="845"/>
      <c r="H166" s="845"/>
      <c r="I166" s="846"/>
      <c r="J166" s="847">
        <f t="shared" ref="J166:K171" si="17">SUM(D166,F166,H166)</f>
        <v>0</v>
      </c>
      <c r="K166" s="848">
        <f t="shared" si="17"/>
        <v>0</v>
      </c>
      <c r="L166" s="840"/>
    </row>
    <row r="167" spans="1:18" ht="15.75">
      <c r="A167" s="2329"/>
      <c r="B167" s="2330"/>
      <c r="C167" s="844">
        <v>2016</v>
      </c>
      <c r="D167" s="845"/>
      <c r="E167" s="845"/>
      <c r="F167" s="845"/>
      <c r="G167" s="845"/>
      <c r="H167" s="845"/>
      <c r="I167" s="846"/>
      <c r="J167" s="847">
        <f t="shared" si="17"/>
        <v>0</v>
      </c>
      <c r="K167" s="848">
        <f t="shared" si="17"/>
        <v>0</v>
      </c>
    </row>
    <row r="168" spans="1:18" ht="15.75">
      <c r="A168" s="2329"/>
      <c r="B168" s="2330"/>
      <c r="C168" s="844">
        <v>2017</v>
      </c>
      <c r="D168" s="845"/>
      <c r="E168" s="696"/>
      <c r="F168" s="845"/>
      <c r="G168" s="845"/>
      <c r="H168" s="845"/>
      <c r="I168" s="846"/>
      <c r="J168" s="847">
        <f t="shared" si="17"/>
        <v>0</v>
      </c>
      <c r="K168" s="848">
        <f t="shared" si="17"/>
        <v>0</v>
      </c>
    </row>
    <row r="169" spans="1:18" ht="15.75">
      <c r="A169" s="2329"/>
      <c r="B169" s="2330"/>
      <c r="C169" s="849">
        <v>2018</v>
      </c>
      <c r="D169" s="845"/>
      <c r="E169" s="845"/>
      <c r="F169" s="845"/>
      <c r="G169" s="850"/>
      <c r="H169" s="845"/>
      <c r="I169" s="846"/>
      <c r="J169" s="847">
        <f t="shared" si="17"/>
        <v>0</v>
      </c>
      <c r="K169" s="848">
        <f t="shared" si="17"/>
        <v>0</v>
      </c>
      <c r="L169" s="840"/>
    </row>
    <row r="170" spans="1:18" ht="15.75">
      <c r="A170" s="2329"/>
      <c r="B170" s="2330"/>
      <c r="C170" s="844">
        <v>2019</v>
      </c>
      <c r="D170" s="696"/>
      <c r="E170" s="845"/>
      <c r="F170" s="845"/>
      <c r="G170" s="845"/>
      <c r="H170" s="850"/>
      <c r="I170" s="846"/>
      <c r="J170" s="847">
        <f t="shared" si="17"/>
        <v>0</v>
      </c>
      <c r="K170" s="848">
        <f t="shared" si="17"/>
        <v>0</v>
      </c>
      <c r="L170" s="840"/>
    </row>
    <row r="171" spans="1:18" ht="15.75">
      <c r="A171" s="2329"/>
      <c r="B171" s="2330"/>
      <c r="C171" s="849">
        <v>2020</v>
      </c>
      <c r="D171" s="845"/>
      <c r="E171" s="845"/>
      <c r="F171" s="845"/>
      <c r="G171" s="845"/>
      <c r="H171" s="845"/>
      <c r="I171" s="846"/>
      <c r="J171" s="847">
        <f t="shared" si="17"/>
        <v>0</v>
      </c>
      <c r="K171" s="848">
        <f t="shared" si="17"/>
        <v>0</v>
      </c>
      <c r="L171" s="840"/>
    </row>
    <row r="172" spans="1:18" ht="41.25" customHeight="1" thickBot="1">
      <c r="A172" s="2331"/>
      <c r="B172" s="2332"/>
      <c r="C172" s="851" t="s">
        <v>12</v>
      </c>
      <c r="D172" s="728">
        <f>SUM(D165:D171)</f>
        <v>0</v>
      </c>
      <c r="E172" s="728">
        <f t="shared" ref="E172:K172" si="18">SUM(E165:E171)</f>
        <v>0</v>
      </c>
      <c r="F172" s="728">
        <f t="shared" si="18"/>
        <v>0</v>
      </c>
      <c r="G172" s="728">
        <f t="shared" si="18"/>
        <v>0</v>
      </c>
      <c r="H172" s="728">
        <f t="shared" si="18"/>
        <v>0</v>
      </c>
      <c r="I172" s="852">
        <f t="shared" si="18"/>
        <v>0</v>
      </c>
      <c r="J172" s="853">
        <f t="shared" si="18"/>
        <v>0</v>
      </c>
      <c r="K172" s="753">
        <f t="shared" si="18"/>
        <v>0</v>
      </c>
      <c r="L172" s="840"/>
    </row>
    <row r="173" spans="1:18" s="683" customFormat="1" ht="26.25" customHeight="1">
      <c r="A173" s="854"/>
      <c r="B173" s="698"/>
      <c r="C173" s="699"/>
      <c r="D173" s="655"/>
      <c r="E173" s="655"/>
      <c r="F173" s="655"/>
      <c r="G173" s="655"/>
      <c r="H173" s="655"/>
      <c r="I173" s="655"/>
      <c r="J173" s="655"/>
      <c r="K173" s="655"/>
      <c r="L173" s="655"/>
      <c r="M173" s="655"/>
      <c r="N173" s="655"/>
      <c r="O173" s="655"/>
      <c r="P173" s="655"/>
      <c r="Q173" s="655"/>
      <c r="R173" s="798"/>
    </row>
    <row r="174" spans="1:18" ht="15.75">
      <c r="A174" s="855" t="s">
        <v>112</v>
      </c>
      <c r="B174" s="855"/>
      <c r="C174" s="856"/>
      <c r="D174" s="856"/>
      <c r="E174" s="856"/>
      <c r="F174" s="856"/>
      <c r="G174" s="856"/>
      <c r="H174" s="856"/>
      <c r="I174" s="856"/>
      <c r="J174" s="856"/>
      <c r="K174" s="856"/>
      <c r="L174" s="856"/>
      <c r="M174" s="856"/>
      <c r="N174" s="856"/>
      <c r="O174" s="856"/>
    </row>
    <row r="175" spans="1:18" ht="16.5" thickBot="1">
      <c r="A175" s="619"/>
      <c r="B175" s="619"/>
    </row>
    <row r="176" spans="1:18" s="648" customFormat="1" ht="22.5" customHeight="1" thickBot="1">
      <c r="A176" s="2333" t="s">
        <v>113</v>
      </c>
      <c r="B176" s="2314" t="s">
        <v>236</v>
      </c>
      <c r="C176" s="2335" t="s">
        <v>8</v>
      </c>
      <c r="D176" s="857" t="s">
        <v>115</v>
      </c>
      <c r="E176" s="858"/>
      <c r="F176" s="858"/>
      <c r="G176" s="859"/>
      <c r="H176" s="860"/>
      <c r="I176" s="2337" t="s">
        <v>116</v>
      </c>
      <c r="J176" s="2338"/>
      <c r="K176" s="2338"/>
      <c r="L176" s="2338"/>
      <c r="M176" s="2338"/>
      <c r="N176" s="2338"/>
      <c r="O176" s="2339"/>
    </row>
    <row r="177" spans="1:15" s="648" customFormat="1" ht="165" customHeight="1">
      <c r="A177" s="2334"/>
      <c r="B177" s="2315"/>
      <c r="C177" s="2336"/>
      <c r="D177" s="861" t="s">
        <v>117</v>
      </c>
      <c r="E177" s="862" t="s">
        <v>118</v>
      </c>
      <c r="F177" s="862" t="s">
        <v>119</v>
      </c>
      <c r="G177" s="863" t="s">
        <v>120</v>
      </c>
      <c r="H177" s="864" t="s">
        <v>121</v>
      </c>
      <c r="I177" s="865" t="s">
        <v>52</v>
      </c>
      <c r="J177" s="866" t="s">
        <v>53</v>
      </c>
      <c r="K177" s="866" t="s">
        <v>54</v>
      </c>
      <c r="L177" s="866" t="s">
        <v>55</v>
      </c>
      <c r="M177" s="866" t="s">
        <v>56</v>
      </c>
      <c r="N177" s="866" t="s">
        <v>57</v>
      </c>
      <c r="O177" s="867" t="s">
        <v>58</v>
      </c>
    </row>
    <row r="178" spans="1:15" ht="15" customHeight="1">
      <c r="A178" s="2340" t="s">
        <v>239</v>
      </c>
      <c r="B178" s="2341"/>
      <c r="C178" s="718">
        <v>2014</v>
      </c>
      <c r="D178" s="650"/>
      <c r="E178" s="651"/>
      <c r="F178" s="651"/>
      <c r="G178" s="812">
        <f>SUM(D178:F178)</f>
        <v>0</v>
      </c>
      <c r="H178" s="768"/>
      <c r="I178" s="768"/>
      <c r="J178" s="651"/>
      <c r="K178" s="651"/>
      <c r="L178" s="651"/>
      <c r="M178" s="651"/>
      <c r="N178" s="651"/>
      <c r="O178" s="654"/>
    </row>
    <row r="179" spans="1:15">
      <c r="A179" s="2340"/>
      <c r="B179" s="2341"/>
      <c r="C179" s="722">
        <v>2015</v>
      </c>
      <c r="D179" s="657"/>
      <c r="E179" s="658"/>
      <c r="F179" s="658"/>
      <c r="G179" s="812">
        <f t="shared" ref="G179:G184" si="19">SUM(D179:F179)</f>
        <v>0</v>
      </c>
      <c r="H179" s="868"/>
      <c r="I179" s="724"/>
      <c r="J179" s="658"/>
      <c r="K179" s="658"/>
      <c r="L179" s="658"/>
      <c r="M179" s="658"/>
      <c r="N179" s="658"/>
      <c r="O179" s="704"/>
    </row>
    <row r="180" spans="1:15">
      <c r="A180" s="2340"/>
      <c r="B180" s="2341"/>
      <c r="C180" s="722">
        <v>2016</v>
      </c>
      <c r="D180" s="657">
        <v>4</v>
      </c>
      <c r="E180" s="658"/>
      <c r="F180" s="658"/>
      <c r="G180" s="812">
        <f t="shared" si="19"/>
        <v>4</v>
      </c>
      <c r="H180" s="868">
        <v>7</v>
      </c>
      <c r="I180" s="724"/>
      <c r="J180" s="658"/>
      <c r="K180" s="658"/>
      <c r="L180" s="658"/>
      <c r="M180" s="658">
        <v>1</v>
      </c>
      <c r="N180" s="658"/>
      <c r="O180" s="704">
        <v>3</v>
      </c>
    </row>
    <row r="181" spans="1:15">
      <c r="A181" s="2340"/>
      <c r="B181" s="2341"/>
      <c r="C181" s="722">
        <v>2017</v>
      </c>
      <c r="D181" s="657"/>
      <c r="E181" s="658"/>
      <c r="F181" s="658"/>
      <c r="G181" s="812">
        <f t="shared" si="19"/>
        <v>0</v>
      </c>
      <c r="H181" s="868"/>
      <c r="I181" s="724"/>
      <c r="J181" s="658"/>
      <c r="K181" s="658"/>
      <c r="L181" s="658"/>
      <c r="M181" s="658"/>
      <c r="N181" s="658"/>
      <c r="O181" s="704"/>
    </row>
    <row r="182" spans="1:15">
      <c r="A182" s="2340"/>
      <c r="B182" s="2341"/>
      <c r="C182" s="722">
        <v>2018</v>
      </c>
      <c r="D182" s="657"/>
      <c r="E182" s="658"/>
      <c r="F182" s="658"/>
      <c r="G182" s="812">
        <f t="shared" si="19"/>
        <v>0</v>
      </c>
      <c r="H182" s="868"/>
      <c r="I182" s="724"/>
      <c r="J182" s="658"/>
      <c r="K182" s="658"/>
      <c r="L182" s="658"/>
      <c r="M182" s="658"/>
      <c r="N182" s="658"/>
      <c r="O182" s="704"/>
    </row>
    <row r="183" spans="1:15">
      <c r="A183" s="2340"/>
      <c r="B183" s="2341"/>
      <c r="C183" s="722">
        <v>2019</v>
      </c>
      <c r="D183" s="657"/>
      <c r="E183" s="658"/>
      <c r="F183" s="658"/>
      <c r="G183" s="812">
        <f t="shared" si="19"/>
        <v>0</v>
      </c>
      <c r="H183" s="868"/>
      <c r="I183" s="724"/>
      <c r="J183" s="658"/>
      <c r="K183" s="658"/>
      <c r="L183" s="658"/>
      <c r="M183" s="658"/>
      <c r="N183" s="658"/>
      <c r="O183" s="704"/>
    </row>
    <row r="184" spans="1:15">
      <c r="A184" s="2340"/>
      <c r="B184" s="2341"/>
      <c r="C184" s="722">
        <v>2020</v>
      </c>
      <c r="D184" s="657"/>
      <c r="E184" s="658"/>
      <c r="F184" s="658"/>
      <c r="G184" s="812">
        <f t="shared" si="19"/>
        <v>0</v>
      </c>
      <c r="H184" s="868"/>
      <c r="I184" s="724"/>
      <c r="J184" s="658"/>
      <c r="K184" s="658"/>
      <c r="L184" s="658"/>
      <c r="M184" s="658"/>
      <c r="N184" s="658"/>
      <c r="O184" s="704"/>
    </row>
    <row r="185" spans="1:15" ht="45" customHeight="1" thickBot="1">
      <c r="A185" s="2342"/>
      <c r="B185" s="2343"/>
      <c r="C185" s="725" t="s">
        <v>12</v>
      </c>
      <c r="D185" s="753">
        <f>SUM(D178:D184)</f>
        <v>4</v>
      </c>
      <c r="E185" s="728">
        <f>SUM(E178:E184)</f>
        <v>0</v>
      </c>
      <c r="F185" s="728">
        <f>SUM(F178:F184)</f>
        <v>0</v>
      </c>
      <c r="G185" s="813">
        <f t="shared" ref="G185:O185" si="20">SUM(G178:G184)</f>
        <v>4</v>
      </c>
      <c r="H185" s="814">
        <f t="shared" si="20"/>
        <v>7</v>
      </c>
      <c r="I185" s="727">
        <f t="shared" si="20"/>
        <v>0</v>
      </c>
      <c r="J185" s="728">
        <f t="shared" si="20"/>
        <v>0</v>
      </c>
      <c r="K185" s="728">
        <f t="shared" si="20"/>
        <v>0</v>
      </c>
      <c r="L185" s="728">
        <f t="shared" si="20"/>
        <v>0</v>
      </c>
      <c r="M185" s="728">
        <f t="shared" si="20"/>
        <v>1</v>
      </c>
      <c r="N185" s="728">
        <f t="shared" si="20"/>
        <v>0</v>
      </c>
      <c r="O185" s="729">
        <f t="shared" si="20"/>
        <v>3</v>
      </c>
    </row>
    <row r="186" spans="1:15" ht="33" customHeight="1" thickBot="1"/>
    <row r="187" spans="1:15" ht="19.5" customHeight="1">
      <c r="A187" s="2312" t="s">
        <v>122</v>
      </c>
      <c r="B187" s="2314" t="s">
        <v>236</v>
      </c>
      <c r="C187" s="2316" t="s">
        <v>8</v>
      </c>
      <c r="D187" s="2318" t="s">
        <v>123</v>
      </c>
      <c r="E187" s="2319"/>
      <c r="F187" s="2319"/>
      <c r="G187" s="2320"/>
      <c r="H187" s="2321" t="s">
        <v>124</v>
      </c>
      <c r="I187" s="2316"/>
      <c r="J187" s="2316"/>
      <c r="K187" s="2316"/>
      <c r="L187" s="2322"/>
    </row>
    <row r="188" spans="1:15" ht="135.75">
      <c r="A188" s="2313"/>
      <c r="B188" s="2315"/>
      <c r="C188" s="2317"/>
      <c r="D188" s="869" t="s">
        <v>125</v>
      </c>
      <c r="E188" s="869" t="s">
        <v>126</v>
      </c>
      <c r="F188" s="869" t="s">
        <v>127</v>
      </c>
      <c r="G188" s="870" t="s">
        <v>12</v>
      </c>
      <c r="H188" s="871" t="s">
        <v>128</v>
      </c>
      <c r="I188" s="869" t="s">
        <v>129</v>
      </c>
      <c r="J188" s="869" t="s">
        <v>130</v>
      </c>
      <c r="K188" s="869" t="s">
        <v>131</v>
      </c>
      <c r="L188" s="872" t="s">
        <v>132</v>
      </c>
    </row>
    <row r="189" spans="1:15" ht="15" customHeight="1">
      <c r="A189" s="2323" t="s">
        <v>239</v>
      </c>
      <c r="B189" s="2324"/>
      <c r="C189" s="873">
        <v>2014</v>
      </c>
      <c r="D189" s="745"/>
      <c r="E189" s="721"/>
      <c r="F189" s="721"/>
      <c r="G189" s="874">
        <f>SUM(D189:F189)</f>
        <v>0</v>
      </c>
      <c r="H189" s="720"/>
      <c r="I189" s="721"/>
      <c r="J189" s="721"/>
      <c r="K189" s="721"/>
      <c r="L189" s="746"/>
    </row>
    <row r="190" spans="1:15">
      <c r="A190" s="2325"/>
      <c r="B190" s="2306"/>
      <c r="C190" s="691">
        <v>2015</v>
      </c>
      <c r="D190" s="657"/>
      <c r="E190" s="658"/>
      <c r="F190" s="658"/>
      <c r="G190" s="874">
        <f t="shared" ref="G190:G195" si="21">SUM(D190:F190)</f>
        <v>0</v>
      </c>
      <c r="H190" s="724"/>
      <c r="I190" s="658"/>
      <c r="J190" s="658"/>
      <c r="K190" s="658"/>
      <c r="L190" s="704"/>
    </row>
    <row r="191" spans="1:15">
      <c r="A191" s="2325"/>
      <c r="B191" s="2306"/>
      <c r="C191" s="691">
        <v>2016</v>
      </c>
      <c r="D191" s="657">
        <v>407</v>
      </c>
      <c r="E191" s="658"/>
      <c r="F191" s="658"/>
      <c r="G191" s="874">
        <f t="shared" si="21"/>
        <v>407</v>
      </c>
      <c r="H191" s="724"/>
      <c r="I191" s="658">
        <v>27</v>
      </c>
      <c r="J191" s="658"/>
      <c r="K191" s="658"/>
      <c r="L191" s="704">
        <v>380</v>
      </c>
    </row>
    <row r="192" spans="1:15">
      <c r="A192" s="2325"/>
      <c r="B192" s="2306"/>
      <c r="C192" s="691">
        <v>2017</v>
      </c>
      <c r="D192" s="657"/>
      <c r="E192" s="658"/>
      <c r="F192" s="658"/>
      <c r="G192" s="874">
        <f t="shared" si="21"/>
        <v>0</v>
      </c>
      <c r="H192" s="724"/>
      <c r="I192" s="658"/>
      <c r="J192" s="658"/>
      <c r="K192" s="658"/>
      <c r="L192" s="704"/>
    </row>
    <row r="193" spans="1:14">
      <c r="A193" s="2325"/>
      <c r="B193" s="2306"/>
      <c r="C193" s="691">
        <v>2018</v>
      </c>
      <c r="D193" s="657"/>
      <c r="E193" s="658"/>
      <c r="F193" s="658"/>
      <c r="G193" s="874">
        <f t="shared" si="21"/>
        <v>0</v>
      </c>
      <c r="H193" s="724"/>
      <c r="I193" s="658"/>
      <c r="J193" s="658"/>
      <c r="K193" s="658"/>
      <c r="L193" s="704"/>
    </row>
    <row r="194" spans="1:14">
      <c r="A194" s="2325"/>
      <c r="B194" s="2306"/>
      <c r="C194" s="691">
        <v>2019</v>
      </c>
      <c r="D194" s="657"/>
      <c r="E194" s="658"/>
      <c r="F194" s="658"/>
      <c r="G194" s="874">
        <f t="shared" si="21"/>
        <v>0</v>
      </c>
      <c r="H194" s="724"/>
      <c r="I194" s="658"/>
      <c r="J194" s="658"/>
      <c r="K194" s="658"/>
      <c r="L194" s="704"/>
    </row>
    <row r="195" spans="1:14">
      <c r="A195" s="2325"/>
      <c r="B195" s="2306"/>
      <c r="C195" s="691">
        <v>2020</v>
      </c>
      <c r="D195" s="657"/>
      <c r="E195" s="658"/>
      <c r="F195" s="658"/>
      <c r="G195" s="874">
        <f t="shared" si="21"/>
        <v>0</v>
      </c>
      <c r="H195" s="724"/>
      <c r="I195" s="658"/>
      <c r="J195" s="658"/>
      <c r="K195" s="658"/>
      <c r="L195" s="704"/>
    </row>
    <row r="196" spans="1:14" ht="16.5" thickBot="1">
      <c r="A196" s="2326"/>
      <c r="B196" s="2308"/>
      <c r="C196" s="750" t="s">
        <v>12</v>
      </c>
      <c r="D196" s="753">
        <f t="shared" ref="D196:L196" si="22">SUM(D189:D195)</f>
        <v>407</v>
      </c>
      <c r="E196" s="728">
        <f t="shared" si="22"/>
        <v>0</v>
      </c>
      <c r="F196" s="728">
        <f t="shared" si="22"/>
        <v>0</v>
      </c>
      <c r="G196" s="875">
        <f t="shared" si="22"/>
        <v>407</v>
      </c>
      <c r="H196" s="727">
        <f t="shared" si="22"/>
        <v>0</v>
      </c>
      <c r="I196" s="728">
        <f t="shared" si="22"/>
        <v>27</v>
      </c>
      <c r="J196" s="728">
        <f t="shared" si="22"/>
        <v>0</v>
      </c>
      <c r="K196" s="728">
        <f t="shared" si="22"/>
        <v>0</v>
      </c>
      <c r="L196" s="729">
        <f t="shared" si="22"/>
        <v>380</v>
      </c>
    </row>
    <row r="199" spans="1:14" ht="15.75">
      <c r="A199" s="876" t="s">
        <v>134</v>
      </c>
      <c r="B199" s="876"/>
      <c r="C199" s="877"/>
      <c r="D199" s="877"/>
      <c r="E199" s="877"/>
      <c r="F199" s="877"/>
      <c r="G199" s="877"/>
      <c r="H199" s="877"/>
      <c r="I199" s="877"/>
      <c r="J199" s="877"/>
      <c r="K199" s="877"/>
      <c r="L199" s="877"/>
      <c r="M199" s="683"/>
      <c r="N199" s="683"/>
    </row>
    <row r="200" spans="1:14" ht="10.5" customHeight="1" thickBot="1">
      <c r="A200" s="876"/>
      <c r="B200" s="876"/>
      <c r="C200" s="877"/>
      <c r="D200" s="877"/>
      <c r="E200" s="877"/>
      <c r="F200" s="877"/>
      <c r="G200" s="877"/>
      <c r="H200" s="877"/>
      <c r="I200" s="877"/>
      <c r="J200" s="877"/>
      <c r="K200" s="877"/>
      <c r="L200" s="877"/>
    </row>
    <row r="201" spans="1:14" s="648" customFormat="1" ht="101.25" customHeight="1">
      <c r="A201" s="878" t="s">
        <v>135</v>
      </c>
      <c r="B201" s="879" t="s">
        <v>236</v>
      </c>
      <c r="C201" s="880" t="s">
        <v>8</v>
      </c>
      <c r="D201" s="881" t="s">
        <v>136</v>
      </c>
      <c r="E201" s="882" t="s">
        <v>137</v>
      </c>
      <c r="F201" s="882" t="s">
        <v>138</v>
      </c>
      <c r="G201" s="880" t="s">
        <v>139</v>
      </c>
      <c r="H201" s="883" t="s">
        <v>140</v>
      </c>
      <c r="I201" s="884" t="s">
        <v>141</v>
      </c>
      <c r="J201" s="885" t="s">
        <v>142</v>
      </c>
      <c r="K201" s="882" t="s">
        <v>143</v>
      </c>
      <c r="L201" s="886" t="s">
        <v>144</v>
      </c>
    </row>
    <row r="202" spans="1:14" ht="15" customHeight="1">
      <c r="A202" s="2305"/>
      <c r="B202" s="2306"/>
      <c r="C202" s="690">
        <v>2014</v>
      </c>
      <c r="D202" s="650"/>
      <c r="E202" s="651"/>
      <c r="F202" s="651"/>
      <c r="G202" s="649"/>
      <c r="H202" s="887"/>
      <c r="I202" s="888"/>
      <c r="J202" s="889"/>
      <c r="K202" s="651"/>
      <c r="L202" s="654"/>
    </row>
    <row r="203" spans="1:14">
      <c r="A203" s="2305"/>
      <c r="B203" s="2306"/>
      <c r="C203" s="691">
        <v>2015</v>
      </c>
      <c r="D203" s="657"/>
      <c r="E203" s="658"/>
      <c r="F203" s="658"/>
      <c r="G203" s="656"/>
      <c r="H203" s="890"/>
      <c r="I203" s="891"/>
      <c r="J203" s="892"/>
      <c r="K203" s="658"/>
      <c r="L203" s="704"/>
    </row>
    <row r="204" spans="1:14">
      <c r="A204" s="2305"/>
      <c r="B204" s="2306"/>
      <c r="C204" s="691">
        <v>2016</v>
      </c>
      <c r="D204" s="657"/>
      <c r="E204" s="658"/>
      <c r="F204" s="658"/>
      <c r="G204" s="656"/>
      <c r="H204" s="890"/>
      <c r="I204" s="891"/>
      <c r="J204" s="892"/>
      <c r="K204" s="658"/>
      <c r="L204" s="704"/>
    </row>
    <row r="205" spans="1:14">
      <c r="A205" s="2305"/>
      <c r="B205" s="2306"/>
      <c r="C205" s="691">
        <v>2017</v>
      </c>
      <c r="D205" s="657"/>
      <c r="E205" s="658"/>
      <c r="F205" s="658"/>
      <c r="G205" s="656"/>
      <c r="H205" s="890"/>
      <c r="I205" s="891"/>
      <c r="J205" s="892"/>
      <c r="K205" s="658"/>
      <c r="L205" s="704"/>
    </row>
    <row r="206" spans="1:14">
      <c r="A206" s="2305"/>
      <c r="B206" s="2306"/>
      <c r="C206" s="691">
        <v>2018</v>
      </c>
      <c r="D206" s="657"/>
      <c r="E206" s="658"/>
      <c r="F206" s="658"/>
      <c r="G206" s="656"/>
      <c r="H206" s="890"/>
      <c r="I206" s="891"/>
      <c r="J206" s="892"/>
      <c r="K206" s="658"/>
      <c r="L206" s="704"/>
    </row>
    <row r="207" spans="1:14">
      <c r="A207" s="2305"/>
      <c r="B207" s="2306"/>
      <c r="C207" s="691">
        <v>2019</v>
      </c>
      <c r="D207" s="657"/>
      <c r="E207" s="658"/>
      <c r="F207" s="658"/>
      <c r="G207" s="656"/>
      <c r="H207" s="890"/>
      <c r="I207" s="891"/>
      <c r="J207" s="892"/>
      <c r="K207" s="658"/>
      <c r="L207" s="704"/>
    </row>
    <row r="208" spans="1:14">
      <c r="A208" s="2305"/>
      <c r="B208" s="2306"/>
      <c r="C208" s="691">
        <v>2020</v>
      </c>
      <c r="D208" s="893"/>
      <c r="E208" s="894"/>
      <c r="F208" s="894"/>
      <c r="G208" s="895"/>
      <c r="H208" s="896"/>
      <c r="I208" s="897"/>
      <c r="J208" s="898"/>
      <c r="K208" s="894"/>
      <c r="L208" s="899"/>
    </row>
    <row r="209" spans="1:12" ht="20.25" customHeight="1" thickBot="1">
      <c r="A209" s="2307"/>
      <c r="B209" s="2308"/>
      <c r="C209" s="750" t="s">
        <v>12</v>
      </c>
      <c r="D209" s="753">
        <f>SUM(D202:D208)</f>
        <v>0</v>
      </c>
      <c r="E209" s="753">
        <f t="shared" ref="E209:L209" si="23">SUM(E202:E208)</f>
        <v>0</v>
      </c>
      <c r="F209" s="753">
        <f t="shared" si="23"/>
        <v>0</v>
      </c>
      <c r="G209" s="753">
        <f t="shared" si="23"/>
        <v>0</v>
      </c>
      <c r="H209" s="753">
        <f t="shared" si="23"/>
        <v>0</v>
      </c>
      <c r="I209" s="753">
        <f t="shared" si="23"/>
        <v>0</v>
      </c>
      <c r="J209" s="753">
        <f t="shared" si="23"/>
        <v>0</v>
      </c>
      <c r="K209" s="753">
        <f t="shared" si="23"/>
        <v>0</v>
      </c>
      <c r="L209" s="753">
        <f t="shared" si="23"/>
        <v>0</v>
      </c>
    </row>
    <row r="211" spans="1:12" ht="15.75" thickBot="1"/>
    <row r="212" spans="1:12" ht="45.75">
      <c r="A212" s="900" t="s">
        <v>145</v>
      </c>
      <c r="B212" s="901" t="s">
        <v>240</v>
      </c>
      <c r="C212" s="902">
        <v>2014</v>
      </c>
      <c r="D212" s="903">
        <v>2015</v>
      </c>
      <c r="E212" s="903">
        <v>2016</v>
      </c>
      <c r="F212" s="903">
        <v>2017</v>
      </c>
      <c r="G212" s="903">
        <v>2018</v>
      </c>
      <c r="H212" s="903">
        <v>2019</v>
      </c>
      <c r="I212" s="904">
        <v>2020</v>
      </c>
    </row>
    <row r="213" spans="1:12" ht="15" customHeight="1">
      <c r="A213" s="625" t="s">
        <v>147</v>
      </c>
      <c r="B213" s="2309"/>
      <c r="C213" s="690"/>
      <c r="D213" s="905">
        <f>D219+D217+D216+D214</f>
        <v>438807.80000000005</v>
      </c>
      <c r="E213" s="905">
        <f>E214+E216+E217+E219</f>
        <v>864205.58</v>
      </c>
      <c r="F213" s="747"/>
      <c r="G213" s="747"/>
      <c r="H213" s="747"/>
      <c r="I213" s="906"/>
    </row>
    <row r="214" spans="1:12">
      <c r="A214" s="625" t="s">
        <v>149</v>
      </c>
      <c r="B214" s="2310"/>
      <c r="C214" s="690"/>
      <c r="D214" s="905">
        <v>405044.02</v>
      </c>
      <c r="E214" s="747">
        <v>760767.79</v>
      </c>
      <c r="F214" s="747"/>
      <c r="G214" s="747"/>
      <c r="H214" s="747"/>
      <c r="I214" s="906"/>
    </row>
    <row r="215" spans="1:12">
      <c r="A215" s="625" t="s">
        <v>150</v>
      </c>
      <c r="B215" s="2310"/>
      <c r="C215" s="690"/>
      <c r="D215" s="747"/>
      <c r="E215" s="747"/>
      <c r="F215" s="747"/>
      <c r="G215" s="747"/>
      <c r="H215" s="747"/>
      <c r="I215" s="906"/>
    </row>
    <row r="216" spans="1:12">
      <c r="A216" s="625" t="s">
        <v>151</v>
      </c>
      <c r="B216" s="2310"/>
      <c r="C216" s="690"/>
      <c r="D216" s="747">
        <v>13689.99</v>
      </c>
      <c r="E216" s="905">
        <v>33324.19</v>
      </c>
      <c r="F216" s="747"/>
      <c r="G216" s="747"/>
      <c r="H216" s="747"/>
      <c r="I216" s="906"/>
    </row>
    <row r="217" spans="1:12">
      <c r="A217" s="625" t="s">
        <v>152</v>
      </c>
      <c r="B217" s="2310"/>
      <c r="C217" s="690"/>
      <c r="D217" s="747">
        <v>5476.14</v>
      </c>
      <c r="E217" s="905">
        <v>19944</v>
      </c>
      <c r="F217" s="747"/>
      <c r="G217" s="747"/>
      <c r="H217" s="747"/>
      <c r="I217" s="906"/>
    </row>
    <row r="218" spans="1:12" ht="30">
      <c r="A218" s="648" t="s">
        <v>153</v>
      </c>
      <c r="B218" s="2310"/>
      <c r="C218" s="690"/>
      <c r="D218" s="747">
        <v>113328.82</v>
      </c>
      <c r="E218" s="747">
        <v>269886.19</v>
      </c>
      <c r="F218" s="747"/>
      <c r="G218" s="747"/>
      <c r="H218" s="747"/>
      <c r="I218" s="906"/>
      <c r="J218" s="907"/>
    </row>
    <row r="219" spans="1:12">
      <c r="A219" s="648" t="s">
        <v>241</v>
      </c>
      <c r="B219" s="2310"/>
      <c r="C219" s="908"/>
      <c r="D219" s="909">
        <v>14597.65</v>
      </c>
      <c r="E219" s="909">
        <v>50169.599999999999</v>
      </c>
      <c r="F219" s="909"/>
      <c r="G219" s="909"/>
      <c r="H219" s="909"/>
      <c r="I219" s="910"/>
    </row>
    <row r="220" spans="1:12" ht="16.5" thickBot="1">
      <c r="A220" s="911"/>
      <c r="B220" s="2311"/>
      <c r="C220" s="662" t="s">
        <v>12</v>
      </c>
      <c r="D220" s="912">
        <f>SUM(D214:D219)</f>
        <v>552136.62</v>
      </c>
      <c r="E220" s="913">
        <f>SUM(E214:E219)</f>
        <v>1134091.77</v>
      </c>
      <c r="F220" s="913"/>
      <c r="G220" s="913">
        <f t="shared" ref="G220:I220" si="24">SUM(G214:G218)</f>
        <v>0</v>
      </c>
      <c r="H220" s="913">
        <f t="shared" si="24"/>
        <v>0</v>
      </c>
      <c r="I220" s="913">
        <f t="shared" si="24"/>
        <v>0</v>
      </c>
    </row>
    <row r="224" spans="1:12">
      <c r="E224" s="907"/>
    </row>
    <row r="228" spans="1:1">
      <c r="A228" s="648"/>
    </row>
  </sheetData>
  <mergeCells count="56">
    <mergeCell ref="D60:D61"/>
    <mergeCell ref="B1:F1"/>
    <mergeCell ref="F3:O3"/>
    <mergeCell ref="A4:O10"/>
    <mergeCell ref="D15:G15"/>
    <mergeCell ref="A17:B24"/>
    <mergeCell ref="D26:G26"/>
    <mergeCell ref="A28:B35"/>
    <mergeCell ref="A40:B47"/>
    <mergeCell ref="A50:B58"/>
    <mergeCell ref="A60:A61"/>
    <mergeCell ref="C60:C61"/>
    <mergeCell ref="A62:B69"/>
    <mergeCell ref="A72:B79"/>
    <mergeCell ref="A85:B92"/>
    <mergeCell ref="A96:A97"/>
    <mergeCell ref="B96:B97"/>
    <mergeCell ref="A120:B127"/>
    <mergeCell ref="D96:E96"/>
    <mergeCell ref="A98:B105"/>
    <mergeCell ref="A107:A108"/>
    <mergeCell ref="B107:B108"/>
    <mergeCell ref="C107:C108"/>
    <mergeCell ref="D107:D108"/>
    <mergeCell ref="C96:C97"/>
    <mergeCell ref="A109:B116"/>
    <mergeCell ref="A118:A119"/>
    <mergeCell ref="B118:B119"/>
    <mergeCell ref="C118:C119"/>
    <mergeCell ref="D118:D119"/>
    <mergeCell ref="A155:B162"/>
    <mergeCell ref="A129:A130"/>
    <mergeCell ref="B129:B130"/>
    <mergeCell ref="A131:B137"/>
    <mergeCell ref="A142:A143"/>
    <mergeCell ref="B142:B143"/>
    <mergeCell ref="J142:N142"/>
    <mergeCell ref="A144:B151"/>
    <mergeCell ref="A153:A154"/>
    <mergeCell ref="B153:B154"/>
    <mergeCell ref="C153:C154"/>
    <mergeCell ref="C142:C143"/>
    <mergeCell ref="D187:G187"/>
    <mergeCell ref="H187:L187"/>
    <mergeCell ref="A189:B196"/>
    <mergeCell ref="A165:B172"/>
    <mergeCell ref="A176:A177"/>
    <mergeCell ref="B176:B177"/>
    <mergeCell ref="C176:C177"/>
    <mergeCell ref="I176:O176"/>
    <mergeCell ref="A178:B185"/>
    <mergeCell ref="A202:B209"/>
    <mergeCell ref="B213:B220"/>
    <mergeCell ref="A187:A188"/>
    <mergeCell ref="B187:B188"/>
    <mergeCell ref="C187:C188"/>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37</vt:i4>
      </vt:variant>
    </vt:vector>
  </HeadingPairs>
  <TitlesOfParts>
    <vt:vector size="37" baseType="lpstr">
      <vt:lpstr>dolnośląskie</vt:lpstr>
      <vt:lpstr>kujawsko-pomorskie</vt:lpstr>
      <vt:lpstr>lubelskie</vt:lpstr>
      <vt:lpstr>lubuskie</vt:lpstr>
      <vt:lpstr>łódzkie</vt:lpstr>
      <vt:lpstr>małopolskie</vt:lpstr>
      <vt:lpstr>mazowieckie</vt:lpstr>
      <vt:lpstr>opolskie</vt:lpstr>
      <vt:lpstr>podkarpackie</vt:lpstr>
      <vt:lpstr>podlaskie</vt:lpstr>
      <vt:lpstr>pomorskie</vt:lpstr>
      <vt:lpstr>ślaskie</vt:lpstr>
      <vt:lpstr>świętokrzyskie</vt:lpstr>
      <vt:lpstr>warmińsko-mazurskie</vt:lpstr>
      <vt:lpstr>wielkopolskie</vt:lpstr>
      <vt:lpstr>zachodniopomorskie</vt:lpstr>
      <vt:lpstr>Agencja Rynku Rolnego</vt:lpstr>
      <vt:lpstr>ARiMR</vt:lpstr>
      <vt:lpstr>MRiRW</vt:lpstr>
      <vt:lpstr>Centrum Doradztwa Rolniczego</vt:lpstr>
      <vt:lpstr>ODR woj. dolnośląskie</vt:lpstr>
      <vt:lpstr>ODR woj. kujawsko-pomorskie</vt:lpstr>
      <vt:lpstr>ODR woj. lubelskie</vt:lpstr>
      <vt:lpstr>ODR woj. lubuskie</vt:lpstr>
      <vt:lpstr>ODR woj. łódzkie</vt:lpstr>
      <vt:lpstr>ODR woj. małopolskie</vt:lpstr>
      <vt:lpstr>ODR woj. mazowieckie</vt:lpstr>
      <vt:lpstr>ODR woj. opolskie</vt:lpstr>
      <vt:lpstr>ODR woj. podkarpackie</vt:lpstr>
      <vt:lpstr>ODR woj. podlaskie</vt:lpstr>
      <vt:lpstr>ODR woj. pomorskie</vt:lpstr>
      <vt:lpstr>ODR woj. ślaskie</vt:lpstr>
      <vt:lpstr>ODR woj. świętokrzyskie</vt:lpstr>
      <vt:lpstr>ODR woj. warmińsko-mazurskie</vt:lpstr>
      <vt:lpstr>ODR woj. wielkopolskie</vt:lpstr>
      <vt:lpstr>ODR woj. zachodniopomorskie</vt:lpstr>
      <vt:lpstr>RAZEM</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zrw</dc:creator>
  <cp:lastModifiedBy>Sylwia Kalinowska</cp:lastModifiedBy>
  <dcterms:created xsi:type="dcterms:W3CDTF">2017-03-24T19:07:31Z</dcterms:created>
  <dcterms:modified xsi:type="dcterms:W3CDTF">2017-06-06T09:35:48Z</dcterms:modified>
</cp:coreProperties>
</file>